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10.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11.xml" ContentType="application/vnd.openxmlformats-officedocument.drawing+xml"/>
  <Override PartName="/xl/ctrlProps/ctrlProp32.xml" ContentType="application/vnd.ms-excel.controlproperties+xml"/>
  <Override PartName="/xl/drawings/drawing12.xml" ContentType="application/vnd.openxmlformats-officedocument.drawing+xml"/>
  <Override PartName="/xl/drawings/drawing13.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4.xml" ContentType="application/vnd.openxmlformats-officedocument.drawing+xml"/>
  <Override PartName="/xl/ctrlProps/ctrlProp38.xml" ContentType="application/vnd.ms-excel.controlproperties+xml"/>
  <Override PartName="/xl/drawings/drawing15.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16.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17.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18.xml" ContentType="application/vnd.openxmlformats-officedocument.drawing+xml"/>
  <Override PartName="/xl/ctrlProps/ctrlProp54.xml" ContentType="application/vnd.ms-excel.controlproperties+xml"/>
  <Override PartName="/xl/drawings/drawing19.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drawings/drawing20.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drawings/drawing21.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22.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drawings/drawing23.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drawings/drawing24.xml" ContentType="application/vnd.openxmlformats-officedocument.drawing+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drawings/drawing25.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26.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drawings/drawing27.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drawings/drawing28.xml" ContentType="application/vnd.openxmlformats-officedocument.drawing+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drawings/drawing32.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drawings/drawing33.xml" ContentType="application/vnd.openxmlformats-officedocument.drawing+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drawings/drawing34.xml" ContentType="application/vnd.openxmlformats-officedocument.drawing+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drawings/drawing35.xml" ContentType="application/vnd.openxmlformats-officedocument.drawing+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drawings/drawing36.xml" ContentType="application/vnd.openxmlformats-officedocument.drawing+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24226"/>
  <mc:AlternateContent xmlns:mc="http://schemas.openxmlformats.org/markup-compatibility/2006">
    <mc:Choice Requires="x15">
      <x15ac:absPath xmlns:x15ac="http://schemas.microsoft.com/office/spreadsheetml/2010/11/ac" url="https://usaf-my.dps.mil/personal/jacob_duede_us_af_mil/Documents/My Stuff/"/>
    </mc:Choice>
  </mc:AlternateContent>
  <xr:revisionPtr revIDLastSave="3" documentId="13_ncr:1_{EA4858E8-513E-4D75-992C-33433ABCD41F}" xr6:coauthVersionLast="47" xr6:coauthVersionMax="47" xr10:uidLastSave="{9B4A1435-A667-4CB5-AD51-E1A3FEB1F85B}"/>
  <bookViews>
    <workbookView xWindow="28680" yWindow="-120" windowWidth="29040" windowHeight="15720" tabRatio="809" xr2:uid="{00000000-000D-0000-FFFF-FFFF00000000}"/>
  </bookViews>
  <sheets>
    <sheet name="Review" sheetId="9" r:id="rId1"/>
    <sheet name="Alibis" sheetId="10" r:id="rId2"/>
    <sheet name="Probations" sheetId="11" r:id="rId3"/>
    <sheet name="Restrictions" sheetId="12" r:id="rId4"/>
    <sheet name="Color list" sheetId="13" state="hidden" r:id="rId5"/>
    <sheet name="Updater" sheetId="24" state="hidden" r:id="rId6"/>
    <sheet name="Link to Class Gradebook" sheetId="14" state="hidden" r:id="rId7"/>
    <sheet name="PF" sheetId="5" r:id="rId8"/>
    <sheet name="FQ" sheetId="6" r:id="rId9"/>
    <sheet name="SY" sheetId="7" r:id="rId10"/>
    <sheet name="TF" sheetId="8" r:id="rId11"/>
    <sheet name="PF 6121F" sheetId="81" r:id="rId12"/>
    <sheet name="PF 6221F" sheetId="72" r:id="rId13"/>
    <sheet name="PF 6241R" sheetId="38" r:id="rId14"/>
    <sheet name="PF 7112F" sheetId="82" r:id="rId15"/>
    <sheet name="PF 7121R" sheetId="39" r:id="rId16"/>
    <sheet name="PF 8222F" sheetId="101" r:id="rId17"/>
    <sheet name="PF 8231F" sheetId="102" r:id="rId18"/>
    <sheet name="PF 8332F" sheetId="84" r:id="rId19"/>
    <sheet name="PF 8340R" sheetId="103" r:id="rId20"/>
    <sheet name="PF 8351Y" sheetId="44" r:id="rId21"/>
    <sheet name="FQ 6241F" sheetId="86" r:id="rId22"/>
    <sheet name="FQ 6251F" sheetId="87" r:id="rId23"/>
    <sheet name="FQ 6321R" sheetId="47" r:id="rId24"/>
    <sheet name="FQ 7232F" sheetId="78" r:id="rId25"/>
    <sheet name="FQ 8121F" sheetId="88" r:id="rId26"/>
    <sheet name="FQ 8141F" sheetId="89" r:id="rId27"/>
    <sheet name="FQ 8210Y" sheetId="52" r:id="rId28"/>
    <sheet name="FQ 9111F" sheetId="90" r:id="rId29"/>
    <sheet name="FQ 9211F" sheetId="91" r:id="rId30"/>
    <sheet name="FQ 9221F" sheetId="92" r:id="rId31"/>
    <sheet name="FQ 9246F" sheetId="100" r:id="rId32"/>
    <sheet name="FQ 9248Y" sheetId="110" r:id="rId33"/>
    <sheet name="FQ 9511F" sheetId="93" r:id="rId34"/>
    <sheet name="SY 6131F" sheetId="59" r:id="rId35"/>
    <sheet name="SY 6132R" sheetId="104" r:id="rId36"/>
    <sheet name="SY 7212F" sheetId="80" r:id="rId37"/>
    <sheet name="SY 7511F" sheetId="94" r:id="rId38"/>
    <sheet name="TF 6241F" sheetId="95" r:id="rId39"/>
    <sheet name="TF 6251F" sheetId="96" r:id="rId40"/>
    <sheet name="TF 6402R" sheetId="105" r:id="rId41"/>
    <sheet name="TF 6403R" sheetId="106" r:id="rId42"/>
    <sheet name="TF 7113R" sheetId="107" r:id="rId43"/>
    <sheet name="TF 7123R" sheetId="108" r:id="rId44"/>
    <sheet name="TF 7133R" sheetId="109" r:id="rId45"/>
    <sheet name="TF 7502R" sheetId="70" r:id="rId46"/>
  </sheets>
  <externalReferences>
    <externalReference r:id="rId47"/>
    <externalReference r:id="rId48"/>
  </externalReferences>
  <definedNames>
    <definedName name="amnshp_pct" localSheetId="21">'FQ 6241F'!#REF!</definedName>
    <definedName name="amnshp_pct" localSheetId="22">'FQ 6251F'!#REF!</definedName>
    <definedName name="amnshp_pct" localSheetId="24">'FQ 7232F'!#REF!</definedName>
    <definedName name="amnshp_pct" localSheetId="25">'FQ 8121F'!#REF!</definedName>
    <definedName name="amnshp_pct" localSheetId="26">'FQ 8141F'!#REF!</definedName>
    <definedName name="amnshp_pct" localSheetId="28">'FQ 9111F'!#REF!</definedName>
    <definedName name="amnshp_pct" localSheetId="29">'FQ 9211F'!#REF!</definedName>
    <definedName name="amnshp_pct" localSheetId="30">'FQ 9221F'!#REF!</definedName>
    <definedName name="amnshp_pct" localSheetId="31">'FQ 9246F'!#REF!</definedName>
    <definedName name="amnshp_pct" localSheetId="33">'FQ 9511F'!#REF!</definedName>
    <definedName name="amnshp_pct" localSheetId="11">'PF 6121F'!#REF!</definedName>
    <definedName name="amnshp_pct" localSheetId="12">'PF 6221F'!#REF!</definedName>
    <definedName name="amnshp_pct" localSheetId="14">'PF 7112F'!#REF!</definedName>
    <definedName name="amnshp_pct" localSheetId="16">'PF 8222F'!#REF!</definedName>
    <definedName name="amnshp_pct" localSheetId="17">'PF 8231F'!#REF!</definedName>
    <definedName name="amnshp_pct" localSheetId="18">'PF 8332F'!#REF!</definedName>
    <definedName name="amnshp_pct" localSheetId="19">'PF 8340R'!#REF!</definedName>
    <definedName name="amnshp_pct" localSheetId="34">'SY 6131F'!#REF!</definedName>
    <definedName name="amnshp_pct" localSheetId="35">'SY 6132R'!#REF!</definedName>
    <definedName name="amnshp_pct" localSheetId="36">'SY 7212F'!#REF!</definedName>
    <definedName name="amnshp_pct" localSheetId="37">'SY 7511F'!#REF!</definedName>
    <definedName name="amnshp_pct" localSheetId="38">'TF 6241F'!#REF!</definedName>
    <definedName name="amnshp_pct" localSheetId="39">'TF 6251F'!#REF!</definedName>
    <definedName name="amnshp_pct" localSheetId="40">'TF 6402R'!#REF!</definedName>
    <definedName name="amnshp_pct" localSheetId="41">'TF 6403R'!#REF!</definedName>
    <definedName name="amnshp_pct" localSheetId="42">'TF 7113R'!#REF!</definedName>
    <definedName name="amnshp_pct" localSheetId="43">'TF 7123R'!#REF!</definedName>
    <definedName name="amnshp_pct" localSheetId="44">'TF 7133R'!#REF!</definedName>
    <definedName name="amnshp_pct" localSheetId="45">'TF 7502R'!#REF!</definedName>
    <definedName name="Binary" localSheetId="21">#REF!</definedName>
    <definedName name="Binary" localSheetId="24">#REF!</definedName>
    <definedName name="Binary" localSheetId="31">#REF!</definedName>
    <definedName name="Binary" localSheetId="32">#REF!</definedName>
    <definedName name="Binary" localSheetId="34">#REF!</definedName>
    <definedName name="Binary" localSheetId="37">#REF!</definedName>
    <definedName name="Binary">#REF!</definedName>
    <definedName name="c_no_grade" localSheetId="21">'FQ 6241F'!$BC$4</definedName>
    <definedName name="c_no_grade" localSheetId="22">'FQ 6251F'!$BC$4</definedName>
    <definedName name="c_no_grade" localSheetId="24">'FQ 7232F'!$BC$4</definedName>
    <definedName name="c_no_grade" localSheetId="25">'FQ 8121F'!$BC$4</definedName>
    <definedName name="c_no_grade" localSheetId="26">'FQ 8141F'!$BC$4</definedName>
    <definedName name="c_no_grade" localSheetId="28">'FQ 9111F'!$BC$4</definedName>
    <definedName name="c_no_grade" localSheetId="29">'FQ 9211F'!$BC$4</definedName>
    <definedName name="c_no_grade" localSheetId="30">'FQ 9221F'!$BC$4</definedName>
    <definedName name="c_no_grade" localSheetId="31">'FQ 9246F'!$BC$4</definedName>
    <definedName name="c_no_grade" localSheetId="33">'FQ 9511F'!$BC$4</definedName>
    <definedName name="c_no_grade" localSheetId="11">'PF 6121F'!$BC$4</definedName>
    <definedName name="c_no_grade" localSheetId="12">'PF 6221F'!$BC$4</definedName>
    <definedName name="c_no_grade" localSheetId="14">'PF 7112F'!$BC$4</definedName>
    <definedName name="c_no_grade" localSheetId="16">'PF 8222F'!$BC$4</definedName>
    <definedName name="c_no_grade" localSheetId="17">'PF 8231F'!$BC$4</definedName>
    <definedName name="c_no_grade" localSheetId="18">'PF 8332F'!$BC$4</definedName>
    <definedName name="c_no_grade" localSheetId="19">'PF 8340R'!$BC$5</definedName>
    <definedName name="c_no_grade" localSheetId="34">'SY 6131F'!$BC$4</definedName>
    <definedName name="c_no_grade" localSheetId="35">'SY 6132R'!$BC$5</definedName>
    <definedName name="c_no_grade" localSheetId="36">'SY 7212F'!$BC$4</definedName>
    <definedName name="c_no_grade" localSheetId="37">'SY 7511F'!$BC$4</definedName>
    <definedName name="c_no_grade" localSheetId="38">'TF 6241F'!$BC$4</definedName>
    <definedName name="c_no_grade" localSheetId="39">'TF 6251F'!$BC$4</definedName>
    <definedName name="c_no_grade" localSheetId="40">'TF 6402R'!$BC$5</definedName>
    <definedName name="c_no_grade" localSheetId="41">'TF 6403R'!$BC$7</definedName>
    <definedName name="c_no_grade" localSheetId="42">'TF 7113R'!$BC$5</definedName>
    <definedName name="c_no_grade" localSheetId="43">'TF 7123R'!$BC$5</definedName>
    <definedName name="c_no_grade" localSheetId="44">'TF 7133R'!$BC$5</definedName>
    <definedName name="c_no_grade" localSheetId="45">'TF 7502R'!$BC$4</definedName>
    <definedName name="c_no_grade">#REF!</definedName>
    <definedName name="CandS" localSheetId="21">'FQ 6241F'!$J$8:$K$39</definedName>
    <definedName name="CandS" localSheetId="22">'FQ 6251F'!$J$8:$K$39</definedName>
    <definedName name="CandS" localSheetId="24">'FQ 7232F'!$J$8:$K$39</definedName>
    <definedName name="CandS" localSheetId="25">'FQ 8121F'!$J$8:$K$39</definedName>
    <definedName name="CandS" localSheetId="26">'FQ 8141F'!$J$8:$K$39</definedName>
    <definedName name="CandS" localSheetId="28">'FQ 9111F'!$J$8:$K$39</definedName>
    <definedName name="CandS" localSheetId="29">'FQ 9211F'!$J$8:$K$39</definedName>
    <definedName name="CandS" localSheetId="30">'FQ 9221F'!$J$8:$K$39</definedName>
    <definedName name="CandS" localSheetId="31">'FQ 9246F'!$J$8:$K$39</definedName>
    <definedName name="CandS" localSheetId="33">'FQ 9511F'!$J$8:$K$39</definedName>
    <definedName name="CandS" localSheetId="11">'PF 6121F'!$J$8:$K$39</definedName>
    <definedName name="CandS" localSheetId="12">'PF 6221F'!$J$8:$K$39</definedName>
    <definedName name="CandS" localSheetId="14">'PF 7112F'!$J$8:$K$39</definedName>
    <definedName name="CandS" localSheetId="16">'PF 8222F'!$J$8:$K$39</definedName>
    <definedName name="CandS" localSheetId="17">'PF 8231F'!$J$8:$K$39</definedName>
    <definedName name="CandS" localSheetId="18">'PF 8332F'!$J$8:$K$39</definedName>
    <definedName name="CandS" localSheetId="19">'PF 8340R'!$J$9:$K$40</definedName>
    <definedName name="CandS" localSheetId="34">'SY 6131F'!$J$8:$K$39</definedName>
    <definedName name="CandS" localSheetId="35">'SY 6132R'!$J$9:$K$40</definedName>
    <definedName name="CandS" localSheetId="36">'SY 7212F'!$J$8:$K$39</definedName>
    <definedName name="CandS" localSheetId="37">'SY 7511F'!$J$8:$K$39</definedName>
    <definedName name="CandS" localSheetId="38">'TF 6241F'!$J$8:$K$39</definedName>
    <definedName name="CandS" localSheetId="39">'TF 6251F'!$J$8:$K$39</definedName>
    <definedName name="CandS" localSheetId="40">'TF 6402R'!$J$9:$K$40</definedName>
    <definedName name="CandS" localSheetId="41">'TF 6403R'!$J$11:$K$42</definedName>
    <definedName name="CandS" localSheetId="42">'TF 7113R'!$J$9:$K$40</definedName>
    <definedName name="CandS" localSheetId="43">'TF 7123R'!$J$9:$K$40</definedName>
    <definedName name="CandS" localSheetId="44">'TF 7133R'!$J$9:$K$40</definedName>
    <definedName name="CandS" localSheetId="45">'TF 7502R'!$J$8:$K$39</definedName>
    <definedName name="CandS">#REF!</definedName>
    <definedName name="comment_mand" localSheetId="21">'FQ 6241F'!$BG$8:$BG$39</definedName>
    <definedName name="comment_mand" localSheetId="22">'FQ 6251F'!$BG$8:$BG$39</definedName>
    <definedName name="comment_mand" localSheetId="24">'FQ 7232F'!$BG$8:$BG$39</definedName>
    <definedName name="comment_mand" localSheetId="25">'FQ 8121F'!$BG$8:$BG$39</definedName>
    <definedName name="comment_mand" localSheetId="26">'FQ 8141F'!$BG$8:$BG$39</definedName>
    <definedName name="comment_mand" localSheetId="28">'FQ 9111F'!$BG$8:$BG$39</definedName>
    <definedName name="comment_mand" localSheetId="29">'FQ 9211F'!$BG$8:$BG$39</definedName>
    <definedName name="comment_mand" localSheetId="30">'FQ 9221F'!$BG$8:$BG$39</definedName>
    <definedName name="comment_mand" localSheetId="31">'FQ 9246F'!$BG$8:$BG$39</definedName>
    <definedName name="comment_mand" localSheetId="33">'FQ 9511F'!$BG$8:$BG$39</definedName>
    <definedName name="comment_mand" localSheetId="11">'PF 6121F'!$BG$8:$BG$39</definedName>
    <definedName name="comment_mand" localSheetId="12">'PF 6221F'!$BG$8:$BG$39</definedName>
    <definedName name="comment_mand" localSheetId="14">'PF 7112F'!$BG$8:$BG$39</definedName>
    <definedName name="comment_mand" localSheetId="16">'PF 8222F'!$BG$8:$BG$39</definedName>
    <definedName name="comment_mand" localSheetId="17">'PF 8231F'!$BG$8:$BG$39</definedName>
    <definedName name="comment_mand" localSheetId="18">'PF 8332F'!$BG$8:$BG$39</definedName>
    <definedName name="comment_mand" localSheetId="19">'PF 8340R'!$BG$9:$BG$40</definedName>
    <definedName name="comment_mand" localSheetId="34">'SY 6131F'!$BG$8:$BG$39</definedName>
    <definedName name="comment_mand" localSheetId="35">'SY 6132R'!$BG$9:$BG$40</definedName>
    <definedName name="comment_mand" localSheetId="36">'SY 7212F'!$BG$8:$BG$39</definedName>
    <definedName name="comment_mand" localSheetId="37">'SY 7511F'!$BG$8:$BG$39</definedName>
    <definedName name="comment_mand" localSheetId="38">'TF 6241F'!$BG$8:$BG$39</definedName>
    <definedName name="comment_mand" localSheetId="39">'TF 6251F'!$BG$8:$BG$39</definedName>
    <definedName name="comment_mand" localSheetId="40">'TF 6402R'!$BG$9:$BG$40</definedName>
    <definedName name="comment_mand" localSheetId="41">'TF 6403R'!$BG$11:$BG$42</definedName>
    <definedName name="comment_mand" localSheetId="42">'TF 7113R'!$BG$9:$BG$40</definedName>
    <definedName name="comment_mand" localSheetId="43">'TF 7123R'!$BG$9:$BG$40</definedName>
    <definedName name="comment_mand" localSheetId="44">'TF 7133R'!$BG$9:$BG$40</definedName>
    <definedName name="comment_mand" localSheetId="45">'TF 7502R'!$BG$8:$BG$39</definedName>
    <definedName name="comment_mand">#REF!</definedName>
    <definedName name="comments" localSheetId="21">'FQ 6241F'!$L$8</definedName>
    <definedName name="comments" localSheetId="22">'FQ 6251F'!$L$8</definedName>
    <definedName name="comments" localSheetId="24">'FQ 7232F'!$L$8</definedName>
    <definedName name="comments" localSheetId="25">'FQ 8121F'!$L$8</definedName>
    <definedName name="comments" localSheetId="26">'FQ 8141F'!$L$8</definedName>
    <definedName name="comments" localSheetId="28">'FQ 9111F'!$L$8</definedName>
    <definedName name="comments" localSheetId="29">'FQ 9211F'!$L$8</definedName>
    <definedName name="comments" localSheetId="30">'FQ 9221F'!$L$8</definedName>
    <definedName name="comments" localSheetId="31">'FQ 9246F'!$L$8</definedName>
    <definedName name="comments" localSheetId="33">'FQ 9511F'!$L$8</definedName>
    <definedName name="comments" localSheetId="11">'PF 6121F'!$L$8</definedName>
    <definedName name="comments" localSheetId="12">'PF 6221F'!$L$8</definedName>
    <definedName name="comments" localSheetId="14">'PF 7112F'!$L$8</definedName>
    <definedName name="comments" localSheetId="16">'PF 8222F'!$L$8</definedName>
    <definedName name="comments" localSheetId="17">'PF 8231F'!$L$8</definedName>
    <definedName name="comments" localSheetId="18">'PF 8332F'!$L$8</definedName>
    <definedName name="comments" localSheetId="19">'PF 8340R'!$L$9</definedName>
    <definedName name="comments" localSheetId="34">'SY 6131F'!$L$8</definedName>
    <definedName name="comments" localSheetId="35">'SY 6132R'!$L$9</definedName>
    <definedName name="comments" localSheetId="36">'SY 7212F'!$L$8</definedName>
    <definedName name="comments" localSheetId="37">'SY 7511F'!$L$8</definedName>
    <definedName name="comments" localSheetId="38">'TF 6241F'!$L$8</definedName>
    <definedName name="comments" localSheetId="39">'TF 6251F'!$L$8</definedName>
    <definedName name="comments" localSheetId="40">'TF 6402R'!$L$9</definedName>
    <definedName name="comments" localSheetId="41">'TF 6403R'!$L$11</definedName>
    <definedName name="comments" localSheetId="42">'TF 7113R'!$L$9</definedName>
    <definedName name="comments" localSheetId="43">'TF 7123R'!$L$9</definedName>
    <definedName name="comments" localSheetId="44">'TF 7133R'!$L$9</definedName>
    <definedName name="comments" localSheetId="45">'TF 7502R'!$L$8</definedName>
    <definedName name="CrewSoloQual" localSheetId="21">'FQ 6241F'!$F$6</definedName>
    <definedName name="CrewSoloQual" localSheetId="22">'FQ 6251F'!$F$6</definedName>
    <definedName name="CrewSoloQual" localSheetId="24">'FQ 7232F'!$F$6</definedName>
    <definedName name="CrewSoloQual" localSheetId="25">'FQ 8121F'!$F$6</definedName>
    <definedName name="CrewSoloQual" localSheetId="26">'FQ 8141F'!$F$6</definedName>
    <definedName name="CrewSoloQual" localSheetId="28">'FQ 9111F'!$F$6</definedName>
    <definedName name="CrewSoloQual" localSheetId="29">'FQ 9211F'!$F$6</definedName>
    <definedName name="CrewSoloQual" localSheetId="30">'FQ 9221F'!$F$6</definedName>
    <definedName name="CrewSoloQual" localSheetId="31">'FQ 9246F'!$F$6</definedName>
    <definedName name="CrewSoloQual" localSheetId="32">#REF!</definedName>
    <definedName name="CrewSoloQual" localSheetId="33">'FQ 9511F'!$F$6</definedName>
    <definedName name="CrewSoloQual" localSheetId="11">'PF 6121F'!$F$6</definedName>
    <definedName name="CrewSoloQual" localSheetId="12">'PF 6221F'!$F$6</definedName>
    <definedName name="CrewSoloQual" localSheetId="14">'PF 7112F'!$F$6</definedName>
    <definedName name="CrewSoloQual" localSheetId="16">'PF 8222F'!$F$6</definedName>
    <definedName name="CrewSoloQual" localSheetId="17">'PF 8231F'!$F$6</definedName>
    <definedName name="CrewSoloQual" localSheetId="18">'PF 8332F'!$F$6</definedName>
    <definedName name="CrewSoloQual" localSheetId="19">'PF 8340R'!$F$7</definedName>
    <definedName name="CrewSoloQual" localSheetId="34">'SY 6131F'!$F$6</definedName>
    <definedName name="CrewSoloQual" localSheetId="35">'SY 6132R'!$F$7</definedName>
    <definedName name="CrewSoloQual" localSheetId="36">'SY 7212F'!$F$6</definedName>
    <definedName name="CrewSoloQual" localSheetId="37">'SY 7511F'!$F$6</definedName>
    <definedName name="CrewSoloQual" localSheetId="38">'TF 6241F'!$F$6</definedName>
    <definedName name="CrewSoloQual" localSheetId="39">'TF 6251F'!$F$6</definedName>
    <definedName name="CrewSoloQual" localSheetId="40">'TF 6402R'!$F$7</definedName>
    <definedName name="CrewSoloQual" localSheetId="41">'TF 6403R'!$F$9</definedName>
    <definedName name="CrewSoloQual" localSheetId="42">'TF 7113R'!$F$7</definedName>
    <definedName name="CrewSoloQual" localSheetId="43">'TF 7123R'!$F$7</definedName>
    <definedName name="CrewSoloQual" localSheetId="44">'TF 7133R'!$F$7</definedName>
    <definedName name="CrewSoloQual" localSheetId="45">'TF 7502R'!$F$6</definedName>
    <definedName name="CrewSoloQual">#REF!</definedName>
    <definedName name="crit_input_data" localSheetId="21">'FQ 6241F'!#REF!</definedName>
    <definedName name="crit_input_data" localSheetId="22">'FQ 6251F'!#REF!</definedName>
    <definedName name="crit_input_data" localSheetId="24">'FQ 7232F'!#REF!</definedName>
    <definedName name="crit_input_data" localSheetId="25">'FQ 8121F'!#REF!</definedName>
    <definedName name="crit_input_data" localSheetId="26">'FQ 8141F'!#REF!</definedName>
    <definedName name="crit_input_data" localSheetId="28">'FQ 9111F'!#REF!</definedName>
    <definedName name="crit_input_data" localSheetId="29">'FQ 9211F'!#REF!</definedName>
    <definedName name="crit_input_data" localSheetId="30">'FQ 9221F'!#REF!</definedName>
    <definedName name="crit_input_data" localSheetId="31">'FQ 9246F'!#REF!</definedName>
    <definedName name="crit_input_data" localSheetId="33">'FQ 9511F'!#REF!</definedName>
    <definedName name="crit_input_data" localSheetId="11">'PF 6121F'!#REF!</definedName>
    <definedName name="crit_input_data" localSheetId="12">'PF 6221F'!#REF!</definedName>
    <definedName name="crit_input_data" localSheetId="14">'PF 7112F'!#REF!</definedName>
    <definedName name="crit_input_data" localSheetId="16">'PF 8222F'!#REF!</definedName>
    <definedName name="crit_input_data" localSheetId="17">'PF 8231F'!#REF!</definedName>
    <definedName name="crit_input_data" localSheetId="18">'PF 8332F'!#REF!</definedName>
    <definedName name="crit_input_data" localSheetId="19">'PF 8340R'!#REF!</definedName>
    <definedName name="crit_input_data" localSheetId="34">'SY 6131F'!#REF!</definedName>
    <definedName name="crit_input_data" localSheetId="35">'SY 6132R'!#REF!</definedName>
    <definedName name="crit_input_data" localSheetId="36">'SY 7212F'!#REF!</definedName>
    <definedName name="crit_input_data" localSheetId="37">'SY 7511F'!#REF!</definedName>
    <definedName name="crit_input_data" localSheetId="38">'TF 6241F'!#REF!</definedName>
    <definedName name="crit_input_data" localSheetId="39">'TF 6251F'!#REF!</definedName>
    <definedName name="crit_input_data" localSheetId="40">'TF 6402R'!#REF!</definedName>
    <definedName name="crit_input_data" localSheetId="41">'TF 6403R'!#REF!</definedName>
    <definedName name="crit_input_data" localSheetId="42">'TF 7113R'!#REF!</definedName>
    <definedName name="crit_input_data" localSheetId="43">'TF 7123R'!#REF!</definedName>
    <definedName name="crit_input_data" localSheetId="44">'TF 7133R'!#REF!</definedName>
    <definedName name="crit_input_data" localSheetId="45">'TF 7502R'!#REF!</definedName>
    <definedName name="D_and_count" localSheetId="21">'FQ 6241F'!$BE$4</definedName>
    <definedName name="D_and_count" localSheetId="22">'FQ 6251F'!$BE$4</definedName>
    <definedName name="D_and_count" localSheetId="24">'FQ 7232F'!$BE$4</definedName>
    <definedName name="D_and_count" localSheetId="25">'FQ 8121F'!$BE$4</definedName>
    <definedName name="D_and_count" localSheetId="26">'FQ 8141F'!$BE$4</definedName>
    <definedName name="D_and_count" localSheetId="28">'FQ 9111F'!$BE$4</definedName>
    <definedName name="D_and_count" localSheetId="29">'FQ 9211F'!$BE$4</definedName>
    <definedName name="D_and_count" localSheetId="30">'FQ 9221F'!$BE$4</definedName>
    <definedName name="D_and_count" localSheetId="31">'FQ 9246F'!$BE$4</definedName>
    <definedName name="D_and_count" localSheetId="33">'FQ 9511F'!$BE$4</definedName>
    <definedName name="D_and_count" localSheetId="11">'PF 6121F'!$BE$4</definedName>
    <definedName name="D_and_count" localSheetId="12">'PF 6221F'!$BE$4</definedName>
    <definedName name="D_and_count" localSheetId="14">'PF 7112F'!$BE$4</definedName>
    <definedName name="D_and_count" localSheetId="16">'PF 8222F'!$BE$4</definedName>
    <definedName name="D_and_count" localSheetId="17">'PF 8231F'!$BE$4</definedName>
    <definedName name="D_and_count" localSheetId="18">'PF 8332F'!$BE$4</definedName>
    <definedName name="D_and_count" localSheetId="19">'PF 8340R'!$BE$5</definedName>
    <definedName name="D_and_count" localSheetId="34">'SY 6131F'!$BE$4</definedName>
    <definedName name="D_and_count" localSheetId="35">'SY 6132R'!$BE$5</definedName>
    <definedName name="D_and_count" localSheetId="36">'SY 7212F'!$BE$4</definedName>
    <definedName name="D_and_count" localSheetId="37">'SY 7511F'!$BE$4</definedName>
    <definedName name="D_and_count" localSheetId="38">'TF 6241F'!$BE$4</definedName>
    <definedName name="D_and_count" localSheetId="39">'TF 6251F'!$BE$4</definedName>
    <definedName name="D_and_count" localSheetId="40">'TF 6402R'!$BE$5</definedName>
    <definedName name="D_and_count" localSheetId="41">'TF 6403R'!$BE$7</definedName>
    <definedName name="D_and_count" localSheetId="42">'TF 7113R'!$BE$5</definedName>
    <definedName name="D_and_count" localSheetId="43">'TF 7123R'!$BE$5</definedName>
    <definedName name="D_and_count" localSheetId="44">'TF 7133R'!$BE$5</definedName>
    <definedName name="D_and_count" localSheetId="45">'TF 7502R'!$BE$4</definedName>
    <definedName name="D_and_count">#REF!</definedName>
    <definedName name="date" localSheetId="23">'FQ 6321R'!$J$4</definedName>
    <definedName name="date" localSheetId="27">'FQ 8210Y'!$E$1</definedName>
    <definedName name="date" localSheetId="32">'FQ 9248Y'!$E$1</definedName>
    <definedName name="date" localSheetId="13">'PF 6241R'!$K$4</definedName>
    <definedName name="date" localSheetId="15">'PF 7121R'!$K$4</definedName>
    <definedName name="date" localSheetId="19">'PF 8340R'!$Q$5</definedName>
    <definedName name="date" localSheetId="20">'PF 8351Y'!$J$4</definedName>
    <definedName name="date" localSheetId="35">'SY 6132R'!$Q$5</definedName>
    <definedName name="date" localSheetId="40">'TF 6402R'!$Q$5</definedName>
    <definedName name="date" localSheetId="41">'TF 6403R'!$Q$7</definedName>
    <definedName name="date" localSheetId="42">'TF 7113R'!$Q$5</definedName>
    <definedName name="date" localSheetId="43">'TF 7123R'!$Q$5</definedName>
    <definedName name="date" localSheetId="44">'TF 7133R'!$Q$5</definedName>
    <definedName name="date" localSheetId="45">'TF 7502R'!$Q$4</definedName>
    <definedName name="date">#REF!</definedName>
    <definedName name="desds" localSheetId="21">'FQ 6241F'!$BN$8:$BN$39</definedName>
    <definedName name="desds" localSheetId="22">'FQ 6251F'!$BN$8:$BN$39</definedName>
    <definedName name="desds" localSheetId="24">'FQ 7232F'!$BN$8:$BN$39</definedName>
    <definedName name="desds" localSheetId="25">'FQ 8121F'!$BN$8:$BN$39</definedName>
    <definedName name="desds" localSheetId="26">'FQ 8141F'!$BN$8:$BN$39</definedName>
    <definedName name="desds" localSheetId="28">'FQ 9111F'!$BN$8:$BN$39</definedName>
    <definedName name="desds" localSheetId="29">'FQ 9211F'!$BN$8:$BN$39</definedName>
    <definedName name="desds" localSheetId="30">'FQ 9221F'!$BN$8:$BN$39</definedName>
    <definedName name="desds" localSheetId="31">'FQ 9246F'!$BN$8:$BN$39</definedName>
    <definedName name="desds" localSheetId="33">'FQ 9511F'!$BN$8:$BN$39</definedName>
    <definedName name="desds" localSheetId="11">'PF 6121F'!$BN$8:$BN$39</definedName>
    <definedName name="desds" localSheetId="12">'PF 6221F'!$BN$8:$BN$39</definedName>
    <definedName name="desds" localSheetId="14">'PF 7112F'!$BN$8:$BN$39</definedName>
    <definedName name="desds" localSheetId="16">'PF 8222F'!$BN$8:$BN$39</definedName>
    <definedName name="desds" localSheetId="17">'PF 8231F'!$BN$8:$BN$39</definedName>
    <definedName name="desds" localSheetId="18">'PF 8332F'!$BN$8:$BN$39</definedName>
    <definedName name="desds" localSheetId="19">'PF 8340R'!$BN$9:$BN$40</definedName>
    <definedName name="desds" localSheetId="34">'SY 6131F'!$BN$8:$BN$39</definedName>
    <definedName name="desds" localSheetId="35">'SY 6132R'!$BN$9:$BN$40</definedName>
    <definedName name="desds" localSheetId="36">'SY 7212F'!$BN$8:$BN$39</definedName>
    <definedName name="desds" localSheetId="37">'SY 7511F'!$BN$8:$BN$39</definedName>
    <definedName name="desds" localSheetId="38">'TF 6241F'!$BN$8:$BN$39</definedName>
    <definedName name="desds" localSheetId="39">'TF 6251F'!$BN$8:$BN$39</definedName>
    <definedName name="desds" localSheetId="40">'TF 6402R'!$BN$9:$BN$40</definedName>
    <definedName name="desds" localSheetId="41">'TF 6403R'!$BN$11:$BN$42</definedName>
    <definedName name="desds" localSheetId="42">'TF 7113R'!$BN$9:$BN$40</definedName>
    <definedName name="desds" localSheetId="43">'TF 7123R'!$BN$9:$BN$40</definedName>
    <definedName name="desds" localSheetId="44">'TF 7133R'!$BN$9:$BN$40</definedName>
    <definedName name="desds" localSheetId="45">'TF 7502R'!$BN$8:$BN$39</definedName>
    <definedName name="desds">#REF!</definedName>
    <definedName name="DO_comments" localSheetId="21">'FQ 6241F'!$BO$34</definedName>
    <definedName name="DO_comments" localSheetId="22">'FQ 6251F'!$BO$34</definedName>
    <definedName name="DO_comments" localSheetId="24">'FQ 7232F'!$BO$34</definedName>
    <definedName name="DO_comments" localSheetId="25">'FQ 8121F'!$BO$34</definedName>
    <definedName name="DO_comments" localSheetId="26">'FQ 8141F'!$BO$34</definedName>
    <definedName name="DO_comments" localSheetId="28">'FQ 9111F'!$BO$34</definedName>
    <definedName name="DO_comments" localSheetId="29">'FQ 9211F'!$BO$34</definedName>
    <definedName name="DO_comments" localSheetId="30">'FQ 9221F'!$BO$34</definedName>
    <definedName name="DO_comments" localSheetId="31">'FQ 9246F'!$BO$34</definedName>
    <definedName name="DO_comments" localSheetId="33">'FQ 9511F'!$BO$34</definedName>
    <definedName name="DO_comments" localSheetId="11">'PF 6121F'!$BO$34</definedName>
    <definedName name="DO_comments" localSheetId="12">'PF 6221F'!$BO$34</definedName>
    <definedName name="DO_comments" localSheetId="14">'PF 7112F'!$BO$34</definedName>
    <definedName name="DO_comments" localSheetId="16">'PF 8222F'!$BO$34</definedName>
    <definedName name="DO_comments" localSheetId="17">'PF 8231F'!$BO$34</definedName>
    <definedName name="DO_comments" localSheetId="18">'PF 8332F'!$BO$34</definedName>
    <definedName name="DO_comments" localSheetId="19">'PF 8340R'!$BO$35</definedName>
    <definedName name="DO_comments" localSheetId="34">'SY 6131F'!$BO$34</definedName>
    <definedName name="DO_comments" localSheetId="35">'SY 6132R'!$BO$35</definedName>
    <definedName name="DO_comments" localSheetId="36">'SY 7212F'!$BO$34</definedName>
    <definedName name="DO_comments" localSheetId="37">'SY 7511F'!$BO$34</definedName>
    <definedName name="DO_comments" localSheetId="38">'TF 6241F'!$BO$34</definedName>
    <definedName name="DO_comments" localSheetId="39">'TF 6251F'!$BO$34</definedName>
    <definedName name="DO_comments" localSheetId="40">'TF 6402R'!$BO$35</definedName>
    <definedName name="DO_comments" localSheetId="41">'TF 6403R'!$BO$37</definedName>
    <definedName name="DO_comments" localSheetId="42">'TF 7113R'!$BO$35</definedName>
    <definedName name="DO_comments" localSheetId="43">'TF 7123R'!$BO$35</definedName>
    <definedName name="DO_comments" localSheetId="44">'TF 7133R'!$BO$35</definedName>
    <definedName name="DO_comments" localSheetId="45">'TF 7502R'!$BO$34</definedName>
    <definedName name="DO_comments">#REF!</definedName>
    <definedName name="DO_sig" localSheetId="21">'FQ 6241F'!$O$41</definedName>
    <definedName name="DO_sig" localSheetId="22">'FQ 6251F'!$O$41</definedName>
    <definedName name="DO_sig" localSheetId="24">'FQ 7232F'!$O$41</definedName>
    <definedName name="DO_sig" localSheetId="25">'FQ 8121F'!$O$41</definedName>
    <definedName name="DO_sig" localSheetId="26">'FQ 8141F'!$O$41</definedName>
    <definedName name="DO_sig" localSheetId="28">'FQ 9111F'!$O$41</definedName>
    <definedName name="DO_sig" localSheetId="29">'FQ 9211F'!$O$41</definedName>
    <definedName name="DO_sig" localSheetId="30">'FQ 9221F'!$O$41</definedName>
    <definedName name="DO_sig" localSheetId="31">'FQ 9246F'!$O$41</definedName>
    <definedName name="DO_sig" localSheetId="33">'FQ 9511F'!$O$41</definedName>
    <definedName name="DO_sig" localSheetId="11">'PF 6121F'!$O$41</definedName>
    <definedName name="DO_sig" localSheetId="12">'PF 6221F'!$O$41</definedName>
    <definedName name="DO_sig" localSheetId="14">'PF 7112F'!$O$41</definedName>
    <definedName name="DO_sig" localSheetId="16">'PF 8222F'!$O$41</definedName>
    <definedName name="DO_sig" localSheetId="17">'PF 8231F'!$O$41</definedName>
    <definedName name="DO_sig" localSheetId="18">'PF 8332F'!$O$41</definedName>
    <definedName name="DO_sig" localSheetId="19">'PF 8340R'!$O$42</definedName>
    <definedName name="DO_sig" localSheetId="34">'SY 6131F'!$O$41</definedName>
    <definedName name="DO_sig" localSheetId="35">'SY 6132R'!$O$42</definedName>
    <definedName name="DO_sig" localSheetId="36">'SY 7212F'!$O$41</definedName>
    <definedName name="DO_sig" localSheetId="37">'SY 7511F'!$O$41</definedName>
    <definedName name="DO_sig" localSheetId="38">'TF 6241F'!$O$41</definedName>
    <definedName name="DO_sig" localSheetId="39">'TF 6251F'!$O$41</definedName>
    <definedName name="DO_sig" localSheetId="40">'TF 6402R'!$O$42</definedName>
    <definedName name="DO_sig" localSheetId="41">'TF 6403R'!$O$44</definedName>
    <definedName name="DO_sig" localSheetId="42">'TF 7113R'!$O$42</definedName>
    <definedName name="DO_sig" localSheetId="43">'TF 7123R'!$O$42</definedName>
    <definedName name="DO_sig" localSheetId="44">'TF 7133R'!$O$42</definedName>
    <definedName name="DO_sig" localSheetId="45">'TF 7502R'!$O$41</definedName>
    <definedName name="DO_sig">#REF!</definedName>
    <definedName name="ED_comments" localSheetId="21">'FQ 6241F'!$BO$39</definedName>
    <definedName name="ED_comments" localSheetId="22">'FQ 6251F'!$BO$39</definedName>
    <definedName name="ED_comments" localSheetId="24">'FQ 7232F'!$BO$39</definedName>
    <definedName name="ED_comments" localSheetId="25">'FQ 8121F'!$BO$39</definedName>
    <definedName name="ED_comments" localSheetId="26">'FQ 8141F'!$BO$39</definedName>
    <definedName name="ED_comments" localSheetId="28">'FQ 9111F'!$BO$39</definedName>
    <definedName name="ED_comments" localSheetId="29">'FQ 9211F'!$BO$39</definedName>
    <definedName name="ED_comments" localSheetId="30">'FQ 9221F'!$BO$39</definedName>
    <definedName name="ED_comments" localSheetId="31">'FQ 9246F'!$BO$39</definedName>
    <definedName name="ED_comments" localSheetId="33">'FQ 9511F'!$BO$39</definedName>
    <definedName name="ED_comments" localSheetId="11">'PF 6121F'!$BO$39</definedName>
    <definedName name="ED_comments" localSheetId="12">'PF 6221F'!$BO$39</definedName>
    <definedName name="ED_comments" localSheetId="14">'PF 7112F'!$BO$39</definedName>
    <definedName name="ED_comments" localSheetId="16">'PF 8222F'!$BO$39</definedName>
    <definedName name="ED_comments" localSheetId="17">'PF 8231F'!$BO$39</definedName>
    <definedName name="ED_comments" localSheetId="18">'PF 8332F'!$BO$39</definedName>
    <definedName name="ED_comments" localSheetId="19">'PF 8340R'!$BO$40</definedName>
    <definedName name="ED_comments" localSheetId="34">'SY 6131F'!$BO$39</definedName>
    <definedName name="ED_comments" localSheetId="35">'SY 6132R'!$BO$40</definedName>
    <definedName name="ED_comments" localSheetId="36">'SY 7212F'!$BO$39</definedName>
    <definedName name="ED_comments" localSheetId="37">'SY 7511F'!$BO$39</definedName>
    <definedName name="ED_comments" localSheetId="38">'TF 6241F'!$BO$39</definedName>
    <definedName name="ED_comments" localSheetId="39">'TF 6251F'!$BO$39</definedName>
    <definedName name="ED_comments" localSheetId="40">'TF 6402R'!$BO$40</definedName>
    <definedName name="ED_comments" localSheetId="41">'TF 6403R'!$BO$42</definedName>
    <definedName name="ED_comments" localSheetId="42">'TF 7113R'!$BO$40</definedName>
    <definedName name="ED_comments" localSheetId="43">'TF 7123R'!$BO$40</definedName>
    <definedName name="ED_comments" localSheetId="44">'TF 7133R'!$BO$40</definedName>
    <definedName name="ED_comments" localSheetId="45">'TF 7502R'!$BO$39</definedName>
    <definedName name="ED_comments">#REF!</definedName>
    <definedName name="ED_sig" localSheetId="21">'FQ 6241F'!$Q$41</definedName>
    <definedName name="ED_sig" localSheetId="22">'FQ 6251F'!$Q$41</definedName>
    <definedName name="ED_sig" localSheetId="24">'FQ 7232F'!$Q$41</definedName>
    <definedName name="ED_sig" localSheetId="25">'FQ 8121F'!$Q$41</definedName>
    <definedName name="ED_sig" localSheetId="26">'FQ 8141F'!$Q$41</definedName>
    <definedName name="ED_sig" localSheetId="28">'FQ 9111F'!$Q$41</definedName>
    <definedName name="ED_sig" localSheetId="29">'FQ 9211F'!$Q$41</definedName>
    <definedName name="ED_sig" localSheetId="30">'FQ 9221F'!$Q$41</definedName>
    <definedName name="ED_sig" localSheetId="31">'FQ 9246F'!$Q$41</definedName>
    <definedName name="ED_sig" localSheetId="33">'FQ 9511F'!$Q$41</definedName>
    <definedName name="ED_sig" localSheetId="11">'PF 6121F'!$Q$41</definedName>
    <definedName name="ED_sig" localSheetId="12">'PF 6221F'!$Q$41</definedName>
    <definedName name="ED_sig" localSheetId="14">'PF 7112F'!$Q$41</definedName>
    <definedName name="ED_sig" localSheetId="16">'PF 8222F'!$Q$41</definedName>
    <definedName name="ED_sig" localSheetId="17">'PF 8231F'!$Q$41</definedName>
    <definedName name="ED_sig" localSheetId="18">'PF 8332F'!$Q$41</definedName>
    <definedName name="ED_sig" localSheetId="19">'PF 8340R'!$Q$42</definedName>
    <definedName name="ED_sig" localSheetId="34">'SY 6131F'!$Q$41</definedName>
    <definedName name="ED_sig" localSheetId="35">'SY 6132R'!$Q$42</definedName>
    <definedName name="ED_sig" localSheetId="36">'SY 7212F'!$Q$41</definedName>
    <definedName name="ED_sig" localSheetId="37">'SY 7511F'!$Q$41</definedName>
    <definedName name="ED_sig" localSheetId="38">'TF 6241F'!$Q$41</definedName>
    <definedName name="ED_sig" localSheetId="39">'TF 6251F'!$Q$41</definedName>
    <definedName name="ED_sig" localSheetId="40">'TF 6402R'!$Q$42</definedName>
    <definedName name="ED_sig" localSheetId="41">'TF 6403R'!$Q$44</definedName>
    <definedName name="ED_sig" localSheetId="42">'TF 7113R'!$Q$42</definedName>
    <definedName name="ED_sig" localSheetId="43">'TF 7123R'!$Q$42</definedName>
    <definedName name="ED_sig" localSheetId="44">'TF 7133R'!$Q$42</definedName>
    <definedName name="ED_sig" localSheetId="45">'TF 7502R'!$Q$41</definedName>
    <definedName name="ED_sig">#REF!</definedName>
    <definedName name="events" localSheetId="21">'FQ 6241F'!#REF!</definedName>
    <definedName name="events" localSheetId="22">'FQ 6251F'!#REF!</definedName>
    <definedName name="events" localSheetId="24">'FQ 7232F'!#REF!</definedName>
    <definedName name="events" localSheetId="25">'FQ 8121F'!#REF!</definedName>
    <definedName name="events" localSheetId="26">'FQ 8141F'!#REF!</definedName>
    <definedName name="events" localSheetId="28">'FQ 9111F'!#REF!</definedName>
    <definedName name="events" localSheetId="29">'FQ 9211F'!#REF!</definedName>
    <definedName name="events" localSheetId="30">'FQ 9221F'!#REF!</definedName>
    <definedName name="events" localSheetId="31">'FQ 9246F'!#REF!</definedName>
    <definedName name="events" localSheetId="32">#REF!</definedName>
    <definedName name="events" localSheetId="33">'FQ 9511F'!#REF!</definedName>
    <definedName name="events" localSheetId="11">'PF 6121F'!#REF!</definedName>
    <definedName name="events" localSheetId="12">'PF 6221F'!#REF!</definedName>
    <definedName name="events" localSheetId="14">'PF 7112F'!#REF!</definedName>
    <definedName name="events" localSheetId="16">'PF 8222F'!#REF!</definedName>
    <definedName name="events" localSheetId="17">'PF 8231F'!#REF!</definedName>
    <definedName name="events" localSheetId="18">'PF 8332F'!#REF!</definedName>
    <definedName name="events" localSheetId="19">'PF 8340R'!#REF!</definedName>
    <definedName name="events" localSheetId="34">'SY 6131F'!#REF!</definedName>
    <definedName name="events" localSheetId="35">'SY 6132R'!#REF!</definedName>
    <definedName name="events" localSheetId="36">'SY 7212F'!#REF!</definedName>
    <definedName name="events" localSheetId="37">'SY 7511F'!#REF!</definedName>
    <definedName name="events" localSheetId="38">'TF 6241F'!#REF!</definedName>
    <definedName name="events" localSheetId="39">'TF 6251F'!#REF!</definedName>
    <definedName name="events" localSheetId="40">'TF 6402R'!#REF!</definedName>
    <definedName name="events" localSheetId="41">'TF 6403R'!#REF!</definedName>
    <definedName name="events" localSheetId="42">'TF 7113R'!#REF!</definedName>
    <definedName name="events" localSheetId="43">'TF 7123R'!#REF!</definedName>
    <definedName name="events" localSheetId="44">'TF 7133R'!#REF!</definedName>
    <definedName name="events" localSheetId="45">'TF 7502R'!#REF!</definedName>
    <definedName name="events">#REF!</definedName>
    <definedName name="exam_event" localSheetId="21">'FQ 6241F'!#REF!</definedName>
    <definedName name="exam_event" localSheetId="22">'FQ 6251F'!#REF!</definedName>
    <definedName name="exam_event" localSheetId="24">'FQ 7232F'!#REF!</definedName>
    <definedName name="exam_event" localSheetId="25">'FQ 8121F'!#REF!</definedName>
    <definedName name="exam_event" localSheetId="26">'FQ 8141F'!#REF!</definedName>
    <definedName name="exam_event" localSheetId="28">'FQ 9111F'!#REF!</definedName>
    <definedName name="exam_event" localSheetId="29">'FQ 9211F'!#REF!</definedName>
    <definedName name="exam_event" localSheetId="30">'FQ 9221F'!#REF!</definedName>
    <definedName name="exam_event" localSheetId="31">'FQ 9246F'!#REF!</definedName>
    <definedName name="exam_event" localSheetId="33">'FQ 9511F'!#REF!</definedName>
    <definedName name="exam_event" localSheetId="11">'PF 6121F'!#REF!</definedName>
    <definedName name="exam_event" localSheetId="12">'PF 6221F'!#REF!</definedName>
    <definedName name="exam_event" localSheetId="14">'PF 7112F'!#REF!</definedName>
    <definedName name="exam_event" localSheetId="16">'PF 8222F'!#REF!</definedName>
    <definedName name="exam_event" localSheetId="17">'PF 8231F'!#REF!</definedName>
    <definedName name="exam_event" localSheetId="18">'PF 8332F'!#REF!</definedName>
    <definedName name="exam_event" localSheetId="19">'PF 8340R'!#REF!</definedName>
    <definedName name="exam_event" localSheetId="34">'SY 6131F'!#REF!</definedName>
    <definedName name="exam_event" localSheetId="35">'SY 6132R'!#REF!</definedName>
    <definedName name="exam_event" localSheetId="36">'SY 7212F'!#REF!</definedName>
    <definedName name="exam_event" localSheetId="37">'SY 7511F'!#REF!</definedName>
    <definedName name="exam_event" localSheetId="38">'TF 6241F'!#REF!</definedName>
    <definedName name="exam_event" localSheetId="39">'TF 6251F'!#REF!</definedName>
    <definedName name="exam_event" localSheetId="40">'TF 6402R'!#REF!</definedName>
    <definedName name="exam_event" localSheetId="41">'TF 6403R'!#REF!</definedName>
    <definedName name="exam_event" localSheetId="42">'TF 7113R'!#REF!</definedName>
    <definedName name="exam_event" localSheetId="43">'TF 7123R'!#REF!</definedName>
    <definedName name="exam_event" localSheetId="44">'TF 7133R'!#REF!</definedName>
    <definedName name="exam_event" localSheetId="45">'TF 7502R'!#REF!</definedName>
    <definedName name="Flight" localSheetId="21">#REF!</definedName>
    <definedName name="Flight" localSheetId="24">#REF!</definedName>
    <definedName name="Flight" localSheetId="31">#REF!</definedName>
    <definedName name="Flight" localSheetId="34">#REF!</definedName>
    <definedName name="Flight" localSheetId="37">#REF!</definedName>
    <definedName name="Flight">#REF!</definedName>
    <definedName name="Flight?" localSheetId="21">'FQ 6241F'!$AU$4</definedName>
    <definedName name="Flight?" localSheetId="22">'FQ 6251F'!$AU$4</definedName>
    <definedName name="Flight?" localSheetId="24">'FQ 7232F'!$AU$4</definedName>
    <definedName name="Flight?" localSheetId="25">'FQ 8121F'!$AU$4</definedName>
    <definedName name="Flight?" localSheetId="26">'FQ 8141F'!$AU$4</definedName>
    <definedName name="Flight?" localSheetId="28">'FQ 9111F'!$AU$4</definedName>
    <definedName name="Flight?" localSheetId="29">'FQ 9211F'!$AU$4</definedName>
    <definedName name="Flight?" localSheetId="30">'FQ 9221F'!$AU$4</definedName>
    <definedName name="Flight?" localSheetId="31">'FQ 9246F'!$AU$4</definedName>
    <definedName name="Flight?" localSheetId="33">'FQ 9511F'!$AU$4</definedName>
    <definedName name="Flight?" localSheetId="11">'PF 6121F'!$AU$4</definedName>
    <definedName name="Flight?" localSheetId="12">'PF 6221F'!$AU$4</definedName>
    <definedName name="Flight?" localSheetId="14">'PF 7112F'!$AU$4</definedName>
    <definedName name="Flight?" localSheetId="16">'PF 8222F'!$AU$4</definedName>
    <definedName name="Flight?" localSheetId="17">'PF 8231F'!$AU$4</definedName>
    <definedName name="Flight?" localSheetId="18">'PF 8332F'!$AU$4</definedName>
    <definedName name="Flight?" localSheetId="19">'PF 8340R'!$AU$5</definedName>
    <definedName name="Flight?" localSheetId="34">'SY 6131F'!$AU$4</definedName>
    <definedName name="Flight?" localSheetId="35">'SY 6132R'!$AU$5</definedName>
    <definedName name="Flight?" localSheetId="36">'SY 7212F'!$AU$4</definedName>
    <definedName name="Flight?" localSheetId="37">'SY 7511F'!$AU$4</definedName>
    <definedName name="Flight?" localSheetId="38">'TF 6241F'!$AU$4</definedName>
    <definedName name="Flight?" localSheetId="39">'TF 6251F'!$AU$4</definedName>
    <definedName name="Flight?" localSheetId="40">'TF 6402R'!$AU$5</definedName>
    <definedName name="Flight?" localSheetId="41">'TF 6403R'!$AU$7</definedName>
    <definedName name="Flight?" localSheetId="42">'TF 7113R'!$AU$5</definedName>
    <definedName name="Flight?" localSheetId="43">'TF 7123R'!$AU$5</definedName>
    <definedName name="Flight?" localSheetId="44">'TF 7133R'!$AU$5</definedName>
    <definedName name="Flight?" localSheetId="45">'TF 7502R'!$AU$4</definedName>
    <definedName name="Flight_CRoom_Sim" localSheetId="21">'FQ 6241F'!#REF!</definedName>
    <definedName name="Flight_CRoom_Sim" localSheetId="22">'FQ 6251F'!#REF!</definedName>
    <definedName name="Flight_CRoom_Sim" localSheetId="24">'FQ 7232F'!#REF!</definedName>
    <definedName name="Flight_CRoom_Sim" localSheetId="25">'FQ 8121F'!#REF!</definedName>
    <definedName name="Flight_CRoom_Sim" localSheetId="26">'FQ 8141F'!#REF!</definedName>
    <definedName name="Flight_CRoom_Sim" localSheetId="28">'FQ 9111F'!#REF!</definedName>
    <definedName name="Flight_CRoom_Sim" localSheetId="29">'FQ 9211F'!#REF!</definedName>
    <definedName name="Flight_CRoom_Sim" localSheetId="30">'FQ 9221F'!#REF!</definedName>
    <definedName name="Flight_CRoom_Sim" localSheetId="31">'FQ 9246F'!#REF!</definedName>
    <definedName name="Flight_CRoom_Sim" localSheetId="33">'FQ 9511F'!#REF!</definedName>
    <definedName name="Flight_CRoom_Sim" localSheetId="11">'PF 6121F'!#REF!</definedName>
    <definedName name="Flight_CRoom_Sim" localSheetId="12">'PF 6221F'!#REF!</definedName>
    <definedName name="Flight_CRoom_Sim" localSheetId="14">'PF 7112F'!#REF!</definedName>
    <definedName name="Flight_CRoom_Sim" localSheetId="16">'PF 8222F'!#REF!</definedName>
    <definedName name="Flight_CRoom_Sim" localSheetId="17">'PF 8231F'!#REF!</definedName>
    <definedName name="Flight_CRoom_Sim" localSheetId="18">'PF 8332F'!#REF!</definedName>
    <definedName name="Flight_CRoom_Sim" localSheetId="19">'PF 8340R'!#REF!</definedName>
    <definedName name="Flight_CRoom_Sim" localSheetId="34">'SY 6131F'!#REF!</definedName>
    <definedName name="Flight_CRoom_Sim" localSheetId="35">'SY 6132R'!#REF!</definedName>
    <definedName name="Flight_CRoom_Sim" localSheetId="36">'SY 7212F'!#REF!</definedName>
    <definedName name="Flight_CRoom_Sim" localSheetId="37">'SY 7511F'!#REF!</definedName>
    <definedName name="Flight_CRoom_Sim" localSheetId="38">'TF 6241F'!#REF!</definedName>
    <definedName name="Flight_CRoom_Sim" localSheetId="39">'TF 6251F'!#REF!</definedName>
    <definedName name="Flight_CRoom_Sim" localSheetId="40">'TF 6402R'!#REF!</definedName>
    <definedName name="Flight_CRoom_Sim" localSheetId="41">'TF 6403R'!#REF!</definedName>
    <definedName name="Flight_CRoom_Sim" localSheetId="42">'TF 7113R'!#REF!</definedName>
    <definedName name="Flight_CRoom_Sim" localSheetId="43">'TF 7123R'!#REF!</definedName>
    <definedName name="Flight_CRoom_Sim" localSheetId="44">'TF 7133R'!#REF!</definedName>
    <definedName name="Flight_CRoom_Sim" localSheetId="45">'TF 7502R'!#REF!</definedName>
    <definedName name="g_no_count" localSheetId="21">'FQ 6241F'!$BD$4</definedName>
    <definedName name="g_no_count" localSheetId="22">'FQ 6251F'!$BD$4</definedName>
    <definedName name="g_no_count" localSheetId="24">'FQ 7232F'!$BD$4</definedName>
    <definedName name="g_no_count" localSheetId="25">'FQ 8121F'!$BD$4</definedName>
    <definedName name="g_no_count" localSheetId="26">'FQ 8141F'!$BD$4</definedName>
    <definedName name="g_no_count" localSheetId="28">'FQ 9111F'!$BD$4</definedName>
    <definedName name="g_no_count" localSheetId="29">'FQ 9211F'!$BD$4</definedName>
    <definedName name="g_no_count" localSheetId="30">'FQ 9221F'!$BD$4</definedName>
    <definedName name="g_no_count" localSheetId="31">'FQ 9246F'!$BD$4</definedName>
    <definedName name="g_no_count" localSheetId="33">'FQ 9511F'!$BD$4</definedName>
    <definedName name="g_no_count" localSheetId="11">'PF 6121F'!$BD$4</definedName>
    <definedName name="g_no_count" localSheetId="12">'PF 6221F'!$BD$4</definedName>
    <definedName name="g_no_count" localSheetId="14">'PF 7112F'!$BD$4</definedName>
    <definedName name="g_no_count" localSheetId="16">'PF 8222F'!$BD$4</definedName>
    <definedName name="g_no_count" localSheetId="17">'PF 8231F'!$BD$4</definedName>
    <definedName name="g_no_count" localSheetId="18">'PF 8332F'!$BD$4</definedName>
    <definedName name="g_no_count" localSheetId="19">'PF 8340R'!$BD$5</definedName>
    <definedName name="g_no_count" localSheetId="34">'SY 6131F'!$BD$4</definedName>
    <definedName name="g_no_count" localSheetId="35">'SY 6132R'!$BD$5</definedName>
    <definedName name="g_no_count" localSheetId="36">'SY 7212F'!$BD$4</definedName>
    <definedName name="g_no_count" localSheetId="37">'SY 7511F'!$BD$4</definedName>
    <definedName name="g_no_count" localSheetId="38">'TF 6241F'!$BD$4</definedName>
    <definedName name="g_no_count" localSheetId="39">'TF 6251F'!$BD$4</definedName>
    <definedName name="g_no_count" localSheetId="40">'TF 6402R'!$BD$5</definedName>
    <definedName name="g_no_count" localSheetId="41">'TF 6403R'!$BD$7</definedName>
    <definedName name="g_no_count" localSheetId="42">'TF 7113R'!$BD$5</definedName>
    <definedName name="g_no_count" localSheetId="43">'TF 7123R'!$BD$5</definedName>
    <definedName name="g_no_count" localSheetId="44">'TF 7133R'!$BD$5</definedName>
    <definedName name="g_no_count" localSheetId="45">'TF 7502R'!$BD$4</definedName>
    <definedName name="g_no_count">#REF!</definedName>
    <definedName name="grade" localSheetId="21">'FQ 6241F'!$Q$6</definedName>
    <definedName name="grade" localSheetId="22">'FQ 6251F'!$Q$6</definedName>
    <definedName name="grade" localSheetId="24">'FQ 7232F'!$Q$6</definedName>
    <definedName name="grade" localSheetId="25">'FQ 8121F'!$Q$6</definedName>
    <definedName name="grade" localSheetId="26">'FQ 8141F'!$Q$6</definedName>
    <definedName name="grade" localSheetId="28">'FQ 9111F'!$Q$6</definedName>
    <definedName name="grade" localSheetId="29">'FQ 9211F'!$Q$6</definedName>
    <definedName name="grade" localSheetId="30">'FQ 9221F'!$Q$6</definedName>
    <definedName name="grade" localSheetId="31">'FQ 9246F'!$Q$6</definedName>
    <definedName name="grade" localSheetId="32">#REF!</definedName>
    <definedName name="grade" localSheetId="33">'FQ 9511F'!$Q$6</definedName>
    <definedName name="grade" localSheetId="11">'PF 6121F'!$Q$6</definedName>
    <definedName name="grade" localSheetId="12">'PF 6221F'!$Q$6</definedName>
    <definedName name="grade" localSheetId="14">'PF 7112F'!$Q$6</definedName>
    <definedName name="grade" localSheetId="16">'PF 8222F'!$Q$6</definedName>
    <definedName name="grade" localSheetId="17">'PF 8231F'!$Q$6</definedName>
    <definedName name="grade" localSheetId="18">'PF 8332F'!$Q$6</definedName>
    <definedName name="grade" localSheetId="19">'PF 8340R'!$Q$7</definedName>
    <definedName name="grade" localSheetId="34">'SY 6131F'!$Q$6</definedName>
    <definedName name="grade" localSheetId="35">'SY 6132R'!$Q$7</definedName>
    <definedName name="grade" localSheetId="36">'SY 7212F'!$Q$6</definedName>
    <definedName name="grade" localSheetId="37">'SY 7511F'!$Q$6</definedName>
    <definedName name="grade" localSheetId="38">'TF 6241F'!$Q$6</definedName>
    <definedName name="grade" localSheetId="39">'TF 6251F'!$Q$6</definedName>
    <definedName name="grade" localSheetId="40">'TF 6402R'!$Q$7</definedName>
    <definedName name="grade" localSheetId="41">'TF 6403R'!$Q$9</definedName>
    <definedName name="grade" localSheetId="42">'TF 7113R'!$Q$7</definedName>
    <definedName name="grade" localSheetId="43">'TF 7123R'!$Q$7</definedName>
    <definedName name="grade" localSheetId="44">'TF 7133R'!$Q$7</definedName>
    <definedName name="grade">#REF!</definedName>
    <definedName name="graded_aca_events" localSheetId="21">'FQ 6241F'!$AM$41</definedName>
    <definedName name="graded_aca_events" localSheetId="22">'FQ 6251F'!$AM$41</definedName>
    <definedName name="graded_aca_events" localSheetId="24">'FQ 7232F'!$AM$41</definedName>
    <definedName name="graded_aca_events" localSheetId="25">'FQ 8121F'!$AM$41</definedName>
    <definedName name="graded_aca_events" localSheetId="26">'FQ 8141F'!$AM$41</definedName>
    <definedName name="graded_aca_events" localSheetId="28">'FQ 9111F'!$AM$41</definedName>
    <definedName name="graded_aca_events" localSheetId="29">'FQ 9211F'!$AM$41</definedName>
    <definedName name="graded_aca_events" localSheetId="30">'FQ 9221F'!$AM$41</definedName>
    <definedName name="graded_aca_events" localSheetId="31">'FQ 9246F'!$AM$41</definedName>
    <definedName name="graded_aca_events" localSheetId="33">'FQ 9511F'!$AM$41</definedName>
    <definedName name="graded_aca_events" localSheetId="11">'PF 6121F'!$AM$41</definedName>
    <definedName name="graded_aca_events" localSheetId="12">'PF 6221F'!$AM$41</definedName>
    <definedName name="graded_aca_events" localSheetId="14">'PF 7112F'!$AM$41</definedName>
    <definedName name="graded_aca_events" localSheetId="16">'PF 8222F'!$AM$41</definedName>
    <definedName name="graded_aca_events" localSheetId="17">'PF 8231F'!$AM$41</definedName>
    <definedName name="graded_aca_events" localSheetId="18">'PF 8332F'!$AM$41</definedName>
    <definedName name="graded_aca_events" localSheetId="19">'PF 8340R'!$AM$42</definedName>
    <definedName name="graded_aca_events" localSheetId="34">'SY 6131F'!$AM$41</definedName>
    <definedName name="graded_aca_events" localSheetId="35">'SY 6132R'!$AM$42</definedName>
    <definedName name="graded_aca_events" localSheetId="36">'SY 7212F'!$AM$41</definedName>
    <definedName name="graded_aca_events" localSheetId="37">'SY 7511F'!$AM$41</definedName>
    <definedName name="graded_aca_events" localSheetId="38">'TF 6241F'!$AM$41</definedName>
    <definedName name="graded_aca_events" localSheetId="39">'TF 6251F'!$AM$41</definedName>
    <definedName name="graded_aca_events" localSheetId="40">'TF 6402R'!$AM$42</definedName>
    <definedName name="graded_aca_events" localSheetId="41">'TF 6403R'!$AM$44</definedName>
    <definedName name="graded_aca_events" localSheetId="42">'TF 7113R'!$AM$42</definedName>
    <definedName name="graded_aca_events" localSheetId="43">'TF 7123R'!$AM$42</definedName>
    <definedName name="graded_aca_events" localSheetId="44">'TF 7133R'!$AM$42</definedName>
    <definedName name="graded_aca_events" localSheetId="45">'TF 7502R'!$AM$41</definedName>
    <definedName name="graded_amn_events" localSheetId="21">'FQ 6241F'!$AN$41</definedName>
    <definedName name="graded_amn_events" localSheetId="22">'FQ 6251F'!$AN$41</definedName>
    <definedName name="graded_amn_events" localSheetId="24">'FQ 7232F'!$AN$41</definedName>
    <definedName name="graded_amn_events" localSheetId="25">'FQ 8121F'!$AN$41</definedName>
    <definedName name="graded_amn_events" localSheetId="26">'FQ 8141F'!$AN$41</definedName>
    <definedName name="graded_amn_events" localSheetId="28">'FQ 9111F'!$AN$41</definedName>
    <definedName name="graded_amn_events" localSheetId="29">'FQ 9211F'!$AN$41</definedName>
    <definedName name="graded_amn_events" localSheetId="30">'FQ 9221F'!$AN$41</definedName>
    <definedName name="graded_amn_events" localSheetId="31">'FQ 9246F'!$AN$41</definedName>
    <definedName name="graded_amn_events" localSheetId="33">'FQ 9511F'!$AN$41</definedName>
    <definedName name="graded_amn_events" localSheetId="11">'PF 6121F'!$AN$41</definedName>
    <definedName name="graded_amn_events" localSheetId="12">'PF 6221F'!$AN$41</definedName>
    <definedName name="graded_amn_events" localSheetId="14">'PF 7112F'!$AN$41</definedName>
    <definedName name="graded_amn_events" localSheetId="16">'PF 8222F'!$AN$41</definedName>
    <definedName name="graded_amn_events" localSheetId="17">'PF 8231F'!$AN$41</definedName>
    <definedName name="graded_amn_events" localSheetId="18">'PF 8332F'!$AN$41</definedName>
    <definedName name="graded_amn_events" localSheetId="19">'PF 8340R'!$AN$42</definedName>
    <definedName name="graded_amn_events" localSheetId="34">'SY 6131F'!$AN$41</definedName>
    <definedName name="graded_amn_events" localSheetId="35">'SY 6132R'!$AN$42</definedName>
    <definedName name="graded_amn_events" localSheetId="36">'SY 7212F'!$AN$41</definedName>
    <definedName name="graded_amn_events" localSheetId="37">'SY 7511F'!$AN$41</definedName>
    <definedName name="graded_amn_events" localSheetId="38">'TF 6241F'!$AN$41</definedName>
    <definedName name="graded_amn_events" localSheetId="39">'TF 6251F'!$AN$41</definedName>
    <definedName name="graded_amn_events" localSheetId="40">'TF 6402R'!$AN$42</definedName>
    <definedName name="graded_amn_events" localSheetId="41">'TF 6403R'!$AN$44</definedName>
    <definedName name="graded_amn_events" localSheetId="42">'TF 7113R'!$AN$42</definedName>
    <definedName name="graded_amn_events" localSheetId="43">'TF 7123R'!$AN$42</definedName>
    <definedName name="graded_amn_events" localSheetId="44">'TF 7133R'!$AN$42</definedName>
    <definedName name="graded_amn_events" localSheetId="45">'TF 7502R'!$AN$41</definedName>
    <definedName name="GS_Logic" localSheetId="21">'FQ 6241F'!#REF!</definedName>
    <definedName name="GS_Logic" localSheetId="22">'FQ 6251F'!#REF!</definedName>
    <definedName name="GS_Logic" localSheetId="24">'FQ 7232F'!#REF!</definedName>
    <definedName name="GS_Logic" localSheetId="25">'FQ 8121F'!#REF!</definedName>
    <definedName name="GS_Logic" localSheetId="26">'FQ 8141F'!#REF!</definedName>
    <definedName name="GS_Logic" localSheetId="28">'FQ 9111F'!#REF!</definedName>
    <definedName name="GS_Logic" localSheetId="29">'FQ 9211F'!#REF!</definedName>
    <definedName name="GS_Logic" localSheetId="30">'FQ 9221F'!#REF!</definedName>
    <definedName name="GS_Logic" localSheetId="31">'FQ 9246F'!#REF!</definedName>
    <definedName name="GS_Logic" localSheetId="33">'FQ 9511F'!#REF!</definedName>
    <definedName name="GS_Logic" localSheetId="11">'PF 6121F'!#REF!</definedName>
    <definedName name="GS_Logic" localSheetId="12">'PF 6221F'!#REF!</definedName>
    <definedName name="GS_Logic" localSheetId="14">'PF 7112F'!#REF!</definedName>
    <definedName name="GS_Logic" localSheetId="16">'PF 8222F'!#REF!</definedName>
    <definedName name="GS_Logic" localSheetId="17">'PF 8231F'!#REF!</definedName>
    <definedName name="GS_Logic" localSheetId="18">'PF 8332F'!#REF!</definedName>
    <definedName name="GS_Logic" localSheetId="19">'PF 8340R'!#REF!</definedName>
    <definedName name="GS_Logic" localSheetId="34">'SY 6131F'!#REF!</definedName>
    <definedName name="GS_Logic" localSheetId="35">'SY 6132R'!#REF!</definedName>
    <definedName name="GS_Logic" localSheetId="36">'SY 7212F'!#REF!</definedName>
    <definedName name="GS_Logic" localSheetId="37">'SY 7511F'!#REF!</definedName>
    <definedName name="GS_Logic" localSheetId="38">'TF 6241F'!#REF!</definedName>
    <definedName name="GS_Logic" localSheetId="39">'TF 6251F'!#REF!</definedName>
    <definedName name="GS_Logic" localSheetId="40">'TF 6402R'!#REF!</definedName>
    <definedName name="GS_Logic" localSheetId="41">'TF 6403R'!#REF!</definedName>
    <definedName name="GS_Logic" localSheetId="42">'TF 7113R'!#REF!</definedName>
    <definedName name="GS_Logic" localSheetId="43">'TF 7123R'!#REF!</definedName>
    <definedName name="GS_Logic" localSheetId="44">'TF 7133R'!#REF!</definedName>
    <definedName name="GS_Logic" localSheetId="45">'TF 7502R'!#REF!</definedName>
    <definedName name="GS_Logic">#REF!</definedName>
    <definedName name="hdr_acft" localSheetId="21">'FQ 6241F'!$M$6</definedName>
    <definedName name="hdr_acft" localSheetId="22">'FQ 6251F'!$M$6</definedName>
    <definedName name="hdr_acft" localSheetId="24">'FQ 7232F'!$M$6</definedName>
    <definedName name="hdr_acft" localSheetId="25">'FQ 8121F'!$M$6</definedName>
    <definedName name="hdr_acft" localSheetId="26">'FQ 8141F'!$M$6</definedName>
    <definedName name="hdr_acft" localSheetId="28">'FQ 9111F'!$M$6</definedName>
    <definedName name="hdr_acft" localSheetId="29">'FQ 9211F'!$M$6</definedName>
    <definedName name="hdr_acft" localSheetId="30">'FQ 9221F'!$M$6</definedName>
    <definedName name="hdr_acft" localSheetId="31">'FQ 9246F'!$M$6</definedName>
    <definedName name="hdr_acft" localSheetId="33">'FQ 9511F'!$M$6</definedName>
    <definedName name="hdr_acft" localSheetId="11">'PF 6121F'!$M$6</definedName>
    <definedName name="hdr_acft" localSheetId="12">'PF 6221F'!$M$6</definedName>
    <definedName name="hdr_acft" localSheetId="14">'PF 7112F'!$M$6</definedName>
    <definedName name="hdr_acft" localSheetId="16">'PF 8222F'!$M$6</definedName>
    <definedName name="hdr_acft" localSheetId="17">'PF 8231F'!$M$6</definedName>
    <definedName name="hdr_acft" localSheetId="18">'PF 8332F'!$M$6</definedName>
    <definedName name="hdr_acft" localSheetId="19">'PF 8340R'!$M$7</definedName>
    <definedName name="hdr_acft" localSheetId="34">'SY 6131F'!$M$6</definedName>
    <definedName name="hdr_acft" localSheetId="35">'SY 6132R'!$M$7</definedName>
    <definedName name="hdr_acft" localSheetId="36">'SY 7212F'!$M$6</definedName>
    <definedName name="hdr_acft" localSheetId="37">'SY 7511F'!$M$6</definedName>
    <definedName name="hdr_acft" localSheetId="38">'TF 6241F'!$M$6</definedName>
    <definedName name="hdr_acft" localSheetId="39">'TF 6251F'!$M$6</definedName>
    <definedName name="hdr_acft" localSheetId="40">'TF 6402R'!$M$7</definedName>
    <definedName name="hdr_acft" localSheetId="41">'TF 6403R'!$M$9</definedName>
    <definedName name="hdr_acft" localSheetId="42">'TF 7113R'!$M$7</definedName>
    <definedName name="hdr_acft" localSheetId="43">'TF 7123R'!$M$7</definedName>
    <definedName name="hdr_acft" localSheetId="44">'TF 7133R'!$M$7</definedName>
    <definedName name="hdr_acft" localSheetId="45">'TF 7502R'!$M$6</definedName>
    <definedName name="hdr_acft">#REF!</definedName>
    <definedName name="hdr_class" localSheetId="21">'FQ 6241F'!$O$4</definedName>
    <definedName name="hdr_class" localSheetId="22">'FQ 6251F'!$O$4</definedName>
    <definedName name="hdr_class" localSheetId="24">'FQ 7232F'!$O$4</definedName>
    <definedName name="hdr_class" localSheetId="25">'FQ 8121F'!$O$4</definedName>
    <definedName name="hdr_class" localSheetId="26">'FQ 8141F'!$O$4</definedName>
    <definedName name="hdr_class" localSheetId="28">'FQ 9111F'!$O$4</definedName>
    <definedName name="hdr_class" localSheetId="29">'FQ 9211F'!$O$4</definedName>
    <definedName name="hdr_class" localSheetId="30">'FQ 9221F'!$O$4</definedName>
    <definedName name="hdr_class" localSheetId="31">'FQ 9246F'!$O$4</definedName>
    <definedName name="hdr_class" localSheetId="33">'FQ 9511F'!$O$4</definedName>
    <definedName name="hdr_class" localSheetId="11">'PF 6121F'!$O$4</definedName>
    <definedName name="hdr_class" localSheetId="12">'PF 6221F'!$O$4</definedName>
    <definedName name="hdr_class" localSheetId="14">'PF 7112F'!$O$4</definedName>
    <definedName name="hdr_class" localSheetId="16">'PF 8222F'!$O$4</definedName>
    <definedName name="hdr_class" localSheetId="17">'PF 8231F'!$O$4</definedName>
    <definedName name="hdr_class" localSheetId="18">'PF 8332F'!$O$4</definedName>
    <definedName name="hdr_class" localSheetId="19">'PF 8340R'!$O$5</definedName>
    <definedName name="hdr_class" localSheetId="34">'SY 6131F'!$O$4</definedName>
    <definedName name="hdr_class" localSheetId="35">'SY 6132R'!$O$5</definedName>
    <definedName name="hdr_class" localSheetId="36">'SY 7212F'!$O$4</definedName>
    <definedName name="hdr_class" localSheetId="37">'SY 7511F'!$O$4</definedName>
    <definedName name="hdr_class" localSheetId="38">'TF 6241F'!$O$4</definedName>
    <definedName name="hdr_class" localSheetId="39">'TF 6251F'!$O$4</definedName>
    <definedName name="hdr_class" localSheetId="40">'TF 6402R'!$O$5</definedName>
    <definedName name="hdr_class" localSheetId="41">'TF 6403R'!$O$7</definedName>
    <definedName name="hdr_class" localSheetId="42">'TF 7113R'!$O$5</definedName>
    <definedName name="hdr_class" localSheetId="43">'TF 7123R'!$O$5</definedName>
    <definedName name="hdr_class" localSheetId="44">'TF 7133R'!$O$5</definedName>
    <definedName name="hdr_class" localSheetId="45">'TF 7502R'!$O$4</definedName>
    <definedName name="hdr_date" localSheetId="21">'FQ 6241F'!$Q$4</definedName>
    <definedName name="hdr_date" localSheetId="22">'FQ 6251F'!$Q$4</definedName>
    <definedName name="hdr_date" localSheetId="24">'FQ 7232F'!$Q$4</definedName>
    <definedName name="hdr_date" localSheetId="25">'FQ 8121F'!$Q$4</definedName>
    <definedName name="hdr_date" localSheetId="26">'FQ 8141F'!$Q$4</definedName>
    <definedName name="hdr_date" localSheetId="28">'FQ 9111F'!$Q$4</definedName>
    <definedName name="hdr_date" localSheetId="29">'FQ 9211F'!$Q$4</definedName>
    <definedName name="hdr_date" localSheetId="30">'FQ 9221F'!$Q$4</definedName>
    <definedName name="hdr_date" localSheetId="31">'FQ 9246F'!$Q$4</definedName>
    <definedName name="hdr_date" localSheetId="33">'FQ 9511F'!$Q$4</definedName>
    <definedName name="hdr_date" localSheetId="11">'PF 6121F'!$Q$4</definedName>
    <definedName name="hdr_date" localSheetId="12">'PF 6221F'!$Q$4</definedName>
    <definedName name="hdr_date" localSheetId="14">'PF 7112F'!$Q$4</definedName>
    <definedName name="hdr_date" localSheetId="16">'PF 8222F'!$Q$4</definedName>
    <definedName name="hdr_date" localSheetId="17">'PF 8231F'!$Q$4</definedName>
    <definedName name="hdr_date" localSheetId="18">'PF 8332F'!$Q$4</definedName>
    <definedName name="hdr_date" localSheetId="19">'PF 8340R'!$Q$5</definedName>
    <definedName name="hdr_date" localSheetId="34">'SY 6131F'!$Q$4</definedName>
    <definedName name="hdr_date" localSheetId="35">'SY 6132R'!$Q$5</definedName>
    <definedName name="hdr_date" localSheetId="36">'SY 7212F'!$Q$4</definedName>
    <definedName name="hdr_date" localSheetId="37">'SY 7511F'!$Q$4</definedName>
    <definedName name="hdr_date" localSheetId="38">'TF 6241F'!$Q$4</definedName>
    <definedName name="hdr_date" localSheetId="39">'TF 6251F'!$Q$4</definedName>
    <definedName name="hdr_date" localSheetId="40">'TF 6402R'!$Q$5</definedName>
    <definedName name="hdr_date" localSheetId="41">'TF 6403R'!$Q$7</definedName>
    <definedName name="hdr_date" localSheetId="42">'TF 7113R'!$Q$5</definedName>
    <definedName name="hdr_date" localSheetId="43">'TF 7123R'!$Q$5</definedName>
    <definedName name="hdr_date" localSheetId="44">'TF 7133R'!$Q$5</definedName>
    <definedName name="hdr_date">#REF!</definedName>
    <definedName name="hdr_instr" localSheetId="21">'FQ 6241F'!$H$6</definedName>
    <definedName name="hdr_instr" localSheetId="22">'FQ 6251F'!$H$6</definedName>
    <definedName name="hdr_instr" localSheetId="24">'FQ 7232F'!$H$6</definedName>
    <definedName name="hdr_instr" localSheetId="25">'FQ 8121F'!$H$6</definedName>
    <definedName name="hdr_instr" localSheetId="26">'FQ 8141F'!$H$6</definedName>
    <definedName name="hdr_instr" localSheetId="28">'FQ 9111F'!$H$6</definedName>
    <definedName name="hdr_instr" localSheetId="29">'FQ 9211F'!$H$6</definedName>
    <definedName name="hdr_instr" localSheetId="30">'FQ 9221F'!$H$6</definedName>
    <definedName name="hdr_instr" localSheetId="31">'FQ 9246F'!$H$6</definedName>
    <definedName name="hdr_instr" localSheetId="33">'FQ 9511F'!$H$6</definedName>
    <definedName name="hdr_instr" localSheetId="11">'PF 6121F'!$H$6</definedName>
    <definedName name="hdr_instr" localSheetId="12">'PF 6221F'!$H$6</definedName>
    <definedName name="hdr_instr" localSheetId="14">'PF 7112F'!$H$6</definedName>
    <definedName name="hdr_instr" localSheetId="16">'PF 8222F'!$H$6</definedName>
    <definedName name="hdr_instr" localSheetId="17">'PF 8231F'!$H$6</definedName>
    <definedName name="hdr_instr" localSheetId="18">'PF 8332F'!$H$6</definedName>
    <definedName name="hdr_instr" localSheetId="19">'PF 8340R'!$H$7</definedName>
    <definedName name="hdr_instr" localSheetId="34">'SY 6131F'!$H$6</definedName>
    <definedName name="hdr_instr" localSheetId="35">'SY 6132R'!$H$7</definedName>
    <definedName name="hdr_instr" localSheetId="36">'SY 7212F'!$H$6</definedName>
    <definedName name="hdr_instr" localSheetId="37">'SY 7511F'!$H$6</definedName>
    <definedName name="hdr_instr" localSheetId="38">'TF 6241F'!$H$6</definedName>
    <definedName name="hdr_instr" localSheetId="39">'TF 6251F'!$H$6</definedName>
    <definedName name="hdr_instr" localSheetId="40">'TF 6402R'!$H$7</definedName>
    <definedName name="hdr_instr" localSheetId="41">'TF 6403R'!$H$9</definedName>
    <definedName name="hdr_instr" localSheetId="42">'TF 7113R'!$H$7</definedName>
    <definedName name="hdr_instr" localSheetId="43">'TF 7123R'!$H$7</definedName>
    <definedName name="hdr_instr" localSheetId="44">'TF 7133R'!$H$7</definedName>
    <definedName name="hdr_instr">#REF!</definedName>
    <definedName name="hdr_stud" localSheetId="21">'FQ 6241F'!$B$6</definedName>
    <definedName name="hdr_stud" localSheetId="22">'FQ 6251F'!$B$6</definedName>
    <definedName name="hdr_stud" localSheetId="24">'FQ 7232F'!$B$6</definedName>
    <definedName name="hdr_stud" localSheetId="25">'FQ 8121F'!$B$6</definedName>
    <definedName name="hdr_stud" localSheetId="26">'FQ 8141F'!$B$6</definedName>
    <definedName name="hdr_stud" localSheetId="28">'FQ 9111F'!$B$6</definedName>
    <definedName name="hdr_stud" localSheetId="29">'FQ 9211F'!$B$6</definedName>
    <definedName name="hdr_stud" localSheetId="30">'FQ 9221F'!$B$6</definedName>
    <definedName name="hdr_stud" localSheetId="31">'FQ 9246F'!$B$6</definedName>
    <definedName name="hdr_stud" localSheetId="33">'FQ 9511F'!$B$6</definedName>
    <definedName name="hdr_stud" localSheetId="11">'PF 6121F'!$B$6</definedName>
    <definedName name="hdr_stud" localSheetId="12">'PF 6221F'!$B$6</definedName>
    <definedName name="hdr_stud" localSheetId="14">'PF 7112F'!$B$6</definedName>
    <definedName name="hdr_stud" localSheetId="16">'PF 8222F'!$B$6</definedName>
    <definedName name="hdr_stud" localSheetId="17">'PF 8231F'!$B$6</definedName>
    <definedName name="hdr_stud" localSheetId="18">'PF 8332F'!$B$6</definedName>
    <definedName name="hdr_stud" localSheetId="19">'PF 8340R'!$B$7</definedName>
    <definedName name="hdr_stud" localSheetId="34">'SY 6131F'!$B$6</definedName>
    <definedName name="hdr_stud" localSheetId="35">'SY 6132R'!$B$7</definedName>
    <definedName name="hdr_stud" localSheetId="36">'SY 7212F'!$B$6</definedName>
    <definedName name="hdr_stud" localSheetId="37">'SY 7511F'!$B$6</definedName>
    <definedName name="hdr_stud" localSheetId="38">'TF 6241F'!$B$6</definedName>
    <definedName name="hdr_stud" localSheetId="39">'TF 6251F'!$B$6</definedName>
    <definedName name="hdr_stud" localSheetId="40">'TF 6402R'!$B$7</definedName>
    <definedName name="hdr_stud" localSheetId="41">'TF 6403R'!$B$9</definedName>
    <definedName name="hdr_stud" localSheetId="42">'TF 7113R'!$B$7</definedName>
    <definedName name="hdr_stud" localSheetId="43">'TF 7123R'!$B$7</definedName>
    <definedName name="hdr_stud" localSheetId="44">'TF 7133R'!$B$7</definedName>
    <definedName name="hdr_stud" localSheetId="45">'TF 7502R'!$B$6</definedName>
    <definedName name="hdr_time" localSheetId="21">'FQ 6241F'!$O$6</definedName>
    <definedName name="hdr_time" localSheetId="22">'FQ 6251F'!$O$6</definedName>
    <definedName name="hdr_time" localSheetId="24">'FQ 7232F'!$O$6</definedName>
    <definedName name="hdr_time" localSheetId="25">'FQ 8121F'!$O$6</definedName>
    <definedName name="hdr_time" localSheetId="26">'FQ 8141F'!$O$6</definedName>
    <definedName name="hdr_time" localSheetId="28">'FQ 9111F'!$O$6</definedName>
    <definedName name="hdr_time" localSheetId="29">'FQ 9211F'!$O$6</definedName>
    <definedName name="hdr_time" localSheetId="30">'FQ 9221F'!$O$6</definedName>
    <definedName name="hdr_time" localSheetId="31">'FQ 9246F'!$O$6</definedName>
    <definedName name="hdr_time" localSheetId="33">'FQ 9511F'!$O$6</definedName>
    <definedName name="hdr_time" localSheetId="11">'PF 6121F'!$O$6</definedName>
    <definedName name="hdr_time" localSheetId="12">'PF 6221F'!$O$6</definedName>
    <definedName name="hdr_time" localSheetId="14">'PF 7112F'!$O$6</definedName>
    <definedName name="hdr_time" localSheetId="16">'PF 8222F'!$O$6</definedName>
    <definedName name="hdr_time" localSheetId="17">'PF 8231F'!$O$6</definedName>
    <definedName name="hdr_time" localSheetId="18">'PF 8332F'!$O$6</definedName>
    <definedName name="hdr_time" localSheetId="19">'PF 8340R'!$O$7</definedName>
    <definedName name="hdr_time" localSheetId="34">'SY 6131F'!$O$6</definedName>
    <definedName name="hdr_time" localSheetId="35">'SY 6132R'!$O$7</definedName>
    <definedName name="hdr_time" localSheetId="36">'SY 7212F'!$O$6</definedName>
    <definedName name="hdr_time" localSheetId="37">'SY 7511F'!$O$6</definedName>
    <definedName name="hdr_time" localSheetId="38">'TF 6241F'!$O$6</definedName>
    <definedName name="hdr_time" localSheetId="39">'TF 6251F'!$O$6</definedName>
    <definedName name="hdr_time" localSheetId="40">'TF 6402R'!$O$7</definedName>
    <definedName name="hdr_time" localSheetId="41">'TF 6403R'!$O$9</definedName>
    <definedName name="hdr_time" localSheetId="42">'TF 7113R'!$O$7</definedName>
    <definedName name="hdr_time" localSheetId="43">'TF 7123R'!$O$7</definedName>
    <definedName name="hdr_time" localSheetId="44">'TF 7133R'!$O$7</definedName>
    <definedName name="hdr_time" localSheetId="45">'TF 7502R'!$O$6</definedName>
    <definedName name="hdr_time">#REF!</definedName>
    <definedName name="input_data" localSheetId="21">'FQ 6241F'!$T$8:$AF$39</definedName>
    <definedName name="input_data" localSheetId="22">'FQ 6251F'!$T$8:$AF$39</definedName>
    <definedName name="input_data" localSheetId="24">'FQ 7232F'!$T$8:$AF$39</definedName>
    <definedName name="input_data" localSheetId="25">'FQ 8121F'!$T$8:$AF$39</definedName>
    <definedName name="input_data" localSheetId="26">'FQ 8141F'!$T$8:$AF$39</definedName>
    <definedName name="input_data" localSheetId="28">'FQ 9111F'!$T$8:$AF$39</definedName>
    <definedName name="input_data" localSheetId="29">'FQ 9211F'!$T$8:$AF$39</definedName>
    <definedName name="input_data" localSheetId="30">'FQ 9221F'!$T$8:$AF$39</definedName>
    <definedName name="input_data" localSheetId="31">'FQ 9246F'!$T$8:$AF$39</definedName>
    <definedName name="input_data" localSheetId="33">'FQ 9511F'!$T$8:$AF$39</definedName>
    <definedName name="input_data" localSheetId="11">'PF 6121F'!$T$8:$AF$39</definedName>
    <definedName name="input_data" localSheetId="12">'PF 6221F'!$T$8:$AF$39</definedName>
    <definedName name="input_data" localSheetId="14">'PF 7112F'!$T$8:$AF$39</definedName>
    <definedName name="input_data" localSheetId="16">'PF 8222F'!$T$8:$AF$39</definedName>
    <definedName name="input_data" localSheetId="17">'PF 8231F'!$T$8:$AF$39</definedName>
    <definedName name="input_data" localSheetId="18">'PF 8332F'!$T$8:$AF$39</definedName>
    <definedName name="input_data" localSheetId="19">'PF 8340R'!$T$9:$AF$40</definedName>
    <definedName name="input_data" localSheetId="34">'SY 6131F'!$T$8:$AF$39</definedName>
    <definedName name="input_data" localSheetId="35">'SY 6132R'!$T$9:$AF$40</definedName>
    <definedName name="input_data" localSheetId="36">'SY 7212F'!$T$8:$AF$39</definedName>
    <definedName name="input_data" localSheetId="37">'SY 7511F'!$T$8:$AF$39</definedName>
    <definedName name="input_data" localSheetId="38">'TF 6241F'!$T$8:$AF$39</definedName>
    <definedName name="input_data" localSheetId="39">'TF 6251F'!$T$8:$AF$39</definedName>
    <definedName name="input_data" localSheetId="40">'TF 6402R'!$T$9:$AF$40</definedName>
    <definedName name="input_data" localSheetId="41">'TF 6403R'!$T$11:$AF$42</definedName>
    <definedName name="input_data" localSheetId="42">'TF 7113R'!$T$9:$AF$40</definedName>
    <definedName name="input_data" localSheetId="43">'TF 7123R'!$T$9:$AF$40</definedName>
    <definedName name="input_data" localSheetId="44">'TF 7133R'!$T$9:$AF$40</definedName>
    <definedName name="input_data" localSheetId="45">'TF 7502R'!$T$8:$AF$39</definedName>
    <definedName name="input_data">#REF!</definedName>
    <definedName name="input_flt" localSheetId="24">#REF!</definedName>
    <definedName name="input_flt" localSheetId="31">#REF!</definedName>
    <definedName name="input_flt" localSheetId="32">#REF!</definedName>
    <definedName name="input_flt" localSheetId="16">'[1]Extra 300'!$AD$40</definedName>
    <definedName name="input_flt" localSheetId="17">'[1]Extra 300'!$AD$40</definedName>
    <definedName name="input_flt" localSheetId="34">#REF!</definedName>
    <definedName name="input_flt">#REF!</definedName>
    <definedName name="input_max_amnshp" localSheetId="21">'FQ 6241F'!$AT$6</definedName>
    <definedName name="input_max_amnshp" localSheetId="22">'FQ 6251F'!$AT$6</definedName>
    <definedName name="input_max_amnshp" localSheetId="24">'FQ 7232F'!$AT$6</definedName>
    <definedName name="input_max_amnshp" localSheetId="25">'FQ 8121F'!$AT$6</definedName>
    <definedName name="input_max_amnshp" localSheetId="26">'FQ 8141F'!$AT$6</definedName>
    <definedName name="input_max_amnshp" localSheetId="28">'FQ 9111F'!$AT$6</definedName>
    <definedName name="input_max_amnshp" localSheetId="29">'FQ 9211F'!$AT$6</definedName>
    <definedName name="input_max_amnshp" localSheetId="30">'FQ 9221F'!$AT$6</definedName>
    <definedName name="input_max_amnshp" localSheetId="31">'FQ 9246F'!$AT$6</definedName>
    <definedName name="input_max_amnshp" localSheetId="32">#REF!</definedName>
    <definedName name="input_max_amnshp" localSheetId="33">'FQ 9511F'!$AT$6</definedName>
    <definedName name="input_max_amnshp" localSheetId="11">'PF 6121F'!$AT$6</definedName>
    <definedName name="input_max_amnshp" localSheetId="12">'PF 6221F'!$AT$6</definedName>
    <definedName name="input_max_amnshp" localSheetId="14">'PF 7112F'!$AT$6</definedName>
    <definedName name="input_max_amnshp" localSheetId="16">'PF 8222F'!$AT$6</definedName>
    <definedName name="input_max_amnshp" localSheetId="17">'PF 8231F'!$AT$6</definedName>
    <definedName name="input_max_amnshp" localSheetId="18">'PF 8332F'!$AT$6</definedName>
    <definedName name="input_max_amnshp" localSheetId="19">'PF 8340R'!$AT$7</definedName>
    <definedName name="input_max_amnshp" localSheetId="34">'SY 6131F'!$AT$6</definedName>
    <definedName name="input_max_amnshp" localSheetId="35">'SY 6132R'!$AT$7</definedName>
    <definedName name="input_max_amnshp" localSheetId="36">'SY 7212F'!$AT$6</definedName>
    <definedName name="input_max_amnshp" localSheetId="37">'SY 7511F'!$AT$6</definedName>
    <definedName name="input_max_amnshp" localSheetId="38">'TF 6241F'!$AT$6</definedName>
    <definedName name="input_max_amnshp" localSheetId="39">'TF 6251F'!$AT$6</definedName>
    <definedName name="input_max_amnshp" localSheetId="40">'TF 6402R'!$AT$7</definedName>
    <definedName name="input_max_amnshp" localSheetId="41">'TF 6403R'!$AT$9</definedName>
    <definedName name="input_max_amnshp" localSheetId="42">'TF 7113R'!$AT$7</definedName>
    <definedName name="input_max_amnshp" localSheetId="43">'TF 7123R'!$AT$7</definedName>
    <definedName name="input_max_amnshp" localSheetId="44">'TF 7133R'!$AT$7</definedName>
    <definedName name="input_max_amnshp" localSheetId="45">'TF 7502R'!$AT$6</definedName>
    <definedName name="input_max_amnshp">#REF!</definedName>
    <definedName name="input_maxb" localSheetId="21">'FQ 6241F'!$AV$4</definedName>
    <definedName name="input_maxb" localSheetId="22">'FQ 6251F'!$AV$4</definedName>
    <definedName name="input_maxb" localSheetId="24">'FQ 7232F'!$AV$4</definedName>
    <definedName name="input_maxb" localSheetId="25">'FQ 8121F'!$AV$4</definedName>
    <definedName name="input_maxb" localSheetId="26">'FQ 8141F'!$AV$4</definedName>
    <definedName name="input_maxb" localSheetId="28">'FQ 9111F'!$AV$4</definedName>
    <definedName name="input_maxb" localSheetId="29">'FQ 9211F'!$AV$4</definedName>
    <definedName name="input_maxb" localSheetId="30">'FQ 9221F'!$AV$4</definedName>
    <definedName name="input_maxb" localSheetId="31">'FQ 9246F'!$AV$4</definedName>
    <definedName name="input_maxb" localSheetId="32">#REF!</definedName>
    <definedName name="input_maxb" localSheetId="33">'FQ 9511F'!$AV$4</definedName>
    <definedName name="input_maxb" localSheetId="11">'PF 6121F'!$AV$4</definedName>
    <definedName name="input_maxb" localSheetId="12">'PF 6221F'!$AV$4</definedName>
    <definedName name="input_maxb" localSheetId="14">'PF 7112F'!$AV$4</definedName>
    <definedName name="input_maxb" localSheetId="16">'PF 8222F'!$AV$4</definedName>
    <definedName name="input_maxb" localSheetId="17">'PF 8231F'!$AV$4</definedName>
    <definedName name="input_maxb" localSheetId="18">'PF 8332F'!$AV$4</definedName>
    <definedName name="input_maxb" localSheetId="19">'PF 8340R'!$AV$5</definedName>
    <definedName name="input_maxb" localSheetId="34">'SY 6131F'!$AV$4</definedName>
    <definedName name="input_maxb" localSheetId="35">'SY 6132R'!$AV$5</definedName>
    <definedName name="input_maxb" localSheetId="36">'SY 7212F'!$AV$4</definedName>
    <definedName name="input_maxb" localSheetId="37">'SY 7511F'!$AV$4</definedName>
    <definedName name="input_maxb" localSheetId="38">'TF 6241F'!$AV$4</definedName>
    <definedName name="input_maxb" localSheetId="39">'TF 6251F'!$AV$4</definedName>
    <definedName name="input_maxb" localSheetId="40">'TF 6402R'!$AV$5</definedName>
    <definedName name="input_maxb" localSheetId="41">'TF 6403R'!$AV$7</definedName>
    <definedName name="input_maxb" localSheetId="42">'TF 7113R'!$AV$5</definedName>
    <definedName name="input_maxb" localSheetId="43">'TF 7123R'!$AV$5</definedName>
    <definedName name="input_maxb" localSheetId="44">'TF 7133R'!$AV$5</definedName>
    <definedName name="input_maxb" localSheetId="45">'TF 7502R'!$AV$4</definedName>
    <definedName name="input_maxb">#REF!</definedName>
    <definedName name="input_rubric" localSheetId="21">'FQ 6241F'!$BO$8:$BP$14</definedName>
    <definedName name="input_rubric" localSheetId="22">'FQ 6251F'!$BO$8:$BP$14</definedName>
    <definedName name="input_rubric" localSheetId="24">'FQ 7232F'!$BO$8:$BP$14</definedName>
    <definedName name="input_rubric" localSheetId="25">'FQ 8121F'!$BO$8:$BP$14</definedName>
    <definedName name="input_rubric" localSheetId="26">'FQ 8141F'!$BO$8:$BP$14</definedName>
    <definedName name="input_rubric" localSheetId="28">'FQ 9111F'!$BO$8:$BP$14</definedName>
    <definedName name="input_rubric" localSheetId="29">'FQ 9211F'!$BO$8:$BP$14</definedName>
    <definedName name="input_rubric" localSheetId="30">'FQ 9221F'!$BO$8:$BP$14</definedName>
    <definedName name="input_rubric" localSheetId="31">'FQ 9246F'!$BO$8:$BP$14</definedName>
    <definedName name="input_rubric" localSheetId="33">'FQ 9511F'!$BO$8:$BP$14</definedName>
    <definedName name="input_rubric" localSheetId="11">'PF 6121F'!$BO$8:$BP$14</definedName>
    <definedName name="input_rubric" localSheetId="12">'PF 6221F'!$BO$8:$BP$14</definedName>
    <definedName name="input_rubric" localSheetId="14">'PF 7112F'!$BO$8:$BP$14</definedName>
    <definedName name="input_rubric" localSheetId="16">'PF 8222F'!$BO$8:$BP$14</definedName>
    <definedName name="input_rubric" localSheetId="17">'PF 8231F'!$BO$8:$BP$14</definedName>
    <definedName name="input_rubric" localSheetId="18">'PF 8332F'!$BO$8:$BP$14</definedName>
    <definedName name="input_rubric" localSheetId="19">'PF 8340R'!$BO$9:$BP$15</definedName>
    <definedName name="input_rubric" localSheetId="34">'SY 6131F'!$BO$8:$BP$14</definedName>
    <definedName name="input_rubric" localSheetId="35">'SY 6132R'!$BO$9:$BP$15</definedName>
    <definedName name="input_rubric" localSheetId="36">'SY 7212F'!$BO$8:$BP$14</definedName>
    <definedName name="input_rubric" localSheetId="37">'SY 7511F'!$BO$8:$BP$14</definedName>
    <definedName name="input_rubric" localSheetId="38">'TF 6241F'!$BO$8:$BP$14</definedName>
    <definedName name="input_rubric" localSheetId="39">'TF 6251F'!$BO$8:$BP$14</definedName>
    <definedName name="input_rubric" localSheetId="40">'TF 6402R'!$BO$9:$BP$15</definedName>
    <definedName name="input_rubric" localSheetId="41">'TF 6403R'!$BO$11:$BP$17</definedName>
    <definedName name="input_rubric" localSheetId="42">'TF 7113R'!$BO$9:$BP$15</definedName>
    <definedName name="input_rubric" localSheetId="43">'TF 7123R'!$BO$9:$BP$15</definedName>
    <definedName name="input_rubric" localSheetId="44">'TF 7133R'!$BO$9:$BP$15</definedName>
    <definedName name="input_rubric" localSheetId="45">'TF 7502R'!$BO$8:$BP$14</definedName>
    <definedName name="input_rubric">#REF!</definedName>
    <definedName name="input_sc2g" localSheetId="21">'FQ 6241F'!$AR$50:$AV$58</definedName>
    <definedName name="input_sc2g" localSheetId="22">'FQ 6251F'!$AR$50:$AV$58</definedName>
    <definedName name="input_sc2g" localSheetId="24">'FQ 7232F'!$AR$50:$AV$58</definedName>
    <definedName name="input_sc2g" localSheetId="25">'FQ 8121F'!$AR$50:$AV$58</definedName>
    <definedName name="input_sc2g" localSheetId="26">'FQ 8141F'!$AR$50:$AV$58</definedName>
    <definedName name="input_sc2g" localSheetId="28">'FQ 9111F'!$AR$50:$AV$58</definedName>
    <definedName name="input_sc2g" localSheetId="29">'FQ 9211F'!$AR$50:$AV$58</definedName>
    <definedName name="input_sc2g" localSheetId="30">'FQ 9221F'!$AR$50:$AV$58</definedName>
    <definedName name="input_sc2g" localSheetId="31">'FQ 9246F'!$AR$50:$AV$58</definedName>
    <definedName name="input_sc2g" localSheetId="33">'FQ 9511F'!$AR$50:$AV$58</definedName>
    <definedName name="input_sc2g" localSheetId="11">'PF 6121F'!$AR$50:$AV$58</definedName>
    <definedName name="input_sc2g" localSheetId="12">'PF 6221F'!$AR$50:$AV$58</definedName>
    <definedName name="input_sc2g" localSheetId="14">'PF 7112F'!$AR$50:$AV$58</definedName>
    <definedName name="input_sc2g" localSheetId="16">'PF 8222F'!$AR$50:$AV$58</definedName>
    <definedName name="input_sc2g" localSheetId="17">'PF 8231F'!$AR$50:$AV$58</definedName>
    <definedName name="input_sc2g" localSheetId="18">'PF 8332F'!$AR$50:$AV$58</definedName>
    <definedName name="input_sc2g" localSheetId="19">'PF 8340R'!$AR$51:$AV$59</definedName>
    <definedName name="input_sc2g" localSheetId="34">'SY 6131F'!$AR$50:$AV$58</definedName>
    <definedName name="input_sc2g" localSheetId="35">'SY 6132R'!$AR$51:$AV$59</definedName>
    <definedName name="input_sc2g" localSheetId="36">'SY 7212F'!$AR$50:$AV$58</definedName>
    <definedName name="input_sc2g" localSheetId="37">'SY 7511F'!$AR$50:$AV$58</definedName>
    <definedName name="input_sc2g" localSheetId="38">'TF 6241F'!$AR$50:$AV$58</definedName>
    <definedName name="input_sc2g" localSheetId="39">'TF 6251F'!$AR$50:$AV$58</definedName>
    <definedName name="input_sc2g" localSheetId="40">'TF 6402R'!$AR$51:$AV$59</definedName>
    <definedName name="input_sc2g" localSheetId="41">'TF 6403R'!$AR$53:$AV$61</definedName>
    <definedName name="input_sc2g" localSheetId="42">'TF 7113R'!$AR$51:$AV$59</definedName>
    <definedName name="input_sc2g" localSheetId="43">'TF 7123R'!$AR$51:$AV$59</definedName>
    <definedName name="input_sc2g" localSheetId="44">'TF 7133R'!$AR$51:$AV$59</definedName>
    <definedName name="input_sc2g" localSheetId="45">'TF 7502R'!$AR$50:$AV$58</definedName>
    <definedName name="input_sc2g">#REF!</definedName>
    <definedName name="input_studs" localSheetId="21">'FQ 6241F'!$H$4</definedName>
    <definedName name="input_studs" localSheetId="22">'FQ 6251F'!$H$4</definedName>
    <definedName name="input_studs" localSheetId="24">'FQ 7232F'!$H$4</definedName>
    <definedName name="input_studs" localSheetId="25">'FQ 8121F'!$H$4</definedName>
    <definedName name="input_studs" localSheetId="26">'FQ 8141F'!$H$4</definedName>
    <definedName name="input_studs" localSheetId="28">'FQ 9111F'!$H$4</definedName>
    <definedName name="input_studs" localSheetId="29">'FQ 9211F'!$H$4</definedName>
    <definedName name="input_studs" localSheetId="30">'FQ 9221F'!$H$4</definedName>
    <definedName name="input_studs" localSheetId="31">'FQ 9246F'!$H$4</definedName>
    <definedName name="input_studs" localSheetId="33">'FQ 9511F'!$H$4</definedName>
    <definedName name="input_studs" localSheetId="11">'PF 6121F'!$H$4</definedName>
    <definedName name="input_studs" localSheetId="12">'PF 6221F'!$H$4</definedName>
    <definedName name="input_studs" localSheetId="14">'PF 7112F'!$H$4</definedName>
    <definedName name="input_studs" localSheetId="16">'PF 8222F'!$H$4</definedName>
    <definedName name="input_studs" localSheetId="17">'PF 8231F'!$H$4</definedName>
    <definedName name="input_studs" localSheetId="18">'PF 8332F'!$H$4</definedName>
    <definedName name="input_studs" localSheetId="19">'PF 8340R'!$H$5</definedName>
    <definedName name="input_studs" localSheetId="34">'SY 6131F'!$H$4</definedName>
    <definedName name="input_studs" localSheetId="35">'SY 6132R'!$H$5</definedName>
    <definedName name="input_studs" localSheetId="36">'SY 7212F'!$H$4</definedName>
    <definedName name="input_studs" localSheetId="37">'SY 7511F'!$H$4</definedName>
    <definedName name="input_studs" localSheetId="38">'TF 6241F'!$H$4</definedName>
    <definedName name="input_studs" localSheetId="39">'TF 6251F'!$H$4</definedName>
    <definedName name="input_studs" localSheetId="40">'TF 6402R'!$H$5</definedName>
    <definedName name="input_studs" localSheetId="41">'TF 6403R'!$H$7</definedName>
    <definedName name="input_studs" localSheetId="42">'TF 7113R'!$H$5</definedName>
    <definedName name="input_studs" localSheetId="43">'TF 7123R'!$H$5</definedName>
    <definedName name="input_studs" localSheetId="44">'TF 7133R'!$H$5</definedName>
    <definedName name="input_studs" localSheetId="45">'TF 7502R'!$H$4</definedName>
    <definedName name="input_studs">#REF!</definedName>
    <definedName name="input_test" localSheetId="21">'FQ 6241F'!$U$43</definedName>
    <definedName name="input_test" localSheetId="22">'FQ 6251F'!$U$43</definedName>
    <definedName name="input_test" localSheetId="24">'FQ 7232F'!$U$43</definedName>
    <definedName name="input_test" localSheetId="25">'FQ 8121F'!$U$43</definedName>
    <definedName name="input_test" localSheetId="26">'FQ 8141F'!$U$43</definedName>
    <definedName name="input_test" localSheetId="28">'FQ 9111F'!$U$43</definedName>
    <definedName name="input_test" localSheetId="29">'FQ 9211F'!$U$43</definedName>
    <definedName name="input_test" localSheetId="30">'FQ 9221F'!$U$43</definedName>
    <definedName name="input_test" localSheetId="31">'FQ 9246F'!$U$43</definedName>
    <definedName name="input_test" localSheetId="33">'FQ 9511F'!$U$43</definedName>
    <definedName name="input_test" localSheetId="11">'PF 6121F'!$U$43</definedName>
    <definedName name="input_test" localSheetId="12">'PF 6221F'!$U$43</definedName>
    <definedName name="input_test" localSheetId="14">'PF 7112F'!$U$43</definedName>
    <definedName name="input_test" localSheetId="16">'PF 8222F'!$U$43</definedName>
    <definedName name="input_test" localSheetId="17">'PF 8231F'!$U$43</definedName>
    <definedName name="input_test" localSheetId="18">'PF 8332F'!$U$43</definedName>
    <definedName name="input_test" localSheetId="19">'PF 8340R'!$U$44</definedName>
    <definedName name="input_test" localSheetId="34">'SY 6131F'!$U$43</definedName>
    <definedName name="input_test" localSheetId="35">'SY 6132R'!$U$44</definedName>
    <definedName name="input_test" localSheetId="36">'SY 7212F'!$U$43</definedName>
    <definedName name="input_test" localSheetId="37">'SY 7511F'!$U$43</definedName>
    <definedName name="input_test" localSheetId="38">'TF 6241F'!$U$43</definedName>
    <definedName name="input_test" localSheetId="39">'TF 6251F'!$U$43</definedName>
    <definedName name="input_test" localSheetId="40">'TF 6402R'!$U$44</definedName>
    <definedName name="input_test" localSheetId="41">'TF 6403R'!$U$46</definedName>
    <definedName name="input_test" localSheetId="42">'TF 7113R'!$U$44</definedName>
    <definedName name="input_test" localSheetId="43">'TF 7123R'!$U$44</definedName>
    <definedName name="input_test" localSheetId="44">'TF 7133R'!$U$44</definedName>
    <definedName name="input_test" localSheetId="45">'TF 7502R'!$U$43</definedName>
    <definedName name="input_title" localSheetId="21">'FQ 6241F'!$H$3</definedName>
    <definedName name="input_title" localSheetId="22">'FQ 6251F'!$H$3</definedName>
    <definedName name="input_title" localSheetId="24">'FQ 7232F'!$H$3</definedName>
    <definedName name="input_title" localSheetId="25">'FQ 8121F'!$H$3</definedName>
    <definedName name="input_title" localSheetId="26">'FQ 8141F'!$H$3</definedName>
    <definedName name="input_title" localSheetId="28">'FQ 9111F'!$H$3</definedName>
    <definedName name="input_title" localSheetId="29">'FQ 9211F'!$H$3</definedName>
    <definedName name="input_title" localSheetId="30">'FQ 9221F'!$H$3</definedName>
    <definedName name="input_title" localSheetId="31">'FQ 9246F'!$H$3</definedName>
    <definedName name="input_title" localSheetId="33">'FQ 9511F'!$H$3</definedName>
    <definedName name="input_title" localSheetId="11">'PF 6121F'!$H$3</definedName>
    <definedName name="input_title" localSheetId="12">'PF 6221F'!$H$3</definedName>
    <definedName name="input_title" localSheetId="14">'PF 7112F'!$H$3</definedName>
    <definedName name="input_title" localSheetId="16">'PF 8222F'!$H$3</definedName>
    <definedName name="input_title" localSheetId="17">'PF 8231F'!$H$3</definedName>
    <definedName name="input_title" localSheetId="18">'PF 8332F'!$H$3</definedName>
    <definedName name="input_title" localSheetId="19">'PF 8340R'!$H$4</definedName>
    <definedName name="input_title" localSheetId="34">'SY 6131F'!$H$3</definedName>
    <definedName name="input_title" localSheetId="35">'SY 6132R'!$H$4</definedName>
    <definedName name="input_title" localSheetId="36">'SY 7212F'!$H$3</definedName>
    <definedName name="input_title" localSheetId="37">'SY 7511F'!$H$3</definedName>
    <definedName name="input_title" localSheetId="38">'TF 6241F'!$H$3</definedName>
    <definedName name="input_title" localSheetId="39">'TF 6251F'!$H$3</definedName>
    <definedName name="input_title" localSheetId="40">'TF 6402R'!$H$4</definedName>
    <definedName name="input_title" localSheetId="41">'TF 6403R'!$H$6</definedName>
    <definedName name="input_title" localSheetId="42">'TF 7113R'!$H$4</definedName>
    <definedName name="input_title" localSheetId="43">'TF 7123R'!$H$4</definedName>
    <definedName name="input_title" localSheetId="44">'TF 7133R'!$H$4</definedName>
    <definedName name="input_title">#REF!</definedName>
    <definedName name="input_type" localSheetId="21">'FQ 6241F'!$B$4</definedName>
    <definedName name="input_type" localSheetId="22">'FQ 6251F'!$B$4</definedName>
    <definedName name="input_type" localSheetId="24">'FQ 7232F'!$B$4</definedName>
    <definedName name="input_type" localSheetId="25">'FQ 8121F'!$B$4</definedName>
    <definedName name="input_type" localSheetId="26">'FQ 8141F'!$B$4</definedName>
    <definedName name="input_type" localSheetId="28">'FQ 9111F'!$B$4</definedName>
    <definedName name="input_type" localSheetId="29">'FQ 9211F'!$B$4</definedName>
    <definedName name="input_type" localSheetId="30">'FQ 9221F'!$B$4</definedName>
    <definedName name="input_type" localSheetId="31">'FQ 9246F'!$B$4</definedName>
    <definedName name="input_type" localSheetId="33">'FQ 9511F'!$B$4</definedName>
    <definedName name="input_type" localSheetId="11">'PF 6121F'!$B$4</definedName>
    <definedName name="input_type" localSheetId="12">'PF 6221F'!$B$4</definedName>
    <definedName name="input_type" localSheetId="14">'PF 7112F'!$B$4</definedName>
    <definedName name="input_type" localSheetId="16">'PF 8222F'!$B$4</definedName>
    <definedName name="input_type" localSheetId="17">'PF 8231F'!$B$4</definedName>
    <definedName name="input_type" localSheetId="18">'PF 8332F'!$B$4</definedName>
    <definedName name="input_type" localSheetId="19">'PF 8340R'!$B$5</definedName>
    <definedName name="input_type" localSheetId="34">'SY 6131F'!$B$4</definedName>
    <definedName name="input_type" localSheetId="35">'SY 6132R'!$B$5</definedName>
    <definedName name="input_type" localSheetId="36">'SY 7212F'!$B$4</definedName>
    <definedName name="input_type" localSheetId="37">'SY 7511F'!$B$4</definedName>
    <definedName name="input_type" localSheetId="38">'TF 6241F'!$B$4</definedName>
    <definedName name="input_type" localSheetId="39">'TF 6251F'!$B$4</definedName>
    <definedName name="input_type" localSheetId="40">'TF 6402R'!$B$5</definedName>
    <definedName name="input_type" localSheetId="41">'TF 6403R'!$B$7</definedName>
    <definedName name="input_type" localSheetId="42">'TF 7113R'!$B$5</definedName>
    <definedName name="input_type" localSheetId="43">'TF 7123R'!$B$5</definedName>
    <definedName name="input_type" localSheetId="44">'TF 7133R'!$B$5</definedName>
    <definedName name="input_type" localSheetId="45">'TF 7502R'!$B$4</definedName>
    <definedName name="input_type">#REF!</definedName>
    <definedName name="input_version" localSheetId="21">'FQ 6241F'!$L$42</definedName>
    <definedName name="input_version" localSheetId="22">'FQ 6251F'!$L$42</definedName>
    <definedName name="input_version" localSheetId="24">'FQ 7232F'!$L$42</definedName>
    <definedName name="input_version" localSheetId="25">'FQ 8121F'!$L$42</definedName>
    <definedName name="input_version" localSheetId="26">'FQ 8141F'!$L$42</definedName>
    <definedName name="input_version" localSheetId="28">'FQ 9111F'!$L$42</definedName>
    <definedName name="input_version" localSheetId="29">'FQ 9211F'!$L$42</definedName>
    <definedName name="input_version" localSheetId="30">'FQ 9221F'!$L$42</definedName>
    <definedName name="input_version" localSheetId="31">'FQ 9246F'!$L$42</definedName>
    <definedName name="input_version" localSheetId="33">'FQ 9511F'!$L$42</definedName>
    <definedName name="input_version" localSheetId="11">'PF 6121F'!$L$42</definedName>
    <definedName name="input_version" localSheetId="12">'PF 6221F'!$L$42</definedName>
    <definedName name="input_version" localSheetId="14">'PF 7112F'!$L$42</definedName>
    <definedName name="input_version" localSheetId="16">'PF 8222F'!$L$42</definedName>
    <definedName name="input_version" localSheetId="17">'PF 8231F'!$L$42</definedName>
    <definedName name="input_version" localSheetId="18">'PF 8332F'!$L$42</definedName>
    <definedName name="input_version" localSheetId="19">'PF 8340R'!$L$43</definedName>
    <definedName name="input_version" localSheetId="34">'SY 6131F'!$L$42</definedName>
    <definedName name="input_version" localSheetId="35">'SY 6132R'!$L$43</definedName>
    <definedName name="input_version" localSheetId="36">'SY 7212F'!$L$42</definedName>
    <definedName name="input_version" localSheetId="37">'SY 7511F'!$L$42</definedName>
    <definedName name="input_version" localSheetId="38">'TF 6241F'!$L$42</definedName>
    <definedName name="input_version" localSheetId="39">'TF 6251F'!$L$42</definedName>
    <definedName name="input_version" localSheetId="40">'TF 6402R'!$L$43</definedName>
    <definedName name="input_version" localSheetId="41">'TF 6403R'!$L$45</definedName>
    <definedName name="input_version" localSheetId="42">'TF 7113R'!$L$43</definedName>
    <definedName name="input_version" localSheetId="43">'TF 7123R'!$L$43</definedName>
    <definedName name="input_version" localSheetId="44">'TF 7133R'!$L$43</definedName>
    <definedName name="input_version" localSheetId="45">'TF 7502R'!$L$42</definedName>
    <definedName name="input_version">#REF!</definedName>
    <definedName name="instr_sign" localSheetId="23">'FQ 6321R'!$J$46</definedName>
    <definedName name="instr_sign" localSheetId="27">'FQ 8210Y'!$D$21</definedName>
    <definedName name="instr_sign" localSheetId="32">'FQ 9248Y'!$D$21</definedName>
    <definedName name="instr_sign" localSheetId="15">'PF 7121R'!$J$45</definedName>
    <definedName name="instr_sign" localSheetId="19">'PF 8340R'!$L$42</definedName>
    <definedName name="instr_sign" localSheetId="20">'PF 8351Y'!$I$40</definedName>
    <definedName name="instr_sign" localSheetId="35">'SY 6132R'!$L$42</definedName>
    <definedName name="instr_sign" localSheetId="40">'TF 6402R'!$L$42</definedName>
    <definedName name="instr_sign" localSheetId="41">'TF 6403R'!$L$44</definedName>
    <definedName name="instr_sign" localSheetId="42">'TF 7113R'!$L$42</definedName>
    <definedName name="instr_sign" localSheetId="43">'TF 7123R'!$L$42</definedName>
    <definedName name="instr_sign" localSheetId="44">'TF 7133R'!$L$42</definedName>
    <definedName name="instr_sign" localSheetId="45">'TF 7502R'!$L$41</definedName>
    <definedName name="instr_sign">'PF 6241R'!$J$31</definedName>
    <definedName name="instructor" localSheetId="23">'FQ 6321R'!$E$4</definedName>
    <definedName name="instructor" localSheetId="27">'FQ 8210Y'!$C$2</definedName>
    <definedName name="instructor" localSheetId="32">'FQ 9248Y'!$C$2</definedName>
    <definedName name="instructor" localSheetId="13">'PF 6241R'!$E$4</definedName>
    <definedName name="instructor" localSheetId="15">'PF 7121R'!$E$4</definedName>
    <definedName name="instructor" localSheetId="19">'PF 8340R'!$H$7</definedName>
    <definedName name="instructor" localSheetId="20">'PF 8351Y'!$E$4</definedName>
    <definedName name="instructor" localSheetId="35">'SY 6132R'!$H$7</definedName>
    <definedName name="instructor" localSheetId="40">'TF 6402R'!$H$7</definedName>
    <definedName name="instructor" localSheetId="41">'TF 6403R'!$H$9</definedName>
    <definedName name="instructor" localSheetId="42">'TF 7113R'!$H$7</definedName>
    <definedName name="instructor" localSheetId="43">'TF 7123R'!$H$7</definedName>
    <definedName name="instructor" localSheetId="44">'TF 7133R'!$H$7</definedName>
    <definedName name="instructor" localSheetId="45">'TF 7502R'!$H$6</definedName>
    <definedName name="instructor">#REF!</definedName>
    <definedName name="IP_sig" localSheetId="21">'FQ 6241F'!$L$41</definedName>
    <definedName name="IP_sig" localSheetId="22">'FQ 6251F'!$L$41</definedName>
    <definedName name="IP_sig" localSheetId="24">'FQ 7232F'!$L$41</definedName>
    <definedName name="IP_sig" localSheetId="25">'FQ 8121F'!$L$41</definedName>
    <definedName name="IP_sig" localSheetId="26">'FQ 8141F'!$L$41</definedName>
    <definedName name="IP_sig" localSheetId="28">'FQ 9111F'!$L$41</definedName>
    <definedName name="IP_sig" localSheetId="29">'FQ 9211F'!$L$41</definedName>
    <definedName name="IP_sig" localSheetId="30">'FQ 9221F'!$L$41</definedName>
    <definedName name="IP_sig" localSheetId="31">'FQ 9246F'!$L$41</definedName>
    <definedName name="IP_sig" localSheetId="33">'FQ 9511F'!$L$41</definedName>
    <definedName name="IP_sig" localSheetId="11">'PF 6121F'!$L$41</definedName>
    <definedName name="IP_sig" localSheetId="12">'PF 6221F'!$L$41</definedName>
    <definedName name="IP_sig" localSheetId="14">'PF 7112F'!$L$41</definedName>
    <definedName name="IP_sig" localSheetId="16">'PF 8222F'!$L$41</definedName>
    <definedName name="IP_sig" localSheetId="17">'PF 8231F'!$L$41</definedName>
    <definedName name="IP_sig" localSheetId="18">'PF 8332F'!$L$41</definedName>
    <definedName name="IP_sig" localSheetId="19">'PF 8340R'!$AVW$42</definedName>
    <definedName name="IP_sig" localSheetId="34">'SY 6131F'!$L$41</definedName>
    <definedName name="IP_sig" localSheetId="35">'SY 6132R'!$AVW$42</definedName>
    <definedName name="IP_sig" localSheetId="36">'SY 7212F'!$L$41</definedName>
    <definedName name="IP_sig" localSheetId="37">'SY 7511F'!$L$41</definedName>
    <definedName name="IP_sig" localSheetId="38">'TF 6241F'!$L$41</definedName>
    <definedName name="IP_sig" localSheetId="39">'TF 6251F'!$L$41</definedName>
    <definedName name="IP_sig" localSheetId="40">'TF 6402R'!$AVW$42</definedName>
    <definedName name="IP_sig" localSheetId="41">'TF 6403R'!$AVW$44</definedName>
    <definedName name="IP_sig" localSheetId="42">'TF 7113R'!$AVW$42</definedName>
    <definedName name="IP_sig" localSheetId="43">'TF 7123R'!$AVW$42</definedName>
    <definedName name="IP_sig" localSheetId="44">'TF 7133R'!$AVW$42</definedName>
    <definedName name="IP_sig">#REF!</definedName>
    <definedName name="levels" localSheetId="21">'FQ 6241F'!#REF!</definedName>
    <definedName name="levels" localSheetId="22">'FQ 6251F'!#REF!</definedName>
    <definedName name="levels" localSheetId="24">'FQ 7232F'!#REF!</definedName>
    <definedName name="levels" localSheetId="25">'FQ 8121F'!#REF!</definedName>
    <definedName name="levels" localSheetId="26">'FQ 8141F'!#REF!</definedName>
    <definedName name="levels" localSheetId="28">'FQ 9111F'!#REF!</definedName>
    <definedName name="levels" localSheetId="29">'FQ 9211F'!#REF!</definedName>
    <definedName name="levels" localSheetId="30">'FQ 9221F'!#REF!</definedName>
    <definedName name="levels" localSheetId="31">'FQ 9246F'!#REF!</definedName>
    <definedName name="levels" localSheetId="32">#REF!</definedName>
    <definedName name="levels" localSheetId="33">'FQ 9511F'!#REF!</definedName>
    <definedName name="levels" localSheetId="11">'PF 6121F'!#REF!</definedName>
    <definedName name="levels" localSheetId="12">'PF 6221F'!#REF!</definedName>
    <definedName name="levels" localSheetId="14">'PF 7112F'!#REF!</definedName>
    <definedName name="levels" localSheetId="16">'PF 8222F'!#REF!</definedName>
    <definedName name="levels" localSheetId="17">'PF 8231F'!#REF!</definedName>
    <definedName name="levels" localSheetId="18">'PF 8332F'!#REF!</definedName>
    <definedName name="levels" localSheetId="19">'PF 8340R'!#REF!</definedName>
    <definedName name="levels" localSheetId="34">'SY 6131F'!#REF!</definedName>
    <definedName name="levels" localSheetId="35">'SY 6132R'!#REF!</definedName>
    <definedName name="levels" localSheetId="36">'SY 7212F'!#REF!</definedName>
    <definedName name="levels" localSheetId="37">'SY 7511F'!#REF!</definedName>
    <definedName name="levels" localSheetId="38">'TF 6241F'!#REF!</definedName>
    <definedName name="levels" localSheetId="39">'TF 6251F'!#REF!</definedName>
    <definedName name="levels" localSheetId="40">'TF 6402R'!#REF!</definedName>
    <definedName name="levels" localSheetId="41">'TF 6403R'!#REF!</definedName>
    <definedName name="levels" localSheetId="42">'TF 7113R'!#REF!</definedName>
    <definedName name="levels" localSheetId="43">'TF 7123R'!#REF!</definedName>
    <definedName name="levels" localSheetId="44">'TF 7133R'!#REF!</definedName>
    <definedName name="levels" localSheetId="45">'TF 7502R'!#REF!</definedName>
    <definedName name="levels">#REF!</definedName>
    <definedName name="line_numbers" localSheetId="21">'FQ 6241F'!$B$8:$B$39</definedName>
    <definedName name="line_numbers" localSheetId="22">'FQ 6251F'!$B$8:$B$39</definedName>
    <definedName name="line_numbers" localSheetId="24">'FQ 7232F'!$B$8:$B$39</definedName>
    <definedName name="line_numbers" localSheetId="25">'FQ 8121F'!$B$8:$B$39</definedName>
    <definedName name="line_numbers" localSheetId="26">'FQ 8141F'!$B$8:$B$39</definedName>
    <definedName name="line_numbers" localSheetId="28">'FQ 9111F'!$B$8:$B$39</definedName>
    <definedName name="line_numbers" localSheetId="29">'FQ 9211F'!$B$8:$B$39</definedName>
    <definedName name="line_numbers" localSheetId="30">'FQ 9221F'!$B$8:$B$39</definedName>
    <definedName name="line_numbers" localSheetId="31">'FQ 9246F'!$B$8:$B$39</definedName>
    <definedName name="line_numbers" localSheetId="33">'FQ 9511F'!$B$8:$B$39</definedName>
    <definedName name="line_numbers" localSheetId="11">'PF 6121F'!$B$8:$B$39</definedName>
    <definedName name="line_numbers" localSheetId="12">'PF 6221F'!$B$8:$B$39</definedName>
    <definedName name="line_numbers" localSheetId="14">'PF 7112F'!$B$8:$B$39</definedName>
    <definedName name="line_numbers" localSheetId="16">'PF 8222F'!$B$8:$B$39</definedName>
    <definedName name="line_numbers" localSheetId="17">'PF 8231F'!$B$8:$B$39</definedName>
    <definedName name="line_numbers" localSheetId="18">'PF 8332F'!$B$8:$B$39</definedName>
    <definedName name="line_numbers" localSheetId="19">'PF 8340R'!$B$9:$B$40</definedName>
    <definedName name="line_numbers" localSheetId="34">'SY 6131F'!$B$8:$B$39</definedName>
    <definedName name="line_numbers" localSheetId="35">'SY 6132R'!$B$9:$B$40</definedName>
    <definedName name="line_numbers" localSheetId="36">'SY 7212F'!$B$8:$B$39</definedName>
    <definedName name="line_numbers" localSheetId="37">'SY 7511F'!$B$8:$B$39</definedName>
    <definedName name="line_numbers" localSheetId="38">'TF 6241F'!$B$8:$B$39</definedName>
    <definedName name="line_numbers" localSheetId="39">'TF 6251F'!$B$8:$B$39</definedName>
    <definedName name="line_numbers" localSheetId="40">'TF 6402R'!$B$9:$B$40</definedName>
    <definedName name="line_numbers" localSheetId="41">'TF 6403R'!$B$11:$B$42</definedName>
    <definedName name="line_numbers" localSheetId="42">'TF 7113R'!$B$9:$B$40</definedName>
    <definedName name="line_numbers" localSheetId="43">'TF 7123R'!$B$9:$B$40</definedName>
    <definedName name="line_numbers" localSheetId="44">'TF 7133R'!$B$9:$B$40</definedName>
    <definedName name="line_numbers" localSheetId="45">'TF 7502R'!$B$8:$B$39</definedName>
    <definedName name="line_numbers">#REF!</definedName>
    <definedName name="Locked" localSheetId="21">'FQ 6241F'!$U$46</definedName>
    <definedName name="Locked" localSheetId="22">'FQ 6251F'!$U$46</definedName>
    <definedName name="Locked" localSheetId="24">'FQ 7232F'!$U$46</definedName>
    <definedName name="Locked" localSheetId="25">'FQ 8121F'!$U$46</definedName>
    <definedName name="Locked" localSheetId="26">'FQ 8141F'!$U$46</definedName>
    <definedName name="Locked" localSheetId="28">'FQ 9111F'!$U$46</definedName>
    <definedName name="Locked" localSheetId="29">'FQ 9211F'!$U$46</definedName>
    <definedName name="Locked" localSheetId="30">'FQ 9221F'!$U$46</definedName>
    <definedName name="Locked" localSheetId="31">'FQ 9246F'!$U$46</definedName>
    <definedName name="Locked" localSheetId="33">'FQ 9511F'!$U$46</definedName>
    <definedName name="Locked" localSheetId="11">'PF 6121F'!$U$46</definedName>
    <definedName name="Locked" localSheetId="12">'PF 6221F'!$U$46</definedName>
    <definedName name="Locked" localSheetId="14">'PF 7112F'!$U$46</definedName>
    <definedName name="Locked" localSheetId="16">'PF 8222F'!$U$46</definedName>
    <definedName name="Locked" localSheetId="17">'PF 8231F'!$U$46</definedName>
    <definedName name="Locked" localSheetId="18">'PF 8332F'!$U$46</definedName>
    <definedName name="Locked" localSheetId="19">'PF 8340R'!$U$47</definedName>
    <definedName name="Locked" localSheetId="34">'SY 6131F'!$U$46</definedName>
    <definedName name="Locked" localSheetId="35">'SY 6132R'!$U$47</definedName>
    <definedName name="Locked" localSheetId="36">'SY 7212F'!$U$46</definedName>
    <definedName name="Locked" localSheetId="37">'SY 7511F'!$U$46</definedName>
    <definedName name="Locked" localSheetId="38">'TF 6241F'!$U$46</definedName>
    <definedName name="Locked" localSheetId="39">'TF 6251F'!$U$46</definedName>
    <definedName name="Locked" localSheetId="40">'TF 6402R'!$U$47</definedName>
    <definedName name="Locked" localSheetId="41">'TF 6403R'!$U$49</definedName>
    <definedName name="Locked" localSheetId="42">'TF 7113R'!$U$47</definedName>
    <definedName name="Locked" localSheetId="43">'TF 7123R'!$U$47</definedName>
    <definedName name="Locked" localSheetId="44">'TF 7133R'!$U$47</definedName>
    <definedName name="Locked" localSheetId="45">'TF 7502R'!$U$46</definedName>
    <definedName name="Locked">#REF!</definedName>
    <definedName name="Made" localSheetId="21">'FQ 6241F'!$U$41</definedName>
    <definedName name="Made" localSheetId="22">'FQ 6251F'!$U$41</definedName>
    <definedName name="Made" localSheetId="24">'FQ 7232F'!$U$41</definedName>
    <definedName name="Made" localSheetId="25">'FQ 8121F'!$U$41</definedName>
    <definedName name="Made" localSheetId="26">'FQ 8141F'!$U$41</definedName>
    <definedName name="Made" localSheetId="28">'FQ 9111F'!$U$41</definedName>
    <definedName name="Made" localSheetId="29">'FQ 9211F'!$U$41</definedName>
    <definedName name="Made" localSheetId="30">'FQ 9221F'!$U$41</definedName>
    <definedName name="Made" localSheetId="31">'FQ 9246F'!$U$41</definedName>
    <definedName name="Made" localSheetId="33">'FQ 9511F'!$U$41</definedName>
    <definedName name="Made" localSheetId="11">'PF 6121F'!$U$41</definedName>
    <definedName name="Made" localSheetId="12">'PF 6221F'!$U$41</definedName>
    <definedName name="Made" localSheetId="14">'PF 7112F'!$U$41</definedName>
    <definedName name="Made" localSheetId="16">'PF 8222F'!$U$41</definedName>
    <definedName name="Made" localSheetId="17">'PF 8231F'!$U$41</definedName>
    <definedName name="Made" localSheetId="18">'PF 8332F'!$U$41</definedName>
    <definedName name="Made" localSheetId="19">'PF 8340R'!$U$42</definedName>
    <definedName name="Made" localSheetId="34">'SY 6131F'!$U$41</definedName>
    <definedName name="Made" localSheetId="35">'SY 6132R'!$U$42</definedName>
    <definedName name="Made" localSheetId="36">'SY 7212F'!$U$41</definedName>
    <definedName name="Made" localSheetId="37">'SY 7511F'!$U$41</definedName>
    <definedName name="Made" localSheetId="38">'TF 6241F'!$U$41</definedName>
    <definedName name="Made" localSheetId="39">'TF 6251F'!$U$41</definedName>
    <definedName name="Made" localSheetId="40">'TF 6402R'!$U$42</definedName>
    <definedName name="Made" localSheetId="41">'TF 6403R'!$U$44</definedName>
    <definedName name="Made" localSheetId="42">'TF 7113R'!$U$42</definedName>
    <definedName name="Made" localSheetId="43">'TF 7123R'!$U$42</definedName>
    <definedName name="Made" localSheetId="44">'TF 7133R'!$U$42</definedName>
    <definedName name="Made" localSheetId="45">'TF 7502R'!$U$41</definedName>
    <definedName name="Made">#REF!</definedName>
    <definedName name="mins" localSheetId="21">'FQ 6241F'!$BM$8:$BM$39</definedName>
    <definedName name="mins" localSheetId="22">'FQ 6251F'!$BM$8:$BM$39</definedName>
    <definedName name="mins" localSheetId="24">'FQ 7232F'!$BM$8:$BM$39</definedName>
    <definedName name="mins" localSheetId="25">'FQ 8121F'!$BM$8:$BM$39</definedName>
    <definedName name="mins" localSheetId="26">'FQ 8141F'!$BM$8:$BM$39</definedName>
    <definedName name="mins" localSheetId="28">'FQ 9111F'!$BM$8:$BM$39</definedName>
    <definedName name="mins" localSheetId="29">'FQ 9211F'!$BM$8:$BM$39</definedName>
    <definedName name="mins" localSheetId="30">'FQ 9221F'!$BM$8:$BM$39</definedName>
    <definedName name="mins" localSheetId="31">'FQ 9246F'!$BM$8:$BM$39</definedName>
    <definedName name="mins" localSheetId="33">'FQ 9511F'!$BM$8:$BM$39</definedName>
    <definedName name="mins" localSheetId="11">'PF 6121F'!$BM$8:$BM$39</definedName>
    <definedName name="mins" localSheetId="12">'PF 6221F'!$BM$8:$BM$39</definedName>
    <definedName name="mins" localSheetId="14">'PF 7112F'!$BM$8:$BM$39</definedName>
    <definedName name="mins" localSheetId="16">'PF 8222F'!$BM$8:$BM$39</definedName>
    <definedName name="mins" localSheetId="17">'PF 8231F'!$BM$8:$BM$39</definedName>
    <definedName name="mins" localSheetId="18">'PF 8332F'!$BM$8:$BM$39</definedName>
    <definedName name="mins" localSheetId="19">'PF 8340R'!$BM$9:$BM$40</definedName>
    <definedName name="mins" localSheetId="34">'SY 6131F'!$BM$8:$BM$39</definedName>
    <definedName name="mins" localSheetId="35">'SY 6132R'!$BM$9:$BM$40</definedName>
    <definedName name="mins" localSheetId="36">'SY 7212F'!$BM$8:$BM$39</definedName>
    <definedName name="mins" localSheetId="37">'SY 7511F'!$BM$8:$BM$39</definedName>
    <definedName name="mins" localSheetId="38">'TF 6241F'!$BM$8:$BM$39</definedName>
    <definedName name="mins" localSheetId="39">'TF 6251F'!$BM$8:$BM$39</definedName>
    <definedName name="mins" localSheetId="40">'TF 6402R'!$BM$9:$BM$40</definedName>
    <definedName name="mins" localSheetId="41">'TF 6403R'!$BM$11:$BM$42</definedName>
    <definedName name="mins" localSheetId="42">'TF 7113R'!$BM$9:$BM$40</definedName>
    <definedName name="mins" localSheetId="43">'TF 7123R'!$BM$9:$BM$40</definedName>
    <definedName name="mins" localSheetId="44">'TF 7133R'!$BM$9:$BM$40</definedName>
    <definedName name="mins" localSheetId="45">'TF 7502R'!$BM$8:$BM$39</definedName>
    <definedName name="mins">#REF!</definedName>
    <definedName name="name" localSheetId="23">'FQ 6321R'!$C$2</definedName>
    <definedName name="name" localSheetId="27">'FQ 8210Y'!$A$1</definedName>
    <definedName name="name" localSheetId="32">'FQ 9248Y'!$A$1</definedName>
    <definedName name="name" localSheetId="13">'PF 6241R'!$C$2</definedName>
    <definedName name="name" localSheetId="15">'PF 7121R'!$C$2</definedName>
    <definedName name="name" localSheetId="20">'PF 8351Y'!$C$2</definedName>
    <definedName name="name" localSheetId="35">'SY 6132R'!$H$4</definedName>
    <definedName name="name" localSheetId="40">'TF 6402R'!$H$4</definedName>
    <definedName name="name" localSheetId="41">'TF 6403R'!$H$6</definedName>
    <definedName name="name" localSheetId="42">'TF 7113R'!$H$4</definedName>
    <definedName name="name" localSheetId="43">'TF 7123R'!$H$4</definedName>
    <definedName name="name" localSheetId="44">'TF 7133R'!$H$4</definedName>
    <definedName name="name" localSheetId="45">'TF 7502R'!$H$3</definedName>
    <definedName name="name">'PF 8340R'!$H$4</definedName>
    <definedName name="numreq" localSheetId="21">'FQ 6241F'!$BL$8:$BL$39</definedName>
    <definedName name="numreq" localSheetId="22">'FQ 6251F'!$BL$8:$BL$39</definedName>
    <definedName name="numreq" localSheetId="24">'FQ 7232F'!$BL$8:$BL$39</definedName>
    <definedName name="numreq" localSheetId="25">'FQ 8121F'!$BL$8:$BL$39</definedName>
    <definedName name="numreq" localSheetId="26">'FQ 8141F'!$BL$8:$BL$39</definedName>
    <definedName name="numreq" localSheetId="28">'FQ 9111F'!$BL$8:$BL$39</definedName>
    <definedName name="numreq" localSheetId="29">'FQ 9211F'!$BL$8:$BL$39</definedName>
    <definedName name="numreq" localSheetId="30">'FQ 9221F'!$BL$8:$BL$39</definedName>
    <definedName name="numreq" localSheetId="31">'FQ 9246F'!$BL$8:$BL$39</definedName>
    <definedName name="numreq" localSheetId="33">'FQ 9511F'!$BL$8:$BL$39</definedName>
    <definedName name="numreq" localSheetId="11">'PF 6121F'!$BL$8:$BL$39</definedName>
    <definedName name="numreq" localSheetId="12">'PF 6221F'!$BL$8:$BL$39</definedName>
    <definedName name="numreq" localSheetId="14">'PF 7112F'!$BL$8:$BL$39</definedName>
    <definedName name="numreq" localSheetId="16">'PF 8222F'!$BL$8:$BL$39</definedName>
    <definedName name="numreq" localSheetId="17">'PF 8231F'!$BL$8:$BL$39</definedName>
    <definedName name="numreq" localSheetId="18">'PF 8332F'!$BL$8:$BL$39</definedName>
    <definedName name="numreq" localSheetId="19">'PF 8340R'!$BL$9:$BL$40</definedName>
    <definedName name="numreq" localSheetId="34">'SY 6131F'!$BL$8:$BL$39</definedName>
    <definedName name="numreq" localSheetId="35">'SY 6132R'!$BL$9:$BL$40</definedName>
    <definedName name="numreq" localSheetId="36">'SY 7212F'!$BL$8:$BL$39</definedName>
    <definedName name="numreq" localSheetId="37">'SY 7511F'!$BL$8:$BL$39</definedName>
    <definedName name="numreq" localSheetId="38">'TF 6241F'!$BL$8:$BL$39</definedName>
    <definedName name="numreq" localSheetId="39">'TF 6251F'!$BL$8:$BL$39</definedName>
    <definedName name="numreq" localSheetId="40">'TF 6402R'!$BL$9:$BL$40</definedName>
    <definedName name="numreq" localSheetId="41">'TF 6403R'!$BL$11:$BL$42</definedName>
    <definedName name="numreq" localSheetId="42">'TF 7113R'!$BL$9:$BL$40</definedName>
    <definedName name="numreq" localSheetId="43">'TF 7123R'!$BL$9:$BL$40</definedName>
    <definedName name="numreq" localSheetId="44">'TF 7133R'!$BL$9:$BL$40</definedName>
    <definedName name="numreq" localSheetId="45">'TF 7502R'!$BL$8:$BL$39</definedName>
    <definedName name="numreq">#REF!</definedName>
    <definedName name="Pilot" localSheetId="21">'FQ 6241F'!#REF!</definedName>
    <definedName name="Pilot" localSheetId="22">'FQ 6251F'!#REF!</definedName>
    <definedName name="Pilot" localSheetId="24">'FQ 7232F'!#REF!</definedName>
    <definedName name="Pilot" localSheetId="25">'FQ 8121F'!#REF!</definedName>
    <definedName name="Pilot" localSheetId="26">'FQ 8141F'!#REF!</definedName>
    <definedName name="Pilot" localSheetId="28">'FQ 9111F'!#REF!</definedName>
    <definedName name="Pilot" localSheetId="29">'FQ 9211F'!#REF!</definedName>
    <definedName name="Pilot" localSheetId="30">'FQ 9221F'!#REF!</definedName>
    <definedName name="Pilot" localSheetId="31">'FQ 9246F'!#REF!</definedName>
    <definedName name="Pilot" localSheetId="32">#REF!</definedName>
    <definedName name="Pilot" localSheetId="33">'FQ 9511F'!#REF!</definedName>
    <definedName name="Pilot" localSheetId="11">'PF 6121F'!#REF!</definedName>
    <definedName name="Pilot" localSheetId="12">'PF 6221F'!#REF!</definedName>
    <definedName name="Pilot" localSheetId="14">'PF 7112F'!#REF!</definedName>
    <definedName name="Pilot" localSheetId="16">'PF 8222F'!#REF!</definedName>
    <definedName name="Pilot" localSheetId="17">'PF 8231F'!#REF!</definedName>
    <definedName name="Pilot" localSheetId="18">'PF 8332F'!#REF!</definedName>
    <definedName name="Pilot" localSheetId="19">'PF 8340R'!#REF!</definedName>
    <definedName name="Pilot" localSheetId="34">'SY 6131F'!#REF!</definedName>
    <definedName name="Pilot" localSheetId="35">'SY 6132R'!#REF!</definedName>
    <definedName name="Pilot" localSheetId="36">'SY 7212F'!#REF!</definedName>
    <definedName name="Pilot" localSheetId="37">'SY 7511F'!#REF!</definedName>
    <definedName name="Pilot" localSheetId="38">'TF 6241F'!#REF!</definedName>
    <definedName name="Pilot" localSheetId="39">'TF 6251F'!#REF!</definedName>
    <definedName name="Pilot" localSheetId="40">'TF 6402R'!#REF!</definedName>
    <definedName name="Pilot" localSheetId="41">'TF 6403R'!#REF!</definedName>
    <definedName name="Pilot" localSheetId="42">'TF 7113R'!#REF!</definedName>
    <definedName name="Pilot" localSheetId="43">'TF 7123R'!#REF!</definedName>
    <definedName name="Pilot" localSheetId="44">'TF 7133R'!#REF!</definedName>
    <definedName name="Pilot" localSheetId="45">'TF 7502R'!#REF!</definedName>
    <definedName name="Pilot">#REF!</definedName>
    <definedName name="_xlnm.Print_Area" localSheetId="21">'FQ 6241F'!$B$3:$R$42</definedName>
    <definedName name="_xlnm.Print_Area" localSheetId="22">'FQ 6251F'!$B$3:$R$42</definedName>
    <definedName name="_xlnm.Print_Area" localSheetId="24">'FQ 7232F'!$B$3:$R$42</definedName>
    <definedName name="_xlnm.Print_Area" localSheetId="25">'FQ 8121F'!$B$3:$R$42</definedName>
    <definedName name="_xlnm.Print_Area" localSheetId="26">'FQ 8141F'!$B$3:$R$42</definedName>
    <definedName name="_xlnm.Print_Area" localSheetId="28">'FQ 9111F'!$B$3:$R$42</definedName>
    <definedName name="_xlnm.Print_Area" localSheetId="29">'FQ 9211F'!$B$3:$R$42</definedName>
    <definedName name="_xlnm.Print_Area" localSheetId="30">'FQ 9221F'!$B$3:$R$42</definedName>
    <definedName name="_xlnm.Print_Area" localSheetId="31">'FQ 9246F'!$B$3:$R$42</definedName>
    <definedName name="_xlnm.Print_Area" localSheetId="33">'FQ 9511F'!$B$3:$R$42</definedName>
    <definedName name="_xlnm.Print_Area" localSheetId="11">'PF 6121F'!$B$3:$R$42</definedName>
    <definedName name="_xlnm.Print_Area" localSheetId="12">'PF 6221F'!$B$3:$R$42</definedName>
    <definedName name="_xlnm.Print_Area" localSheetId="13">'PF 6241R'!$A$1:$N$47</definedName>
    <definedName name="_xlnm.Print_Area" localSheetId="14">'PF 7112F'!$B$3:$R$42</definedName>
    <definedName name="_xlnm.Print_Area" localSheetId="15">'PF 7121R'!$A$1:$N$51</definedName>
    <definedName name="_xlnm.Print_Area" localSheetId="16">'PF 8222F'!$B$3:$R$42</definedName>
    <definedName name="_xlnm.Print_Area" localSheetId="17">'PF 8231F'!$B$3:$R$42</definedName>
    <definedName name="_xlnm.Print_Area" localSheetId="18">'PF 8332F'!$B$3:$R$42</definedName>
    <definedName name="_xlnm.Print_Area" localSheetId="19">'PF 8340R'!$B$4:$R$43</definedName>
    <definedName name="_xlnm.Print_Area" localSheetId="20">'PF 8351Y'!$A$1:$L$58</definedName>
    <definedName name="_xlnm.Print_Area" localSheetId="34">'SY 6131F'!$B$3:$R$42</definedName>
    <definedName name="_xlnm.Print_Area" localSheetId="35">'SY 6132R'!$B$4:$R$43</definedName>
    <definedName name="_xlnm.Print_Area" localSheetId="36">'SY 7212F'!$B$3:$R$42</definedName>
    <definedName name="_xlnm.Print_Area" localSheetId="37">'SY 7511F'!$B$3:$R$42</definedName>
    <definedName name="_xlnm.Print_Area" localSheetId="38">'TF 6241F'!$B$3:$R$42</definedName>
    <definedName name="_xlnm.Print_Area" localSheetId="39">'TF 6251F'!$B$3:$R$42</definedName>
    <definedName name="_xlnm.Print_Area" localSheetId="40">'TF 6402R'!$B$4:$R$43</definedName>
    <definedName name="_xlnm.Print_Area" localSheetId="41">'TF 6403R'!$B$6:$R$45</definedName>
    <definedName name="_xlnm.Print_Area" localSheetId="42">'TF 7113R'!$B$4:$R$43</definedName>
    <definedName name="_xlnm.Print_Area" localSheetId="43">'TF 7123R'!$B$4:$R$43</definedName>
    <definedName name="_xlnm.Print_Area" localSheetId="44">'TF 7133R'!$B$4:$R$43</definedName>
    <definedName name="_xlnm.Print_Area" localSheetId="45">'TF 7502R'!$B$3:$R$42</definedName>
    <definedName name="_xlnm.Print_Area">#REF!</definedName>
    <definedName name="ready_for_sig" localSheetId="21">'FQ 6241F'!$U$49</definedName>
    <definedName name="ready_for_sig" localSheetId="22">'FQ 6251F'!$U$49</definedName>
    <definedName name="ready_for_sig" localSheetId="24">'FQ 7232F'!$U$49</definedName>
    <definedName name="ready_for_sig" localSheetId="25">'FQ 8121F'!$U$49</definedName>
    <definedName name="ready_for_sig" localSheetId="26">'FQ 8141F'!$U$49</definedName>
    <definedName name="ready_for_sig" localSheetId="28">'FQ 9111F'!$U$49</definedName>
    <definedName name="ready_for_sig" localSheetId="29">'FQ 9211F'!$U$49</definedName>
    <definedName name="ready_for_sig" localSheetId="30">'FQ 9221F'!$U$49</definedName>
    <definedName name="ready_for_sig" localSheetId="31">'FQ 9246F'!$U$49</definedName>
    <definedName name="ready_for_sig" localSheetId="33">'FQ 9511F'!$U$49</definedName>
    <definedName name="ready_for_sig" localSheetId="11">'PF 6121F'!$U$49</definedName>
    <definedName name="ready_for_sig" localSheetId="12">'PF 6221F'!$U$49</definedName>
    <definedName name="ready_for_sig" localSheetId="14">'PF 7112F'!$U$49</definedName>
    <definedName name="ready_for_sig" localSheetId="16">'PF 8222F'!$U$49</definedName>
    <definedName name="ready_for_sig" localSheetId="17">'PF 8231F'!$U$49</definedName>
    <definedName name="ready_for_sig" localSheetId="18">'PF 8332F'!$U$49</definedName>
    <definedName name="ready_for_sig" localSheetId="19">'PF 8340R'!$U$50</definedName>
    <definedName name="ready_for_sig" localSheetId="34">'SY 6131F'!$U$49</definedName>
    <definedName name="ready_for_sig" localSheetId="35">'SY 6132R'!$U$50</definedName>
    <definedName name="ready_for_sig" localSheetId="36">'SY 7212F'!$U$49</definedName>
    <definedName name="ready_for_sig" localSheetId="37">'SY 7511F'!$U$49</definedName>
    <definedName name="ready_for_sig" localSheetId="38">'TF 6241F'!$U$49</definedName>
    <definedName name="ready_for_sig" localSheetId="39">'TF 6251F'!$U$49</definedName>
    <definedName name="ready_for_sig" localSheetId="40">'TF 6402R'!$U$50</definedName>
    <definedName name="ready_for_sig" localSheetId="41">'TF 6403R'!$U$52</definedName>
    <definedName name="ready_for_sig" localSheetId="42">'TF 7113R'!$U$50</definedName>
    <definedName name="ready_for_sig" localSheetId="43">'TF 7123R'!$U$50</definedName>
    <definedName name="ready_for_sig" localSheetId="44">'TF 7133R'!$U$50</definedName>
    <definedName name="ready_for_sig" localSheetId="45">'TF 7502R'!$U$49</definedName>
    <definedName name="ready_for_sig">#REF!</definedName>
    <definedName name="report_grade" localSheetId="23">'FQ 6321R'!$E$42</definedName>
    <definedName name="report_grade" localSheetId="27">'FQ 8210Y'!$G$3</definedName>
    <definedName name="report_grade" localSheetId="32">'FQ 9248Y'!$G$3</definedName>
    <definedName name="report_grade" localSheetId="13">'PF 6241R'!$E$27</definedName>
    <definedName name="report_grade" localSheetId="15">'PF 7121R'!$E$42</definedName>
    <definedName name="report_grade" localSheetId="19">'PF 8340R'!$Q$7</definedName>
    <definedName name="report_grade" localSheetId="20">'PF 8351Y'!$E$35</definedName>
    <definedName name="report_grade" localSheetId="35">'SY 6132R'!$Q$7</definedName>
    <definedName name="report_grade" localSheetId="40">'TF 6402R'!$Q$7</definedName>
    <definedName name="report_grade" localSheetId="41">'TF 6403R'!$Q$9</definedName>
    <definedName name="report_grade" localSheetId="42">'TF 7113R'!$Q$7</definedName>
    <definedName name="report_grade" localSheetId="43">'TF 7123R'!$Q$7</definedName>
    <definedName name="report_grade" localSheetId="44">'TF 7133R'!$Q$7</definedName>
    <definedName name="report_grade" localSheetId="45">'TF 7502R'!$Q$6</definedName>
    <definedName name="report_grade">#REF!</definedName>
    <definedName name="scores" localSheetId="21">'FQ 6241F'!$K$8:$K$39</definedName>
    <definedName name="scores" localSheetId="22">'FQ 6251F'!$K$8:$K$39</definedName>
    <definedName name="scores" localSheetId="24">'FQ 7232F'!$K$8:$K$39</definedName>
    <definedName name="scores" localSheetId="25">'FQ 8121F'!$K$8:$K$39</definedName>
    <definedName name="scores" localSheetId="26">'FQ 8141F'!$K$8:$K$39</definedName>
    <definedName name="scores" localSheetId="28">'FQ 9111F'!$K$8:$K$39</definedName>
    <definedName name="scores" localSheetId="29">'FQ 9211F'!$K$8:$K$39</definedName>
    <definedName name="scores" localSheetId="30">'FQ 9221F'!$K$8:$K$39</definedName>
    <definedName name="scores" localSheetId="31">'FQ 9246F'!$K$8:$K$39</definedName>
    <definedName name="scores" localSheetId="33">'FQ 9511F'!$K$8:$K$39</definedName>
    <definedName name="scores" localSheetId="11">'PF 6121F'!$K$8:$K$39</definedName>
    <definedName name="scores" localSheetId="12">'PF 6221F'!$K$8:$K$39</definedName>
    <definedName name="scores" localSheetId="14">'PF 7112F'!$K$8:$K$39</definedName>
    <definedName name="scores" localSheetId="16">'PF 8222F'!$K$8:$K$39</definedName>
    <definedName name="scores" localSheetId="17">'PF 8231F'!$K$8:$K$39</definedName>
    <definedName name="scores" localSheetId="18">'PF 8332F'!$K$8:$K$39</definedName>
    <definedName name="scores" localSheetId="19">'PF 8340R'!$K$9:$K$40</definedName>
    <definedName name="scores" localSheetId="34">'SY 6131F'!$K$8:$K$39</definedName>
    <definedName name="scores" localSheetId="35">'SY 6132R'!$K$9:$K$40</definedName>
    <definedName name="scores" localSheetId="36">'SY 7212F'!$K$8:$K$39</definedName>
    <definedName name="scores" localSheetId="37">'SY 7511F'!$K$8:$K$39</definedName>
    <definedName name="scores" localSheetId="38">'TF 6241F'!$K$8:$K$39</definedName>
    <definedName name="scores" localSheetId="39">'TF 6251F'!$K$8:$K$39</definedName>
    <definedName name="scores" localSheetId="40">'TF 6402R'!$K$9:$K$40</definedName>
    <definedName name="scores" localSheetId="41">'TF 6403R'!$K$11:$K$42</definedName>
    <definedName name="scores" localSheetId="42">'TF 7113R'!$K$9:$K$40</definedName>
    <definedName name="scores" localSheetId="43">'TF 7123R'!$K$9:$K$40</definedName>
    <definedName name="scores" localSheetId="44">'TF 7133R'!$K$9:$K$40</definedName>
    <definedName name="scores" localSheetId="45">'TF 7502R'!$K$8:$K$39</definedName>
    <definedName name="scores">#REF!</definedName>
    <definedName name="stud_sig" localSheetId="21">'FQ 6241F'!$M$41</definedName>
    <definedName name="stud_sig" localSheetId="22">'FQ 6251F'!$M$41</definedName>
    <definedName name="stud_sig" localSheetId="24">'FQ 7232F'!$M$41</definedName>
    <definedName name="stud_sig" localSheetId="25">'FQ 8121F'!$M$41</definedName>
    <definedName name="stud_sig" localSheetId="26">'FQ 8141F'!$M$41</definedName>
    <definedName name="stud_sig" localSheetId="28">'FQ 9111F'!$M$41</definedName>
    <definedName name="stud_sig" localSheetId="29">'FQ 9211F'!$M$41</definedName>
    <definedName name="stud_sig" localSheetId="30">'FQ 9221F'!$M$41</definedName>
    <definedName name="stud_sig" localSheetId="31">'FQ 9246F'!$M$41</definedName>
    <definedName name="stud_sig" localSheetId="33">'FQ 9511F'!$M$41</definedName>
    <definedName name="stud_sig" localSheetId="11">'PF 6121F'!$M$41</definedName>
    <definedName name="stud_sig" localSheetId="12">'PF 6221F'!$M$41</definedName>
    <definedName name="stud_sig" localSheetId="14">'PF 7112F'!$M$41</definedName>
    <definedName name="stud_sig" localSheetId="16">'PF 8222F'!$M$41</definedName>
    <definedName name="stud_sig" localSheetId="17">'PF 8231F'!$M$41</definedName>
    <definedName name="stud_sig" localSheetId="18">'PF 8332F'!$M$41</definedName>
    <definedName name="stud_sig" localSheetId="19">'PF 8340R'!$M$42</definedName>
    <definedName name="stud_sig" localSheetId="34">'SY 6131F'!$M$41</definedName>
    <definedName name="stud_sig" localSheetId="35">'SY 6132R'!$M$42</definedName>
    <definedName name="stud_sig" localSheetId="36">'SY 7212F'!$M$41</definedName>
    <definedName name="stud_sig" localSheetId="37">'SY 7511F'!$M$41</definedName>
    <definedName name="stud_sig" localSheetId="38">'TF 6241F'!$M$41</definedName>
    <definedName name="stud_sig" localSheetId="39">'TF 6251F'!$M$41</definedName>
    <definedName name="stud_sig" localSheetId="40">'TF 6402R'!$M$42</definedName>
    <definedName name="stud_sig" localSheetId="41">'TF 6403R'!$M$44</definedName>
    <definedName name="stud_sig" localSheetId="42">'TF 7113R'!$M$42</definedName>
    <definedName name="stud_sig" localSheetId="43">'TF 7123R'!$M$42</definedName>
    <definedName name="stud_sig" localSheetId="44">'TF 7133R'!$M$42</definedName>
    <definedName name="stud_sig" localSheetId="45">'TF 7502R'!$M$41</definedName>
    <definedName name="stud_sig">#REF!</definedName>
    <definedName name="student" localSheetId="21">'FQ 6241F'!#REF!</definedName>
    <definedName name="student" localSheetId="22">'FQ 6251F'!#REF!</definedName>
    <definedName name="student" localSheetId="24">'FQ 7232F'!#REF!</definedName>
    <definedName name="student" localSheetId="25">'FQ 8121F'!#REF!</definedName>
    <definedName name="student" localSheetId="26">'FQ 8141F'!#REF!</definedName>
    <definedName name="student" localSheetId="28">'FQ 9111F'!#REF!</definedName>
    <definedName name="student" localSheetId="29">'FQ 9211F'!#REF!</definedName>
    <definedName name="student" localSheetId="30">'FQ 9221F'!#REF!</definedName>
    <definedName name="student" localSheetId="31">'FQ 9246F'!#REF!</definedName>
    <definedName name="student" localSheetId="32">#REF!</definedName>
    <definedName name="student" localSheetId="33">'FQ 9511F'!#REF!</definedName>
    <definedName name="student" localSheetId="11">'PF 6121F'!#REF!</definedName>
    <definedName name="student" localSheetId="12">'PF 6221F'!#REF!</definedName>
    <definedName name="student" localSheetId="14">'PF 7112F'!#REF!</definedName>
    <definedName name="student" localSheetId="16">'PF 8222F'!#REF!</definedName>
    <definedName name="student" localSheetId="17">'PF 8231F'!#REF!</definedName>
    <definedName name="student" localSheetId="18">'PF 8332F'!#REF!</definedName>
    <definedName name="student" localSheetId="19">'PF 8340R'!#REF!</definedName>
    <definedName name="student" localSheetId="34">'SY 6131F'!#REF!</definedName>
    <definedName name="student" localSheetId="35">'SY 6132R'!#REF!</definedName>
    <definedName name="student" localSheetId="36">'SY 7212F'!#REF!</definedName>
    <definedName name="student" localSheetId="37">'SY 7511F'!#REF!</definedName>
    <definedName name="student" localSheetId="38">'TF 6241F'!#REF!</definedName>
    <definedName name="student" localSheetId="39">'TF 6251F'!#REF!</definedName>
    <definedName name="student" localSheetId="40">'TF 6402R'!#REF!</definedName>
    <definedName name="student" localSheetId="41">'TF 6403R'!#REF!</definedName>
    <definedName name="student" localSheetId="42">'TF 7113R'!#REF!</definedName>
    <definedName name="student" localSheetId="43">'TF 7123R'!#REF!</definedName>
    <definedName name="student" localSheetId="44">'TF 7133R'!#REF!</definedName>
    <definedName name="student" localSheetId="45">'TF 7502R'!#REF!</definedName>
    <definedName name="student">#REF!</definedName>
    <definedName name="studs" localSheetId="21">'FQ 6241F'!#REF!</definedName>
    <definedName name="studs" localSheetId="22">'FQ 6251F'!#REF!</definedName>
    <definedName name="studs" localSheetId="24">'FQ 7232F'!#REF!</definedName>
    <definedName name="studs" localSheetId="25">'FQ 8121F'!#REF!</definedName>
    <definedName name="studs" localSheetId="26">'FQ 8141F'!#REF!</definedName>
    <definedName name="studs" localSheetId="28">'FQ 9111F'!#REF!</definedName>
    <definedName name="studs" localSheetId="29">'FQ 9211F'!#REF!</definedName>
    <definedName name="studs" localSheetId="30">'FQ 9221F'!#REF!</definedName>
    <definedName name="studs" localSheetId="31">'FQ 9246F'!#REF!</definedName>
    <definedName name="studs" localSheetId="33">'FQ 9511F'!#REF!</definedName>
    <definedName name="studs" localSheetId="11">'PF 6121F'!#REF!</definedName>
    <definedName name="studs" localSheetId="12">'PF 6221F'!#REF!</definedName>
    <definedName name="studs" localSheetId="14">'PF 7112F'!#REF!</definedName>
    <definedName name="studs" localSheetId="16">'PF 8222F'!#REF!</definedName>
    <definedName name="studs" localSheetId="17">'PF 8231F'!#REF!</definedName>
    <definedName name="studs" localSheetId="18">'PF 8332F'!#REF!</definedName>
    <definedName name="studs" localSheetId="19">'PF 8340R'!#REF!</definedName>
    <definedName name="studs" localSheetId="34">'SY 6131F'!#REF!</definedName>
    <definedName name="studs" localSheetId="35">'SY 6132R'!#REF!</definedName>
    <definedName name="studs" localSheetId="36">'SY 7212F'!#REF!</definedName>
    <definedName name="studs" localSheetId="37">'SY 7511F'!#REF!</definedName>
    <definedName name="studs" localSheetId="38">'TF 6241F'!#REF!</definedName>
    <definedName name="studs" localSheetId="39">'TF 6251F'!#REF!</definedName>
    <definedName name="studs" localSheetId="40">'TF 6402R'!#REF!</definedName>
    <definedName name="studs" localSheetId="41">'TF 6403R'!#REF!</definedName>
    <definedName name="studs" localSheetId="42">'TF 7113R'!#REF!</definedName>
    <definedName name="studs" localSheetId="43">'TF 7123R'!#REF!</definedName>
    <definedName name="studs" localSheetId="44">'TF 7133R'!#REF!</definedName>
    <definedName name="studs" localSheetId="45">'TF 7502R'!#REF!</definedName>
    <definedName name="task_options" localSheetId="21">'FQ 6241F'!#REF!</definedName>
    <definedName name="task_options" localSheetId="22">'FQ 6251F'!#REF!</definedName>
    <definedName name="task_options" localSheetId="24">'FQ 7232F'!#REF!</definedName>
    <definedName name="task_options" localSheetId="25">'FQ 8121F'!#REF!</definedName>
    <definedName name="task_options" localSheetId="26">'FQ 8141F'!#REF!</definedName>
    <definedName name="task_options" localSheetId="28">'FQ 9111F'!#REF!</definedName>
    <definedName name="task_options" localSheetId="29">'FQ 9211F'!#REF!</definedName>
    <definedName name="task_options" localSheetId="30">'FQ 9221F'!#REF!</definedName>
    <definedName name="task_options" localSheetId="31">'FQ 9246F'!#REF!</definedName>
    <definedName name="task_options" localSheetId="33">'FQ 9511F'!#REF!</definedName>
    <definedName name="task_options" localSheetId="11">'PF 6121F'!#REF!</definedName>
    <definedName name="task_options" localSheetId="12">'PF 6221F'!#REF!</definedName>
    <definedName name="task_options" localSheetId="14">'PF 7112F'!#REF!</definedName>
    <definedName name="task_options" localSheetId="16">'PF 8222F'!#REF!</definedName>
    <definedName name="task_options" localSheetId="17">'PF 8231F'!#REF!</definedName>
    <definedName name="task_options" localSheetId="18">'PF 8332F'!#REF!</definedName>
    <definedName name="task_options" localSheetId="19">'PF 8340R'!#REF!</definedName>
    <definedName name="task_options" localSheetId="34">'SY 6131F'!#REF!</definedName>
    <definedName name="task_options" localSheetId="35">'SY 6132R'!#REF!</definedName>
    <definedName name="task_options" localSheetId="36">'SY 7212F'!#REF!</definedName>
    <definedName name="task_options" localSheetId="37">'SY 7511F'!#REF!</definedName>
    <definedName name="task_options" localSheetId="38">'TF 6241F'!#REF!</definedName>
    <definedName name="task_options" localSheetId="39">'TF 6251F'!#REF!</definedName>
    <definedName name="task_options" localSheetId="40">'TF 6402R'!#REF!</definedName>
    <definedName name="task_options" localSheetId="41">'TF 6403R'!#REF!</definedName>
    <definedName name="task_options" localSheetId="42">'TF 7113R'!#REF!</definedName>
    <definedName name="task_options" localSheetId="43">'TF 7123R'!#REF!</definedName>
    <definedName name="task_options" localSheetId="44">'TF 7133R'!#REF!</definedName>
    <definedName name="task_options" localSheetId="45">'TF 7502R'!#REF!</definedName>
    <definedName name="task_prefills" localSheetId="21">'FQ 6241F'!#REF!</definedName>
    <definedName name="task_prefills" localSheetId="22">'FQ 6251F'!#REF!</definedName>
    <definedName name="task_prefills" localSheetId="24">'FQ 7232F'!#REF!</definedName>
    <definedName name="task_prefills" localSheetId="25">'FQ 8121F'!#REF!</definedName>
    <definedName name="task_prefills" localSheetId="26">'FQ 8141F'!#REF!</definedName>
    <definedName name="task_prefills" localSheetId="28">'FQ 9111F'!#REF!</definedName>
    <definedName name="task_prefills" localSheetId="29">'FQ 9211F'!#REF!</definedName>
    <definedName name="task_prefills" localSheetId="30">'FQ 9221F'!#REF!</definedName>
    <definedName name="task_prefills" localSheetId="31">'FQ 9246F'!#REF!</definedName>
    <definedName name="task_prefills" localSheetId="33">'FQ 9511F'!#REF!</definedName>
    <definedName name="task_prefills" localSheetId="11">'PF 6121F'!#REF!</definedName>
    <definedName name="task_prefills" localSheetId="12">'PF 6221F'!#REF!</definedName>
    <definedName name="task_prefills" localSheetId="14">'PF 7112F'!#REF!</definedName>
    <definedName name="task_prefills" localSheetId="16">'PF 8222F'!#REF!</definedName>
    <definedName name="task_prefills" localSheetId="17">'PF 8231F'!#REF!</definedName>
    <definedName name="task_prefills" localSheetId="18">'PF 8332F'!#REF!</definedName>
    <definedName name="task_prefills" localSheetId="19">'PF 8340R'!#REF!</definedName>
    <definedName name="task_prefills" localSheetId="34">'SY 6131F'!#REF!</definedName>
    <definedName name="task_prefills" localSheetId="35">'SY 6132R'!#REF!</definedName>
    <definedName name="task_prefills" localSheetId="36">'SY 7212F'!#REF!</definedName>
    <definedName name="task_prefills" localSheetId="37">'SY 7511F'!#REF!</definedName>
    <definedName name="task_prefills" localSheetId="38">'TF 6241F'!#REF!</definedName>
    <definedName name="task_prefills" localSheetId="39">'TF 6251F'!#REF!</definedName>
    <definedName name="task_prefills" localSheetId="40">'TF 6402R'!#REF!</definedName>
    <definedName name="task_prefills" localSheetId="41">'TF 6403R'!#REF!</definedName>
    <definedName name="task_prefills" localSheetId="42">'TF 7113R'!#REF!</definedName>
    <definedName name="task_prefills" localSheetId="43">'TF 7123R'!#REF!</definedName>
    <definedName name="task_prefills" localSheetId="44">'TF 7133R'!#REF!</definedName>
    <definedName name="task_prefills" localSheetId="45">'TF 7502R'!#REF!</definedName>
    <definedName name="task_type" localSheetId="21">'FQ 6241F'!#REF!</definedName>
    <definedName name="task_type" localSheetId="22">'FQ 6251F'!#REF!</definedName>
    <definedName name="task_type" localSheetId="24">'FQ 7232F'!#REF!</definedName>
    <definedName name="task_type" localSheetId="25">'FQ 8121F'!#REF!</definedName>
    <definedName name="task_type" localSheetId="26">'FQ 8141F'!#REF!</definedName>
    <definedName name="task_type" localSheetId="28">'FQ 9111F'!#REF!</definedName>
    <definedName name="task_type" localSheetId="29">'FQ 9211F'!#REF!</definedName>
    <definedName name="task_type" localSheetId="30">'FQ 9221F'!#REF!</definedName>
    <definedName name="task_type" localSheetId="31">'FQ 9246F'!#REF!</definedName>
    <definedName name="task_type" localSheetId="33">'FQ 9511F'!#REF!</definedName>
    <definedName name="task_type" localSheetId="11">'PF 6121F'!#REF!</definedName>
    <definedName name="task_type" localSheetId="12">'PF 6221F'!#REF!</definedName>
    <definedName name="task_type" localSheetId="14">'PF 7112F'!#REF!</definedName>
    <definedName name="task_type" localSheetId="16">'PF 8222F'!#REF!</definedName>
    <definedName name="task_type" localSheetId="17">'PF 8231F'!#REF!</definedName>
    <definedName name="task_type" localSheetId="18">'PF 8332F'!#REF!</definedName>
    <definedName name="task_type" localSheetId="19">'PF 8340R'!#REF!</definedName>
    <definedName name="task_type" localSheetId="34">'SY 6131F'!#REF!</definedName>
    <definedName name="task_type" localSheetId="35">'SY 6132R'!#REF!</definedName>
    <definedName name="task_type" localSheetId="36">'SY 7212F'!#REF!</definedName>
    <definedName name="task_type" localSheetId="37">'SY 7511F'!#REF!</definedName>
    <definedName name="task_type" localSheetId="38">'TF 6241F'!#REF!</definedName>
    <definedName name="task_type" localSheetId="39">'TF 6251F'!#REF!</definedName>
    <definedName name="task_type" localSheetId="40">'TF 6402R'!#REF!</definedName>
    <definedName name="task_type" localSheetId="41">'TF 6403R'!#REF!</definedName>
    <definedName name="task_type" localSheetId="42">'TF 7113R'!#REF!</definedName>
    <definedName name="task_type" localSheetId="43">'TF 7123R'!#REF!</definedName>
    <definedName name="task_type" localSheetId="44">'TF 7133R'!#REF!</definedName>
    <definedName name="task_type" localSheetId="45">'TF 7502R'!#REF!</definedName>
    <definedName name="task_type">#REF!</definedName>
    <definedName name="TF_6324W_Rocket_Test_Report__STC">'[2]TF 6324W'!$AT$76</definedName>
    <definedName name="title" localSheetId="21">'FQ 6241F'!#REF!</definedName>
    <definedName name="title" localSheetId="22">'FQ 6251F'!#REF!</definedName>
    <definedName name="title" localSheetId="24">'FQ 7232F'!#REF!</definedName>
    <definedName name="title" localSheetId="25">'FQ 8121F'!#REF!</definedName>
    <definedName name="title" localSheetId="26">'FQ 8141F'!#REF!</definedName>
    <definedName name="title" localSheetId="28">'FQ 9111F'!#REF!</definedName>
    <definedName name="title" localSheetId="29">'FQ 9211F'!#REF!</definedName>
    <definedName name="title" localSheetId="30">'FQ 9221F'!#REF!</definedName>
    <definedName name="title" localSheetId="31">'FQ 9246F'!#REF!</definedName>
    <definedName name="title" localSheetId="33">'FQ 9511F'!#REF!</definedName>
    <definedName name="title" localSheetId="11">'PF 6121F'!#REF!</definedName>
    <definedName name="title" localSheetId="12">'PF 6221F'!#REF!</definedName>
    <definedName name="title" localSheetId="14">'PF 7112F'!#REF!</definedName>
    <definedName name="title" localSheetId="16">'PF 8222F'!#REF!</definedName>
    <definedName name="title" localSheetId="17">'PF 8231F'!#REF!</definedName>
    <definedName name="title" localSheetId="18">'PF 8332F'!#REF!</definedName>
    <definedName name="title" localSheetId="19">'PF 8340R'!#REF!</definedName>
    <definedName name="title" localSheetId="34">'SY 6131F'!#REF!</definedName>
    <definedName name="title" localSheetId="35">'SY 6132R'!#REF!</definedName>
    <definedName name="title" localSheetId="36">'SY 7212F'!#REF!</definedName>
    <definedName name="title" localSheetId="37">'SY 7511F'!#REF!</definedName>
    <definedName name="title" localSheetId="38">'TF 6241F'!#REF!</definedName>
    <definedName name="title" localSheetId="39">'TF 6251F'!#REF!</definedName>
    <definedName name="title" localSheetId="40">'TF 6402R'!#REF!</definedName>
    <definedName name="title" localSheetId="41">'TF 6403R'!#REF!</definedName>
    <definedName name="title" localSheetId="42">'TF 7113R'!#REF!</definedName>
    <definedName name="title" localSheetId="43">'TF 7123R'!#REF!</definedName>
    <definedName name="title" localSheetId="44">'TF 7133R'!#REF!</definedName>
    <definedName name="title" localSheetId="45">'TF 7502R'!#REF!</definedName>
    <definedName name="ulstart" localSheetId="21">'FQ 6241F'!$J$8</definedName>
    <definedName name="ulstart" localSheetId="22">'FQ 6251F'!$J$8</definedName>
    <definedName name="ulstart" localSheetId="24">'FQ 7232F'!$J$8</definedName>
    <definedName name="ulstart" localSheetId="25">'FQ 8121F'!$J$8</definedName>
    <definedName name="ulstart" localSheetId="26">'FQ 8141F'!$J$8</definedName>
    <definedName name="ulstart" localSheetId="28">'FQ 9111F'!$J$8</definedName>
    <definedName name="ulstart" localSheetId="29">'FQ 9211F'!$J$8</definedName>
    <definedName name="ulstart" localSheetId="30">'FQ 9221F'!$J$8</definedName>
    <definedName name="ulstart" localSheetId="31">'FQ 9246F'!$J$8</definedName>
    <definedName name="ulstart" localSheetId="33">'FQ 9511F'!$J$8</definedName>
    <definedName name="ulstart" localSheetId="11">'PF 6121F'!$J$8</definedName>
    <definedName name="ulstart" localSheetId="12">'PF 6221F'!$J$8</definedName>
    <definedName name="ulstart" localSheetId="14">'PF 7112F'!$J$8</definedName>
    <definedName name="ulstart" localSheetId="16">'PF 8222F'!$J$8</definedName>
    <definedName name="ulstart" localSheetId="17">'PF 8231F'!$J$8</definedName>
    <definedName name="ulstart" localSheetId="18">'PF 8332F'!$J$8</definedName>
    <definedName name="ulstart" localSheetId="19">'PF 8340R'!$J$9</definedName>
    <definedName name="ulstart" localSheetId="34">'SY 6131F'!$J$8</definedName>
    <definedName name="ulstart" localSheetId="35">'SY 6132R'!$J$9</definedName>
    <definedName name="ulstart" localSheetId="36">'SY 7212F'!$J$8</definedName>
    <definedName name="ulstart" localSheetId="37">'SY 7511F'!$J$8</definedName>
    <definedName name="ulstart" localSheetId="38">'TF 6241F'!$J$8</definedName>
    <definedName name="ulstart" localSheetId="39">'TF 6251F'!$J$8</definedName>
    <definedName name="ulstart" localSheetId="40">'TF 6402R'!$J$9</definedName>
    <definedName name="ulstart" localSheetId="41">'TF 6403R'!$J$11</definedName>
    <definedName name="ulstart" localSheetId="42">'TF 7113R'!$J$9</definedName>
    <definedName name="ulstart" localSheetId="43">'TF 7123R'!$J$9</definedName>
    <definedName name="ulstart" localSheetId="44">'TF 7133R'!$J$9</definedName>
    <definedName name="ulstart" localSheetId="45">'TF 7502R'!$J$8</definedName>
    <definedName name="ulstart">#REF!</definedName>
    <definedName name="Z_02167FE6_14A1_41F9_8E10_ABA62C3090BE_.wvu.Cols" localSheetId="19" hidden="1">'PF 8340R'!#REF!,'PF 8340R'!$T:$BN</definedName>
    <definedName name="Z_02167FE6_14A1_41F9_8E10_ABA62C3090BE_.wvu.Cols" localSheetId="35" hidden="1">'SY 6132R'!#REF!,'SY 6132R'!$T:$BN</definedName>
    <definedName name="Z_02167FE6_14A1_41F9_8E10_ABA62C3090BE_.wvu.Cols" localSheetId="40" hidden="1">'TF 6402R'!#REF!,'TF 6402R'!$T:$BN</definedName>
    <definedName name="Z_02167FE6_14A1_41F9_8E10_ABA62C3090BE_.wvu.Cols" localSheetId="41" hidden="1">'TF 6403R'!#REF!,'TF 6403R'!$T:$BN</definedName>
    <definedName name="Z_02167FE6_14A1_41F9_8E10_ABA62C3090BE_.wvu.Cols" localSheetId="42" hidden="1">'TF 7113R'!#REF!,'TF 7113R'!$T:$BN</definedName>
    <definedName name="Z_02167FE6_14A1_41F9_8E10_ABA62C3090BE_.wvu.Cols" localSheetId="43" hidden="1">'TF 7123R'!#REF!,'TF 7123R'!$T:$BN</definedName>
    <definedName name="Z_02167FE6_14A1_41F9_8E10_ABA62C3090BE_.wvu.Cols" localSheetId="44" hidden="1">'TF 7133R'!#REF!,'TF 7133R'!$T:$BN</definedName>
    <definedName name="Z_02167FE6_14A1_41F9_8E10_ABA62C3090BE_.wvu.Rows" localSheetId="19" hidden="1">'PF 8340R'!#REF!,'PF 8340R'!$1:$2</definedName>
    <definedName name="Z_02167FE6_14A1_41F9_8E10_ABA62C3090BE_.wvu.Rows" localSheetId="35" hidden="1">'SY 6132R'!#REF!,'SY 6132R'!$1:$2</definedName>
    <definedName name="Z_02167FE6_14A1_41F9_8E10_ABA62C3090BE_.wvu.Rows" localSheetId="40" hidden="1">'TF 6402R'!#REF!,'TF 6402R'!$1:$2</definedName>
    <definedName name="Z_02167FE6_14A1_41F9_8E10_ABA62C3090BE_.wvu.Rows" localSheetId="41" hidden="1">'TF 6403R'!#REF!,'TF 6403R'!$1:$4</definedName>
    <definedName name="Z_02167FE6_14A1_41F9_8E10_ABA62C3090BE_.wvu.Rows" localSheetId="42" hidden="1">'TF 7113R'!#REF!,'TF 7113R'!$1:$2</definedName>
    <definedName name="Z_02167FE6_14A1_41F9_8E10_ABA62C3090BE_.wvu.Rows" localSheetId="43" hidden="1">'TF 7123R'!#REF!,'TF 7123R'!$1:$2</definedName>
    <definedName name="Z_02167FE6_14A1_41F9_8E10_ABA62C3090BE_.wvu.Rows" localSheetId="44" hidden="1">'TF 7133R'!#REF!,'TF 7133R'!$1:$2</definedName>
    <definedName name="Z_260A4A42_DC1D_4D31_BD57_1656952E0E95_.wvu.Cols" localSheetId="19" hidden="1">'PF 8340R'!#REF!,'PF 8340R'!$T:$BN</definedName>
    <definedName name="Z_260A4A42_DC1D_4D31_BD57_1656952E0E95_.wvu.Cols" localSheetId="35" hidden="1">'SY 6132R'!#REF!,'SY 6132R'!$T:$BN</definedName>
    <definedName name="Z_260A4A42_DC1D_4D31_BD57_1656952E0E95_.wvu.Cols" localSheetId="40" hidden="1">'TF 6402R'!#REF!,'TF 6402R'!$T:$BN</definedName>
    <definedName name="Z_260A4A42_DC1D_4D31_BD57_1656952E0E95_.wvu.Cols" localSheetId="41" hidden="1">'TF 6403R'!#REF!,'TF 6403R'!$T:$BN</definedName>
    <definedName name="Z_260A4A42_DC1D_4D31_BD57_1656952E0E95_.wvu.Cols" localSheetId="42" hidden="1">'TF 7113R'!#REF!,'TF 7113R'!$T:$BN</definedName>
    <definedName name="Z_260A4A42_DC1D_4D31_BD57_1656952E0E95_.wvu.Cols" localSheetId="43" hidden="1">'TF 7123R'!#REF!,'TF 7123R'!$T:$BN</definedName>
    <definedName name="Z_260A4A42_DC1D_4D31_BD57_1656952E0E95_.wvu.Cols" localSheetId="44" hidden="1">'TF 7133R'!#REF!,'TF 7133R'!$T:$BN</definedName>
    <definedName name="Z_260A4A42_DC1D_4D31_BD57_1656952E0E95_.wvu.Rows" localSheetId="19" hidden="1">'PF 8340R'!#REF!,'PF 8340R'!$1:$2</definedName>
    <definedName name="Z_260A4A42_DC1D_4D31_BD57_1656952E0E95_.wvu.Rows" localSheetId="35" hidden="1">'SY 6132R'!#REF!,'SY 6132R'!$1:$2</definedName>
    <definedName name="Z_260A4A42_DC1D_4D31_BD57_1656952E0E95_.wvu.Rows" localSheetId="40" hidden="1">'TF 6402R'!#REF!,'TF 6402R'!$1:$2</definedName>
    <definedName name="Z_260A4A42_DC1D_4D31_BD57_1656952E0E95_.wvu.Rows" localSheetId="41" hidden="1">'TF 6403R'!#REF!,'TF 6403R'!$1:$4</definedName>
    <definedName name="Z_260A4A42_DC1D_4D31_BD57_1656952E0E95_.wvu.Rows" localSheetId="42" hidden="1">'TF 7113R'!#REF!,'TF 7113R'!$1:$2</definedName>
    <definedName name="Z_260A4A42_DC1D_4D31_BD57_1656952E0E95_.wvu.Rows" localSheetId="43" hidden="1">'TF 7123R'!#REF!,'TF 7123R'!$1:$2</definedName>
    <definedName name="Z_260A4A42_DC1D_4D31_BD57_1656952E0E95_.wvu.Rows" localSheetId="44" hidden="1">'TF 7133R'!#REF!,'TF 7133R'!$1:$2</definedName>
    <definedName name="Z_9A2E4652_C60C_4D05_B4BD_B40CD0454F4E_.wvu.Cols" localSheetId="21" hidden="1">'FQ 6241F'!#REF!,'FQ 6241F'!$T:$BN</definedName>
    <definedName name="Z_9A2E4652_C60C_4D05_B4BD_B40CD0454F4E_.wvu.Cols" localSheetId="22" hidden="1">'FQ 6251F'!#REF!,'FQ 6251F'!$T:$BN</definedName>
    <definedName name="Z_9A2E4652_C60C_4D05_B4BD_B40CD0454F4E_.wvu.Cols" localSheetId="24" hidden="1">'FQ 7232F'!#REF!,'FQ 7232F'!$T:$BN</definedName>
    <definedName name="Z_9A2E4652_C60C_4D05_B4BD_B40CD0454F4E_.wvu.Cols" localSheetId="25" hidden="1">'FQ 8121F'!#REF!,'FQ 8121F'!$T:$BN</definedName>
    <definedName name="Z_9A2E4652_C60C_4D05_B4BD_B40CD0454F4E_.wvu.Cols" localSheetId="26" hidden="1">'FQ 8141F'!#REF!,'FQ 8141F'!$T:$BN</definedName>
    <definedName name="Z_9A2E4652_C60C_4D05_B4BD_B40CD0454F4E_.wvu.Cols" localSheetId="28" hidden="1">'FQ 9111F'!#REF!,'FQ 9111F'!$T:$BN</definedName>
    <definedName name="Z_9A2E4652_C60C_4D05_B4BD_B40CD0454F4E_.wvu.Cols" localSheetId="29" hidden="1">'FQ 9211F'!#REF!,'FQ 9211F'!$T:$BN</definedName>
    <definedName name="Z_9A2E4652_C60C_4D05_B4BD_B40CD0454F4E_.wvu.Cols" localSheetId="30" hidden="1">'FQ 9221F'!#REF!,'FQ 9221F'!$T:$BN</definedName>
    <definedName name="Z_9A2E4652_C60C_4D05_B4BD_B40CD0454F4E_.wvu.Cols" localSheetId="31" hidden="1">'FQ 9246F'!#REF!,'FQ 9246F'!$T:$BN</definedName>
    <definedName name="Z_9A2E4652_C60C_4D05_B4BD_B40CD0454F4E_.wvu.Cols" localSheetId="33" hidden="1">'FQ 9511F'!#REF!,'FQ 9511F'!$T:$BN</definedName>
    <definedName name="Z_9A2E4652_C60C_4D05_B4BD_B40CD0454F4E_.wvu.Cols" localSheetId="11" hidden="1">'PF 6121F'!#REF!,'PF 6121F'!$T:$BN</definedName>
    <definedName name="Z_9A2E4652_C60C_4D05_B4BD_B40CD0454F4E_.wvu.Cols" localSheetId="12" hidden="1">'PF 6221F'!#REF!,'PF 6221F'!$T:$BN</definedName>
    <definedName name="Z_9A2E4652_C60C_4D05_B4BD_B40CD0454F4E_.wvu.Cols" localSheetId="14" hidden="1">'PF 7112F'!#REF!,'PF 7112F'!$T:$BN</definedName>
    <definedName name="Z_9A2E4652_C60C_4D05_B4BD_B40CD0454F4E_.wvu.Cols" localSheetId="16" hidden="1">'PF 8222F'!#REF!,'PF 8222F'!$T:$BN</definedName>
    <definedName name="Z_9A2E4652_C60C_4D05_B4BD_B40CD0454F4E_.wvu.Cols" localSheetId="17" hidden="1">'PF 8231F'!#REF!,'PF 8231F'!$T:$BN</definedName>
    <definedName name="Z_9A2E4652_C60C_4D05_B4BD_B40CD0454F4E_.wvu.Cols" localSheetId="18" hidden="1">'PF 8332F'!#REF!,'PF 8332F'!$T:$BN</definedName>
    <definedName name="Z_9A2E4652_C60C_4D05_B4BD_B40CD0454F4E_.wvu.Cols" localSheetId="34" hidden="1">'SY 6131F'!#REF!,'SY 6131F'!$T:$BN</definedName>
    <definedName name="Z_9A2E4652_C60C_4D05_B4BD_B40CD0454F4E_.wvu.Cols" localSheetId="36" hidden="1">'SY 7212F'!#REF!,'SY 7212F'!$T:$BN</definedName>
    <definedName name="Z_9A2E4652_C60C_4D05_B4BD_B40CD0454F4E_.wvu.Cols" localSheetId="37" hidden="1">'SY 7511F'!#REF!,'SY 7511F'!$T:$BN</definedName>
    <definedName name="Z_9A2E4652_C60C_4D05_B4BD_B40CD0454F4E_.wvu.Cols" localSheetId="38" hidden="1">'TF 6241F'!#REF!,'TF 6241F'!$T:$BN</definedName>
    <definedName name="Z_9A2E4652_C60C_4D05_B4BD_B40CD0454F4E_.wvu.Cols" localSheetId="39" hidden="1">'TF 6251F'!#REF!,'TF 6251F'!$T:$BN</definedName>
    <definedName name="Z_9A2E4652_C60C_4D05_B4BD_B40CD0454F4E_.wvu.Cols" localSheetId="45" hidden="1">'TF 7502R'!#REF!,'TF 7502R'!$T:$BN</definedName>
    <definedName name="Z_9A2E4652_C60C_4D05_B4BD_B40CD0454F4E_.wvu.PrintArea" localSheetId="21" hidden="1">'FQ 6241F'!$B$3:$R$42</definedName>
    <definedName name="Z_9A2E4652_C60C_4D05_B4BD_B40CD0454F4E_.wvu.PrintArea" localSheetId="22" hidden="1">'FQ 6251F'!$B$3:$R$42</definedName>
    <definedName name="Z_9A2E4652_C60C_4D05_B4BD_B40CD0454F4E_.wvu.PrintArea" localSheetId="24" hidden="1">'FQ 7232F'!$B$3:$R$42</definedName>
    <definedName name="Z_9A2E4652_C60C_4D05_B4BD_B40CD0454F4E_.wvu.PrintArea" localSheetId="25" hidden="1">'FQ 8121F'!$B$3:$R$42</definedName>
    <definedName name="Z_9A2E4652_C60C_4D05_B4BD_B40CD0454F4E_.wvu.PrintArea" localSheetId="26" hidden="1">'FQ 8141F'!$B$3:$R$42</definedName>
    <definedName name="Z_9A2E4652_C60C_4D05_B4BD_B40CD0454F4E_.wvu.PrintArea" localSheetId="28" hidden="1">'FQ 9111F'!$B$3:$R$42</definedName>
    <definedName name="Z_9A2E4652_C60C_4D05_B4BD_B40CD0454F4E_.wvu.PrintArea" localSheetId="29" hidden="1">'FQ 9211F'!$B$3:$R$42</definedName>
    <definedName name="Z_9A2E4652_C60C_4D05_B4BD_B40CD0454F4E_.wvu.PrintArea" localSheetId="30" hidden="1">'FQ 9221F'!$B$3:$R$42</definedName>
    <definedName name="Z_9A2E4652_C60C_4D05_B4BD_B40CD0454F4E_.wvu.PrintArea" localSheetId="31" hidden="1">'FQ 9246F'!$B$3:$R$42</definedName>
    <definedName name="Z_9A2E4652_C60C_4D05_B4BD_B40CD0454F4E_.wvu.PrintArea" localSheetId="33" hidden="1">'FQ 9511F'!$B$3:$R$42</definedName>
    <definedName name="Z_9A2E4652_C60C_4D05_B4BD_B40CD0454F4E_.wvu.PrintArea" localSheetId="11" hidden="1">'PF 6121F'!$B$3:$R$42</definedName>
    <definedName name="Z_9A2E4652_C60C_4D05_B4BD_B40CD0454F4E_.wvu.PrintArea" localSheetId="12" hidden="1">'PF 6221F'!$B$3:$R$42</definedName>
    <definedName name="Z_9A2E4652_C60C_4D05_B4BD_B40CD0454F4E_.wvu.PrintArea" localSheetId="14" hidden="1">'PF 7112F'!$B$3:$R$42</definedName>
    <definedName name="Z_9A2E4652_C60C_4D05_B4BD_B40CD0454F4E_.wvu.PrintArea" localSheetId="16" hidden="1">'PF 8222F'!$B$3:$R$42</definedName>
    <definedName name="Z_9A2E4652_C60C_4D05_B4BD_B40CD0454F4E_.wvu.PrintArea" localSheetId="17" hidden="1">'PF 8231F'!$B$3:$R$42</definedName>
    <definedName name="Z_9A2E4652_C60C_4D05_B4BD_B40CD0454F4E_.wvu.PrintArea" localSheetId="18" hidden="1">'PF 8332F'!$B$3:$R$42</definedName>
    <definedName name="Z_9A2E4652_C60C_4D05_B4BD_B40CD0454F4E_.wvu.PrintArea" localSheetId="34" hidden="1">'SY 6131F'!$B$3:$R$42</definedName>
    <definedName name="Z_9A2E4652_C60C_4D05_B4BD_B40CD0454F4E_.wvu.PrintArea" localSheetId="36" hidden="1">'SY 7212F'!$B$3:$R$42</definedName>
    <definedName name="Z_9A2E4652_C60C_4D05_B4BD_B40CD0454F4E_.wvu.PrintArea" localSheetId="37" hidden="1">'SY 7511F'!$B$3:$R$42</definedName>
    <definedName name="Z_9A2E4652_C60C_4D05_B4BD_B40CD0454F4E_.wvu.PrintArea" localSheetId="38" hidden="1">'TF 6241F'!$B$3:$R$42</definedName>
    <definedName name="Z_9A2E4652_C60C_4D05_B4BD_B40CD0454F4E_.wvu.PrintArea" localSheetId="39" hidden="1">'TF 6251F'!$B$3:$R$42</definedName>
    <definedName name="Z_9A2E4652_C60C_4D05_B4BD_B40CD0454F4E_.wvu.PrintArea" localSheetId="45" hidden="1">'TF 7502R'!$B$3:$R$42</definedName>
    <definedName name="Z_9A2E4652_C60C_4D05_B4BD_B40CD0454F4E_.wvu.Rows" localSheetId="21" hidden="1">'FQ 6241F'!#REF!,'FQ 6241F'!$1:$1</definedName>
    <definedName name="Z_9A2E4652_C60C_4D05_B4BD_B40CD0454F4E_.wvu.Rows" localSheetId="22" hidden="1">'FQ 6251F'!#REF!,'FQ 6251F'!$1:$1</definedName>
    <definedName name="Z_9A2E4652_C60C_4D05_B4BD_B40CD0454F4E_.wvu.Rows" localSheetId="24" hidden="1">'FQ 7232F'!#REF!,'FQ 7232F'!$1:$1</definedName>
    <definedName name="Z_9A2E4652_C60C_4D05_B4BD_B40CD0454F4E_.wvu.Rows" localSheetId="25" hidden="1">'FQ 8121F'!#REF!,'FQ 8121F'!$1:$1</definedName>
    <definedName name="Z_9A2E4652_C60C_4D05_B4BD_B40CD0454F4E_.wvu.Rows" localSheetId="26" hidden="1">'FQ 8141F'!#REF!,'FQ 8141F'!$1:$1</definedName>
    <definedName name="Z_9A2E4652_C60C_4D05_B4BD_B40CD0454F4E_.wvu.Rows" localSheetId="28" hidden="1">'FQ 9111F'!#REF!,'FQ 9111F'!$1:$1</definedName>
    <definedName name="Z_9A2E4652_C60C_4D05_B4BD_B40CD0454F4E_.wvu.Rows" localSheetId="29" hidden="1">'FQ 9211F'!#REF!,'FQ 9211F'!$1:$1</definedName>
    <definedName name="Z_9A2E4652_C60C_4D05_B4BD_B40CD0454F4E_.wvu.Rows" localSheetId="30" hidden="1">'FQ 9221F'!#REF!,'FQ 9221F'!$1:$1</definedName>
    <definedName name="Z_9A2E4652_C60C_4D05_B4BD_B40CD0454F4E_.wvu.Rows" localSheetId="31" hidden="1">'FQ 9246F'!#REF!,'FQ 9246F'!$1:$1</definedName>
    <definedName name="Z_9A2E4652_C60C_4D05_B4BD_B40CD0454F4E_.wvu.Rows" localSheetId="33" hidden="1">'FQ 9511F'!#REF!,'FQ 9511F'!$1:$1</definedName>
    <definedName name="Z_9A2E4652_C60C_4D05_B4BD_B40CD0454F4E_.wvu.Rows" localSheetId="11" hidden="1">'PF 6121F'!#REF!,'PF 6121F'!$1:$1</definedName>
    <definedName name="Z_9A2E4652_C60C_4D05_B4BD_B40CD0454F4E_.wvu.Rows" localSheetId="12" hidden="1">'PF 6221F'!#REF!,'PF 6221F'!$1:$1</definedName>
    <definedName name="Z_9A2E4652_C60C_4D05_B4BD_B40CD0454F4E_.wvu.Rows" localSheetId="14" hidden="1">'PF 7112F'!#REF!,'PF 7112F'!$1:$1</definedName>
    <definedName name="Z_9A2E4652_C60C_4D05_B4BD_B40CD0454F4E_.wvu.Rows" localSheetId="16" hidden="1">'PF 8222F'!#REF!,'PF 8222F'!$1:$1</definedName>
    <definedName name="Z_9A2E4652_C60C_4D05_B4BD_B40CD0454F4E_.wvu.Rows" localSheetId="17" hidden="1">'PF 8231F'!#REF!,'PF 8231F'!$1:$1</definedName>
    <definedName name="Z_9A2E4652_C60C_4D05_B4BD_B40CD0454F4E_.wvu.Rows" localSheetId="18" hidden="1">'PF 8332F'!#REF!,'PF 8332F'!$1:$1</definedName>
    <definedName name="Z_9A2E4652_C60C_4D05_B4BD_B40CD0454F4E_.wvu.Rows" localSheetId="34" hidden="1">'SY 6131F'!#REF!,'SY 6131F'!$1:$1</definedName>
    <definedName name="Z_9A2E4652_C60C_4D05_B4BD_B40CD0454F4E_.wvu.Rows" localSheetId="36" hidden="1">'SY 7212F'!#REF!,'SY 7212F'!$1:$1</definedName>
    <definedName name="Z_9A2E4652_C60C_4D05_B4BD_B40CD0454F4E_.wvu.Rows" localSheetId="37" hidden="1">'SY 7511F'!#REF!,'SY 7511F'!$1:$1</definedName>
    <definedName name="Z_9A2E4652_C60C_4D05_B4BD_B40CD0454F4E_.wvu.Rows" localSheetId="38" hidden="1">'TF 6241F'!#REF!,'TF 6241F'!$1:$1</definedName>
    <definedName name="Z_9A2E4652_C60C_4D05_B4BD_B40CD0454F4E_.wvu.Rows" localSheetId="39" hidden="1">'TF 6251F'!#REF!,'TF 6251F'!$1:$1</definedName>
    <definedName name="Z_9A2E4652_C60C_4D05_B4BD_B40CD0454F4E_.wvu.Rows" localSheetId="45" hidden="1">'TF 7502R'!#REF!,'TF 7502R'!$1:$1</definedName>
    <definedName name="Z_AA06D535_8AC1_4049_A373_0F129ACECEE4_.wvu.Cols" localSheetId="21" hidden="1">'FQ 6241F'!#REF!,'FQ 6241F'!$T:$BN</definedName>
    <definedName name="Z_AA06D535_8AC1_4049_A373_0F129ACECEE4_.wvu.Cols" localSheetId="22" hidden="1">'FQ 6251F'!#REF!,'FQ 6251F'!$T:$BN</definedName>
    <definedName name="Z_AA06D535_8AC1_4049_A373_0F129ACECEE4_.wvu.Cols" localSheetId="24" hidden="1">'FQ 7232F'!#REF!,'FQ 7232F'!$T:$BN</definedName>
    <definedName name="Z_AA06D535_8AC1_4049_A373_0F129ACECEE4_.wvu.Cols" localSheetId="25" hidden="1">'FQ 8121F'!#REF!,'FQ 8121F'!$T:$BN</definedName>
    <definedName name="Z_AA06D535_8AC1_4049_A373_0F129ACECEE4_.wvu.Cols" localSheetId="26" hidden="1">'FQ 8141F'!#REF!,'FQ 8141F'!$T:$BN</definedName>
    <definedName name="Z_AA06D535_8AC1_4049_A373_0F129ACECEE4_.wvu.Cols" localSheetId="28" hidden="1">'FQ 9111F'!#REF!,'FQ 9111F'!$T:$BN</definedName>
    <definedName name="Z_AA06D535_8AC1_4049_A373_0F129ACECEE4_.wvu.Cols" localSheetId="29" hidden="1">'FQ 9211F'!#REF!,'FQ 9211F'!$T:$BN</definedName>
    <definedName name="Z_AA06D535_8AC1_4049_A373_0F129ACECEE4_.wvu.Cols" localSheetId="30" hidden="1">'FQ 9221F'!#REF!,'FQ 9221F'!$T:$BN</definedName>
    <definedName name="Z_AA06D535_8AC1_4049_A373_0F129ACECEE4_.wvu.Cols" localSheetId="31" hidden="1">'FQ 9246F'!#REF!,'FQ 9246F'!$T:$BN</definedName>
    <definedName name="Z_AA06D535_8AC1_4049_A373_0F129ACECEE4_.wvu.Cols" localSheetId="33" hidden="1">'FQ 9511F'!#REF!,'FQ 9511F'!$T:$BN</definedName>
    <definedName name="Z_AA06D535_8AC1_4049_A373_0F129ACECEE4_.wvu.Cols" localSheetId="11" hidden="1">'PF 6121F'!#REF!,'PF 6121F'!$T:$BN</definedName>
    <definedName name="Z_AA06D535_8AC1_4049_A373_0F129ACECEE4_.wvu.Cols" localSheetId="12" hidden="1">'PF 6221F'!#REF!,'PF 6221F'!$T:$BN</definedName>
    <definedName name="Z_AA06D535_8AC1_4049_A373_0F129ACECEE4_.wvu.Cols" localSheetId="14" hidden="1">'PF 7112F'!#REF!,'PF 7112F'!$T:$BN</definedName>
    <definedName name="Z_AA06D535_8AC1_4049_A373_0F129ACECEE4_.wvu.Cols" localSheetId="16" hidden="1">'PF 8222F'!#REF!,'PF 8222F'!$T:$BN</definedName>
    <definedName name="Z_AA06D535_8AC1_4049_A373_0F129ACECEE4_.wvu.Cols" localSheetId="17" hidden="1">'PF 8231F'!#REF!,'PF 8231F'!$T:$BN</definedName>
    <definedName name="Z_AA06D535_8AC1_4049_A373_0F129ACECEE4_.wvu.Cols" localSheetId="18" hidden="1">'PF 8332F'!#REF!,'PF 8332F'!$T:$BN</definedName>
    <definedName name="Z_AA06D535_8AC1_4049_A373_0F129ACECEE4_.wvu.Cols" localSheetId="34" hidden="1">'SY 6131F'!#REF!,'SY 6131F'!$T:$BN</definedName>
    <definedName name="Z_AA06D535_8AC1_4049_A373_0F129ACECEE4_.wvu.Cols" localSheetId="36" hidden="1">'SY 7212F'!#REF!,'SY 7212F'!$T:$BN</definedName>
    <definedName name="Z_AA06D535_8AC1_4049_A373_0F129ACECEE4_.wvu.Cols" localSheetId="37" hidden="1">'SY 7511F'!#REF!,'SY 7511F'!$T:$BN</definedName>
    <definedName name="Z_AA06D535_8AC1_4049_A373_0F129ACECEE4_.wvu.Cols" localSheetId="38" hidden="1">'TF 6241F'!#REF!,'TF 6241F'!$T:$BN</definedName>
    <definedName name="Z_AA06D535_8AC1_4049_A373_0F129ACECEE4_.wvu.Cols" localSheetId="39" hidden="1">'TF 6251F'!#REF!,'TF 6251F'!$T:$BN</definedName>
    <definedName name="Z_AA06D535_8AC1_4049_A373_0F129ACECEE4_.wvu.Cols" localSheetId="45" hidden="1">'TF 7502R'!#REF!,'TF 7502R'!$T:$BN</definedName>
    <definedName name="Z_AA06D535_8AC1_4049_A373_0F129ACECEE4_.wvu.PrintArea" localSheetId="21" hidden="1">'FQ 6241F'!$B$3:$R$42</definedName>
    <definedName name="Z_AA06D535_8AC1_4049_A373_0F129ACECEE4_.wvu.PrintArea" localSheetId="22" hidden="1">'FQ 6251F'!$B$3:$R$42</definedName>
    <definedName name="Z_AA06D535_8AC1_4049_A373_0F129ACECEE4_.wvu.PrintArea" localSheetId="24" hidden="1">'FQ 7232F'!$B$3:$R$42</definedName>
    <definedName name="Z_AA06D535_8AC1_4049_A373_0F129ACECEE4_.wvu.PrintArea" localSheetId="25" hidden="1">'FQ 8121F'!$B$3:$R$42</definedName>
    <definedName name="Z_AA06D535_8AC1_4049_A373_0F129ACECEE4_.wvu.PrintArea" localSheetId="26" hidden="1">'FQ 8141F'!$B$3:$R$42</definedName>
    <definedName name="Z_AA06D535_8AC1_4049_A373_0F129ACECEE4_.wvu.PrintArea" localSheetId="28" hidden="1">'FQ 9111F'!$B$3:$R$42</definedName>
    <definedName name="Z_AA06D535_8AC1_4049_A373_0F129ACECEE4_.wvu.PrintArea" localSheetId="29" hidden="1">'FQ 9211F'!$B$3:$R$42</definedName>
    <definedName name="Z_AA06D535_8AC1_4049_A373_0F129ACECEE4_.wvu.PrintArea" localSheetId="30" hidden="1">'FQ 9221F'!$B$3:$R$42</definedName>
    <definedName name="Z_AA06D535_8AC1_4049_A373_0F129ACECEE4_.wvu.PrintArea" localSheetId="31" hidden="1">'FQ 9246F'!$B$3:$R$42</definedName>
    <definedName name="Z_AA06D535_8AC1_4049_A373_0F129ACECEE4_.wvu.PrintArea" localSheetId="33" hidden="1">'FQ 9511F'!$B$3:$R$42</definedName>
    <definedName name="Z_AA06D535_8AC1_4049_A373_0F129ACECEE4_.wvu.PrintArea" localSheetId="11" hidden="1">'PF 6121F'!$B$3:$R$42</definedName>
    <definedName name="Z_AA06D535_8AC1_4049_A373_0F129ACECEE4_.wvu.PrintArea" localSheetId="12" hidden="1">'PF 6221F'!$B$3:$R$42</definedName>
    <definedName name="Z_AA06D535_8AC1_4049_A373_0F129ACECEE4_.wvu.PrintArea" localSheetId="14" hidden="1">'PF 7112F'!$B$3:$R$42</definedName>
    <definedName name="Z_AA06D535_8AC1_4049_A373_0F129ACECEE4_.wvu.PrintArea" localSheetId="16" hidden="1">'PF 8222F'!$B$3:$R$42</definedName>
    <definedName name="Z_AA06D535_8AC1_4049_A373_0F129ACECEE4_.wvu.PrintArea" localSheetId="17" hidden="1">'PF 8231F'!$B$3:$R$42</definedName>
    <definedName name="Z_AA06D535_8AC1_4049_A373_0F129ACECEE4_.wvu.PrintArea" localSheetId="18" hidden="1">'PF 8332F'!$B$3:$R$42</definedName>
    <definedName name="Z_AA06D535_8AC1_4049_A373_0F129ACECEE4_.wvu.PrintArea" localSheetId="34" hidden="1">'SY 6131F'!$B$3:$R$42</definedName>
    <definedName name="Z_AA06D535_8AC1_4049_A373_0F129ACECEE4_.wvu.PrintArea" localSheetId="36" hidden="1">'SY 7212F'!$B$3:$R$42</definedName>
    <definedName name="Z_AA06D535_8AC1_4049_A373_0F129ACECEE4_.wvu.PrintArea" localSheetId="37" hidden="1">'SY 7511F'!$B$3:$R$42</definedName>
    <definedName name="Z_AA06D535_8AC1_4049_A373_0F129ACECEE4_.wvu.PrintArea" localSheetId="38" hidden="1">'TF 6241F'!$B$3:$R$42</definedName>
    <definedName name="Z_AA06D535_8AC1_4049_A373_0F129ACECEE4_.wvu.PrintArea" localSheetId="39" hidden="1">'TF 6251F'!$B$3:$R$42</definedName>
    <definedName name="Z_AA06D535_8AC1_4049_A373_0F129ACECEE4_.wvu.PrintArea" localSheetId="45" hidden="1">'TF 7502R'!$B$3:$R$42</definedName>
    <definedName name="Z_AA06D535_8AC1_4049_A373_0F129ACECEE4_.wvu.Rows" localSheetId="21" hidden="1">'FQ 6241F'!#REF!,'FQ 6241F'!$1:$1</definedName>
    <definedName name="Z_AA06D535_8AC1_4049_A373_0F129ACECEE4_.wvu.Rows" localSheetId="22" hidden="1">'FQ 6251F'!#REF!,'FQ 6251F'!$1:$1</definedName>
    <definedName name="Z_AA06D535_8AC1_4049_A373_0F129ACECEE4_.wvu.Rows" localSheetId="24" hidden="1">'FQ 7232F'!#REF!,'FQ 7232F'!$1:$1</definedName>
    <definedName name="Z_AA06D535_8AC1_4049_A373_0F129ACECEE4_.wvu.Rows" localSheetId="25" hidden="1">'FQ 8121F'!#REF!,'FQ 8121F'!$1:$1</definedName>
    <definedName name="Z_AA06D535_8AC1_4049_A373_0F129ACECEE4_.wvu.Rows" localSheetId="26" hidden="1">'FQ 8141F'!#REF!,'FQ 8141F'!$1:$1</definedName>
    <definedName name="Z_AA06D535_8AC1_4049_A373_0F129ACECEE4_.wvu.Rows" localSheetId="28" hidden="1">'FQ 9111F'!#REF!,'FQ 9111F'!$1:$1</definedName>
    <definedName name="Z_AA06D535_8AC1_4049_A373_0F129ACECEE4_.wvu.Rows" localSheetId="29" hidden="1">'FQ 9211F'!#REF!,'FQ 9211F'!$1:$1</definedName>
    <definedName name="Z_AA06D535_8AC1_4049_A373_0F129ACECEE4_.wvu.Rows" localSheetId="30" hidden="1">'FQ 9221F'!#REF!,'FQ 9221F'!$1:$1</definedName>
    <definedName name="Z_AA06D535_8AC1_4049_A373_0F129ACECEE4_.wvu.Rows" localSheetId="31" hidden="1">'FQ 9246F'!#REF!,'FQ 9246F'!$1:$1</definedName>
    <definedName name="Z_AA06D535_8AC1_4049_A373_0F129ACECEE4_.wvu.Rows" localSheetId="33" hidden="1">'FQ 9511F'!#REF!,'FQ 9511F'!$1:$1</definedName>
    <definedName name="Z_AA06D535_8AC1_4049_A373_0F129ACECEE4_.wvu.Rows" localSheetId="11" hidden="1">'PF 6121F'!#REF!,'PF 6121F'!$1:$1</definedName>
    <definedName name="Z_AA06D535_8AC1_4049_A373_0F129ACECEE4_.wvu.Rows" localSheetId="12" hidden="1">'PF 6221F'!#REF!,'PF 6221F'!$1:$1</definedName>
    <definedName name="Z_AA06D535_8AC1_4049_A373_0F129ACECEE4_.wvu.Rows" localSheetId="14" hidden="1">'PF 7112F'!#REF!,'PF 7112F'!$1:$1</definedName>
    <definedName name="Z_AA06D535_8AC1_4049_A373_0F129ACECEE4_.wvu.Rows" localSheetId="16" hidden="1">'PF 8222F'!#REF!,'PF 8222F'!$1:$1</definedName>
    <definedName name="Z_AA06D535_8AC1_4049_A373_0F129ACECEE4_.wvu.Rows" localSheetId="17" hidden="1">'PF 8231F'!#REF!,'PF 8231F'!$1:$1</definedName>
    <definedName name="Z_AA06D535_8AC1_4049_A373_0F129ACECEE4_.wvu.Rows" localSheetId="18" hidden="1">'PF 8332F'!#REF!,'PF 8332F'!$1:$1</definedName>
    <definedName name="Z_AA06D535_8AC1_4049_A373_0F129ACECEE4_.wvu.Rows" localSheetId="34" hidden="1">'SY 6131F'!#REF!,'SY 6131F'!$1:$1</definedName>
    <definedName name="Z_AA06D535_8AC1_4049_A373_0F129ACECEE4_.wvu.Rows" localSheetId="36" hidden="1">'SY 7212F'!#REF!,'SY 7212F'!$1:$1</definedName>
    <definedName name="Z_AA06D535_8AC1_4049_A373_0F129ACECEE4_.wvu.Rows" localSheetId="37" hidden="1">'SY 7511F'!#REF!,'SY 7511F'!$1:$1</definedName>
    <definedName name="Z_AA06D535_8AC1_4049_A373_0F129ACECEE4_.wvu.Rows" localSheetId="38" hidden="1">'TF 6241F'!#REF!,'TF 6241F'!$1:$1</definedName>
    <definedName name="Z_AA06D535_8AC1_4049_A373_0F129ACECEE4_.wvu.Rows" localSheetId="39" hidden="1">'TF 6251F'!#REF!,'TF 6251F'!$1:$1</definedName>
    <definedName name="Z_AA06D535_8AC1_4049_A373_0F129ACECEE4_.wvu.Rows" localSheetId="45" hidden="1">'TF 7502R'!#REF!,'TF 7502R'!$1:$1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138" i="14" l="1"/>
  <c r="F19" i="8"/>
  <c r="E19" i="8"/>
  <c r="D19" i="8"/>
  <c r="F18" i="8"/>
  <c r="C136" i="14" s="1"/>
  <c r="E18" i="8"/>
  <c r="D18" i="8"/>
  <c r="F17" i="8"/>
  <c r="C135" i="14" s="1"/>
  <c r="E17" i="8"/>
  <c r="D17" i="8"/>
  <c r="F16" i="8"/>
  <c r="C134" i="14" s="1"/>
  <c r="E16" i="8"/>
  <c r="D16" i="8"/>
  <c r="F15" i="8"/>
  <c r="C131" i="14" s="1"/>
  <c r="E15" i="8"/>
  <c r="D15" i="8"/>
  <c r="F14" i="8"/>
  <c r="C130" i="14" s="1"/>
  <c r="E14" i="8"/>
  <c r="D14" i="8"/>
  <c r="G37" i="9"/>
  <c r="E37" i="9"/>
  <c r="D37" i="9"/>
  <c r="C37" i="9"/>
  <c r="E9" i="8"/>
  <c r="D9" i="8"/>
  <c r="C9" i="8"/>
  <c r="B9" i="8"/>
  <c r="G36" i="9"/>
  <c r="E36" i="9"/>
  <c r="D36" i="9"/>
  <c r="C36" i="9"/>
  <c r="E8" i="8"/>
  <c r="D8" i="8"/>
  <c r="C8" i="8"/>
  <c r="B8" i="8"/>
  <c r="G35" i="9"/>
  <c r="F35" i="9"/>
  <c r="E35" i="9"/>
  <c r="D35" i="9"/>
  <c r="C35" i="9"/>
  <c r="C107" i="14"/>
  <c r="F10" i="7"/>
  <c r="E10" i="7"/>
  <c r="D10" i="7"/>
  <c r="C10" i="7"/>
  <c r="B10" i="7"/>
  <c r="G34" i="9"/>
  <c r="F34" i="9"/>
  <c r="E34" i="9"/>
  <c r="D34" i="9"/>
  <c r="C34" i="9"/>
  <c r="C95" i="14"/>
  <c r="F9" i="7"/>
  <c r="E9" i="7"/>
  <c r="D9" i="7"/>
  <c r="C9" i="7"/>
  <c r="B9" i="7"/>
  <c r="F15" i="7"/>
  <c r="C86" i="14" s="1"/>
  <c r="E15" i="7"/>
  <c r="D15" i="7"/>
  <c r="G33" i="9"/>
  <c r="F33" i="9"/>
  <c r="E33" i="9"/>
  <c r="D33" i="9"/>
  <c r="C33" i="9"/>
  <c r="F8" i="7"/>
  <c r="C85" i="14" s="1"/>
  <c r="E8" i="7"/>
  <c r="D8" i="7"/>
  <c r="C8" i="7"/>
  <c r="B8" i="7"/>
  <c r="G32" i="9"/>
  <c r="F32" i="9"/>
  <c r="E32" i="9"/>
  <c r="D32" i="9"/>
  <c r="C32" i="9"/>
  <c r="C78" i="14"/>
  <c r="F17" i="6"/>
  <c r="E17" i="6"/>
  <c r="D17" i="6"/>
  <c r="C17" i="6"/>
  <c r="B17" i="6"/>
  <c r="F27" i="6"/>
  <c r="C72" i="14" s="1"/>
  <c r="E27" i="6"/>
  <c r="D27" i="6"/>
  <c r="G31" i="9"/>
  <c r="F31" i="9"/>
  <c r="E31" i="9"/>
  <c r="D31" i="9"/>
  <c r="C31" i="9"/>
  <c r="F16" i="6"/>
  <c r="C70" i="14" s="1"/>
  <c r="E16" i="6"/>
  <c r="D16" i="6"/>
  <c r="C16" i="6"/>
  <c r="B16" i="6"/>
  <c r="G30" i="9"/>
  <c r="F30" i="9"/>
  <c r="E30" i="9"/>
  <c r="D30" i="9"/>
  <c r="C30" i="9"/>
  <c r="F15" i="6"/>
  <c r="C68" i="14" s="1"/>
  <c r="E15" i="6"/>
  <c r="D15" i="6"/>
  <c r="C15" i="6"/>
  <c r="B15" i="6"/>
  <c r="G29" i="9"/>
  <c r="F29" i="9"/>
  <c r="E29" i="9"/>
  <c r="D29" i="9"/>
  <c r="C29" i="9"/>
  <c r="F14" i="6"/>
  <c r="C67" i="14" s="1"/>
  <c r="E14" i="6"/>
  <c r="D14" i="6"/>
  <c r="C14" i="6"/>
  <c r="B14" i="6"/>
  <c r="G28" i="9"/>
  <c r="F28" i="9"/>
  <c r="E28" i="9"/>
  <c r="D28" i="9"/>
  <c r="C28" i="9"/>
  <c r="F13" i="6"/>
  <c r="C64" i="14" s="1"/>
  <c r="E13" i="6"/>
  <c r="D13" i="6"/>
  <c r="C13" i="6"/>
  <c r="B13" i="6"/>
  <c r="F26" i="6"/>
  <c r="C61" i="14" s="1"/>
  <c r="E26" i="6"/>
  <c r="D26" i="6"/>
  <c r="G27" i="9"/>
  <c r="F27" i="9"/>
  <c r="E27" i="9"/>
  <c r="D27" i="9"/>
  <c r="C27" i="9"/>
  <c r="F12" i="6"/>
  <c r="C58" i="14" s="1"/>
  <c r="E12" i="6"/>
  <c r="D12" i="6"/>
  <c r="C12" i="6"/>
  <c r="B12" i="6"/>
  <c r="G26" i="9"/>
  <c r="F26" i="9"/>
  <c r="E26" i="9"/>
  <c r="D26" i="9"/>
  <c r="C26" i="9"/>
  <c r="F11" i="6"/>
  <c r="C57" i="14" s="1"/>
  <c r="E11" i="6"/>
  <c r="D11" i="6"/>
  <c r="C11" i="6"/>
  <c r="B11" i="6"/>
  <c r="G25" i="9"/>
  <c r="F25" i="9"/>
  <c r="E25" i="9"/>
  <c r="D25" i="9"/>
  <c r="C25" i="9"/>
  <c r="F10" i="6"/>
  <c r="C49" i="14" s="1"/>
  <c r="E10" i="6"/>
  <c r="D10" i="6"/>
  <c r="C10" i="6"/>
  <c r="B10" i="6"/>
  <c r="F25" i="6"/>
  <c r="C42" i="14" s="1"/>
  <c r="E25" i="6"/>
  <c r="D25" i="6"/>
  <c r="G24" i="9"/>
  <c r="F24" i="9"/>
  <c r="E24" i="9"/>
  <c r="D24" i="9"/>
  <c r="C24" i="9"/>
  <c r="F9" i="6"/>
  <c r="C39" i="14" s="1"/>
  <c r="E9" i="6"/>
  <c r="D9" i="6"/>
  <c r="C9" i="6"/>
  <c r="B9" i="6"/>
  <c r="G23" i="9"/>
  <c r="E23" i="9"/>
  <c r="D23" i="9"/>
  <c r="C23" i="9"/>
  <c r="E8" i="6"/>
  <c r="D8" i="6"/>
  <c r="C8" i="6"/>
  <c r="B8" i="6"/>
  <c r="C32" i="14"/>
  <c r="F21" i="5"/>
  <c r="E21" i="5"/>
  <c r="D21" i="5"/>
  <c r="F20" i="5"/>
  <c r="C30" i="14" s="1"/>
  <c r="E20" i="5"/>
  <c r="D20" i="5"/>
  <c r="G22" i="9"/>
  <c r="F22" i="9"/>
  <c r="E22" i="9"/>
  <c r="D22" i="9"/>
  <c r="C22" i="9"/>
  <c r="F13" i="5"/>
  <c r="C29" i="14" s="1"/>
  <c r="E13" i="5"/>
  <c r="D13" i="5"/>
  <c r="C13" i="5"/>
  <c r="B13" i="5"/>
  <c r="G21" i="9"/>
  <c r="E21" i="9"/>
  <c r="D21" i="9"/>
  <c r="C21" i="9"/>
  <c r="E12" i="5"/>
  <c r="D12" i="5"/>
  <c r="C12" i="5"/>
  <c r="B12" i="5"/>
  <c r="G20" i="9"/>
  <c r="E20" i="9"/>
  <c r="D20" i="9"/>
  <c r="C20" i="9"/>
  <c r="E11" i="5"/>
  <c r="D11" i="5"/>
  <c r="C11" i="5"/>
  <c r="B11" i="5"/>
  <c r="E19" i="5"/>
  <c r="D19" i="5"/>
  <c r="G19" i="9"/>
  <c r="E19" i="9"/>
  <c r="D19" i="9"/>
  <c r="C19" i="9"/>
  <c r="E10" i="5"/>
  <c r="D10" i="5"/>
  <c r="C10" i="5"/>
  <c r="B10" i="5"/>
  <c r="F18" i="5"/>
  <c r="C10" i="14" s="1"/>
  <c r="E18" i="5"/>
  <c r="D18" i="5"/>
  <c r="G18" i="9"/>
  <c r="E18" i="9"/>
  <c r="D18" i="9"/>
  <c r="C18" i="9"/>
  <c r="E9" i="5"/>
  <c r="D9" i="5"/>
  <c r="C9" i="5"/>
  <c r="B9" i="5"/>
  <c r="G17" i="9"/>
  <c r="E17" i="9"/>
  <c r="D17" i="9"/>
  <c r="C17" i="9"/>
  <c r="E8" i="5"/>
  <c r="D8" i="5"/>
  <c r="C8" i="5"/>
  <c r="B8" i="5"/>
  <c r="U48" i="109" l="1"/>
  <c r="BE44" i="109"/>
  <c r="AT44" i="109"/>
  <c r="AT45" i="109" s="1"/>
  <c r="AR45" i="109" s="1"/>
  <c r="H42" i="109"/>
  <c r="BN40" i="109"/>
  <c r="BK40" i="109"/>
  <c r="I40" i="109" s="1"/>
  <c r="BJ40" i="109"/>
  <c r="H40" i="109" s="1"/>
  <c r="BF40" i="109" s="1"/>
  <c r="BI40" i="109"/>
  <c r="AK40" i="109" s="1"/>
  <c r="AM40" i="109" s="1"/>
  <c r="BH40" i="109"/>
  <c r="G40" i="109" s="1"/>
  <c r="BG40" i="109"/>
  <c r="BE40" i="109"/>
  <c r="BD40" i="109"/>
  <c r="BC40" i="109"/>
  <c r="BB40" i="109"/>
  <c r="BA40" i="109"/>
  <c r="AZ40" i="109"/>
  <c r="AY40" i="109"/>
  <c r="AX40" i="109"/>
  <c r="AW40" i="109"/>
  <c r="AU40" i="109"/>
  <c r="AT40" i="109"/>
  <c r="AS40" i="109"/>
  <c r="AR40" i="109"/>
  <c r="AV40" i="109" s="1"/>
  <c r="AQ40" i="109"/>
  <c r="AP40" i="109"/>
  <c r="AO40" i="109"/>
  <c r="AN40" i="109"/>
  <c r="AL40" i="109"/>
  <c r="AJ40" i="109"/>
  <c r="AI40" i="109"/>
  <c r="AH40" i="109"/>
  <c r="AG40" i="109"/>
  <c r="C40" i="109"/>
  <c r="B40" i="109"/>
  <c r="BN39" i="109"/>
  <c r="BM39" i="109"/>
  <c r="BL39" i="109"/>
  <c r="BK39" i="109"/>
  <c r="I39" i="109" s="1"/>
  <c r="BJ39" i="109"/>
  <c r="H39" i="109" s="1"/>
  <c r="BF39" i="109" s="1"/>
  <c r="BI39" i="109"/>
  <c r="AK39" i="109" s="1"/>
  <c r="AM39" i="109" s="1"/>
  <c r="BH39" i="109"/>
  <c r="G39" i="109" s="1"/>
  <c r="BG39" i="109"/>
  <c r="BE39" i="109"/>
  <c r="BD39" i="109"/>
  <c r="BC39" i="109"/>
  <c r="BB39" i="109"/>
  <c r="BA39" i="109"/>
  <c r="AZ39" i="109"/>
  <c r="AY39" i="109"/>
  <c r="AX39" i="109"/>
  <c r="AW39" i="109"/>
  <c r="AU39" i="109"/>
  <c r="AT39" i="109"/>
  <c r="AS39" i="109"/>
  <c r="AR39" i="109"/>
  <c r="AV39" i="109" s="1"/>
  <c r="AQ39" i="109"/>
  <c r="AP39" i="109"/>
  <c r="AO39" i="109"/>
  <c r="AN39" i="109"/>
  <c r="AL39" i="109"/>
  <c r="AJ39" i="109"/>
  <c r="AI39" i="109"/>
  <c r="AH39" i="109"/>
  <c r="AG39" i="109"/>
  <c r="C39" i="109"/>
  <c r="B39" i="109"/>
  <c r="BN38" i="109"/>
  <c r="BM38" i="109"/>
  <c r="BL38" i="109"/>
  <c r="BK38" i="109"/>
  <c r="BJ38" i="109"/>
  <c r="BI38" i="109"/>
  <c r="BH38" i="109"/>
  <c r="BG38" i="109"/>
  <c r="BE38" i="109"/>
  <c r="BD38" i="109"/>
  <c r="BC38" i="109"/>
  <c r="BB38" i="109"/>
  <c r="BA38" i="109"/>
  <c r="AZ38" i="109"/>
  <c r="AY38" i="109"/>
  <c r="AX38" i="109"/>
  <c r="AW38" i="109"/>
  <c r="AU38" i="109"/>
  <c r="AT38" i="109"/>
  <c r="AS38" i="109"/>
  <c r="AR38" i="109"/>
  <c r="AV38" i="109" s="1"/>
  <c r="AQ38" i="109"/>
  <c r="AP38" i="109"/>
  <c r="AO38" i="109"/>
  <c r="AL38" i="109"/>
  <c r="AK38" i="109"/>
  <c r="AM38" i="109" s="1"/>
  <c r="AJ38" i="109"/>
  <c r="AI38" i="109"/>
  <c r="AH38" i="109"/>
  <c r="AN38" i="109" s="1"/>
  <c r="AG38" i="109"/>
  <c r="I38" i="109"/>
  <c r="H38" i="109"/>
  <c r="BF38" i="109" s="1"/>
  <c r="G38" i="109"/>
  <c r="C38" i="109"/>
  <c r="B38" i="109"/>
  <c r="BN37" i="109"/>
  <c r="BK37" i="109"/>
  <c r="I37" i="109" s="1"/>
  <c r="BJ37" i="109"/>
  <c r="H37" i="109" s="1"/>
  <c r="BF37" i="109" s="1"/>
  <c r="BI37" i="109"/>
  <c r="BH37" i="109"/>
  <c r="BG37" i="109"/>
  <c r="BE37" i="109"/>
  <c r="BD37" i="109"/>
  <c r="BC37" i="109"/>
  <c r="BB37" i="109"/>
  <c r="BA37" i="109"/>
  <c r="AZ37" i="109"/>
  <c r="AY37" i="109"/>
  <c r="AX37" i="109"/>
  <c r="AW37" i="109"/>
  <c r="AU37" i="109"/>
  <c r="AT37" i="109"/>
  <c r="AS37" i="109"/>
  <c r="AR37" i="109"/>
  <c r="AV37" i="109" s="1"/>
  <c r="AQ37" i="109"/>
  <c r="AP37" i="109"/>
  <c r="AO37" i="109"/>
  <c r="AL37" i="109"/>
  <c r="AK37" i="109"/>
  <c r="AM37" i="109" s="1"/>
  <c r="AJ37" i="109"/>
  <c r="AI37" i="109"/>
  <c r="AH37" i="109"/>
  <c r="AN37" i="109" s="1"/>
  <c r="AG37" i="109"/>
  <c r="G37" i="109"/>
  <c r="C37" i="109"/>
  <c r="B37" i="109"/>
  <c r="BN36" i="109"/>
  <c r="BK36" i="109"/>
  <c r="I36" i="109" s="1"/>
  <c r="BJ36" i="109"/>
  <c r="H36" i="109" s="1"/>
  <c r="BF36" i="109" s="1"/>
  <c r="BI36" i="109"/>
  <c r="AK36" i="109" s="1"/>
  <c r="AM36" i="109" s="1"/>
  <c r="BH36" i="109"/>
  <c r="G36" i="109" s="1"/>
  <c r="BG36" i="109"/>
  <c r="BE36" i="109"/>
  <c r="BD36" i="109"/>
  <c r="BC36" i="109"/>
  <c r="BB36" i="109"/>
  <c r="BA36" i="109"/>
  <c r="AZ36" i="109"/>
  <c r="AY36" i="109"/>
  <c r="AX36" i="109"/>
  <c r="AW36" i="109"/>
  <c r="AV36" i="109"/>
  <c r="AU36" i="109"/>
  <c r="AT36" i="109"/>
  <c r="AS36" i="109"/>
  <c r="AR36" i="109"/>
  <c r="AQ36" i="109"/>
  <c r="AP36" i="109"/>
  <c r="AO36" i="109"/>
  <c r="AL36" i="109"/>
  <c r="AJ36" i="109"/>
  <c r="AI36" i="109"/>
  <c r="AH36" i="109"/>
  <c r="AN36" i="109" s="1"/>
  <c r="AG36" i="109"/>
  <c r="C36" i="109"/>
  <c r="B36" i="109"/>
  <c r="BN35" i="109"/>
  <c r="BL35" i="109"/>
  <c r="BK35" i="109"/>
  <c r="I35" i="109" s="1"/>
  <c r="BJ35" i="109"/>
  <c r="H35" i="109" s="1"/>
  <c r="BF35" i="109" s="1"/>
  <c r="BI35" i="109"/>
  <c r="BM35" i="109" s="1"/>
  <c r="BH35" i="109"/>
  <c r="G35" i="109" s="1"/>
  <c r="BG35" i="109"/>
  <c r="BE35" i="109"/>
  <c r="BD35" i="109"/>
  <c r="BC35" i="109"/>
  <c r="BB35" i="109"/>
  <c r="BA35" i="109"/>
  <c r="AZ35" i="109"/>
  <c r="AY35" i="109"/>
  <c r="AX35" i="109"/>
  <c r="AW35" i="109"/>
  <c r="AU35" i="109"/>
  <c r="AT35" i="109"/>
  <c r="AS35" i="109"/>
  <c r="AR35" i="109"/>
  <c r="AV35" i="109" s="1"/>
  <c r="AQ35" i="109"/>
  <c r="AP35" i="109"/>
  <c r="AO35" i="109"/>
  <c r="AL35" i="109"/>
  <c r="AJ35" i="109"/>
  <c r="AI35" i="109"/>
  <c r="AH35" i="109"/>
  <c r="AN35" i="109" s="1"/>
  <c r="AG35" i="109"/>
  <c r="C35" i="109"/>
  <c r="B35" i="109"/>
  <c r="BN34" i="109"/>
  <c r="BM34" i="109"/>
  <c r="BL34" i="109"/>
  <c r="BK34" i="109"/>
  <c r="I34" i="109" s="1"/>
  <c r="BJ34" i="109"/>
  <c r="BI34" i="109"/>
  <c r="BH34" i="109"/>
  <c r="BG34" i="109"/>
  <c r="BE34" i="109"/>
  <c r="BD34" i="109"/>
  <c r="BC34" i="109"/>
  <c r="BB34" i="109"/>
  <c r="BA34" i="109"/>
  <c r="AZ34" i="109"/>
  <c r="AY34" i="109"/>
  <c r="AX34" i="109"/>
  <c r="AW34" i="109"/>
  <c r="AU34" i="109"/>
  <c r="AT34" i="109"/>
  <c r="AS34" i="109"/>
  <c r="AR34" i="109"/>
  <c r="AV34" i="109" s="1"/>
  <c r="AQ34" i="109"/>
  <c r="AP34" i="109"/>
  <c r="AO34" i="109"/>
  <c r="AL34" i="109"/>
  <c r="AK34" i="109"/>
  <c r="AM34" i="109" s="1"/>
  <c r="AJ34" i="109"/>
  <c r="AI34" i="109"/>
  <c r="AH34" i="109"/>
  <c r="AN34" i="109" s="1"/>
  <c r="AG34" i="109"/>
  <c r="H34" i="109"/>
  <c r="BF34" i="109" s="1"/>
  <c r="G34" i="109"/>
  <c r="C34" i="109"/>
  <c r="B34" i="109"/>
  <c r="BN33" i="109"/>
  <c r="BK33" i="109"/>
  <c r="I33" i="109" s="1"/>
  <c r="BJ33" i="109"/>
  <c r="H33" i="109" s="1"/>
  <c r="BI33" i="109"/>
  <c r="AK33" i="109" s="1"/>
  <c r="AM33" i="109" s="1"/>
  <c r="BH33" i="109"/>
  <c r="BG33" i="109"/>
  <c r="BF33" i="109"/>
  <c r="BE33" i="109"/>
  <c r="BD33" i="109"/>
  <c r="BC33" i="109"/>
  <c r="BB33" i="109"/>
  <c r="BA33" i="109"/>
  <c r="AZ33" i="109"/>
  <c r="AY33" i="109"/>
  <c r="AX33" i="109"/>
  <c r="AW33" i="109"/>
  <c r="AU33" i="109"/>
  <c r="AT33" i="109"/>
  <c r="AS33" i="109"/>
  <c r="AR33" i="109"/>
  <c r="AV33" i="109" s="1"/>
  <c r="AQ33" i="109"/>
  <c r="AP33" i="109"/>
  <c r="AO33" i="109"/>
  <c r="AL33" i="109"/>
  <c r="AJ33" i="109"/>
  <c r="AI33" i="109"/>
  <c r="AH33" i="109"/>
  <c r="AN33" i="109" s="1"/>
  <c r="AG33" i="109"/>
  <c r="G33" i="109"/>
  <c r="C33" i="109"/>
  <c r="B33" i="109"/>
  <c r="BN32" i="109"/>
  <c r="BK32" i="109"/>
  <c r="I32" i="109" s="1"/>
  <c r="BJ32" i="109"/>
  <c r="H32" i="109" s="1"/>
  <c r="BF32" i="109" s="1"/>
  <c r="BI32" i="109"/>
  <c r="BH32" i="109"/>
  <c r="G32" i="109" s="1"/>
  <c r="BG32" i="109"/>
  <c r="BE32" i="109"/>
  <c r="BD32" i="109"/>
  <c r="BC32" i="109"/>
  <c r="BB32" i="109"/>
  <c r="BA32" i="109"/>
  <c r="AZ32" i="109"/>
  <c r="AY32" i="109"/>
  <c r="AX32" i="109"/>
  <c r="AW32" i="109"/>
  <c r="AU32" i="109"/>
  <c r="AT32" i="109"/>
  <c r="AS32" i="109"/>
  <c r="AR32" i="109"/>
  <c r="AV32" i="109" s="1"/>
  <c r="AQ32" i="109"/>
  <c r="AP32" i="109"/>
  <c r="AO32" i="109"/>
  <c r="AN32" i="109"/>
  <c r="AL32" i="109"/>
  <c r="AK32" i="109"/>
  <c r="AM32" i="109" s="1"/>
  <c r="AJ32" i="109"/>
  <c r="AI32" i="109"/>
  <c r="AH32" i="109"/>
  <c r="AG32" i="109"/>
  <c r="C32" i="109"/>
  <c r="B32" i="109"/>
  <c r="BN31" i="109"/>
  <c r="BL31" i="109"/>
  <c r="BK31" i="109"/>
  <c r="I31" i="109" s="1"/>
  <c r="BJ31" i="109"/>
  <c r="H31" i="109" s="1"/>
  <c r="BF31" i="109" s="1"/>
  <c r="BI31" i="109"/>
  <c r="AK31" i="109" s="1"/>
  <c r="AM31" i="109" s="1"/>
  <c r="BH31" i="109"/>
  <c r="G31" i="109" s="1"/>
  <c r="BG31" i="109"/>
  <c r="BE31" i="109"/>
  <c r="BD31" i="109"/>
  <c r="BC31" i="109"/>
  <c r="BB31" i="109"/>
  <c r="BA31" i="109"/>
  <c r="AZ31" i="109"/>
  <c r="AY31" i="109"/>
  <c r="AX31" i="109"/>
  <c r="AW31" i="109"/>
  <c r="AV31" i="109"/>
  <c r="AU31" i="109"/>
  <c r="AT31" i="109"/>
  <c r="AS31" i="109"/>
  <c r="AR31" i="109"/>
  <c r="AQ31" i="109"/>
  <c r="AP31" i="109"/>
  <c r="AO31" i="109"/>
  <c r="AN31" i="109"/>
  <c r="AL31" i="109"/>
  <c r="AJ31" i="109"/>
  <c r="AI31" i="109"/>
  <c r="AH31" i="109"/>
  <c r="AG31" i="109"/>
  <c r="C31" i="109"/>
  <c r="B31" i="109"/>
  <c r="BU30" i="109"/>
  <c r="BT30" i="109"/>
  <c r="BS30" i="109"/>
  <c r="BR30" i="109"/>
  <c r="BQ30" i="109"/>
  <c r="BN30" i="109"/>
  <c r="BK30" i="109"/>
  <c r="I30" i="109" s="1"/>
  <c r="BJ30" i="109"/>
  <c r="H30" i="109" s="1"/>
  <c r="BF30" i="109" s="1"/>
  <c r="BI30" i="109"/>
  <c r="BH30" i="109"/>
  <c r="BG30" i="109"/>
  <c r="BE30" i="109"/>
  <c r="BD30" i="109"/>
  <c r="BC30" i="109"/>
  <c r="BB30" i="109"/>
  <c r="BA30" i="109"/>
  <c r="AZ30" i="109"/>
  <c r="AY30" i="109"/>
  <c r="AX30" i="109"/>
  <c r="AW30" i="109"/>
  <c r="AU30" i="109"/>
  <c r="AT30" i="109"/>
  <c r="AS30" i="109"/>
  <c r="AR30" i="109"/>
  <c r="AV30" i="109" s="1"/>
  <c r="AQ30" i="109"/>
  <c r="AP30" i="109"/>
  <c r="AO30" i="109"/>
  <c r="AL30" i="109"/>
  <c r="AK30" i="109"/>
  <c r="AM30" i="109" s="1"/>
  <c r="AJ30" i="109"/>
  <c r="AI30" i="109"/>
  <c r="AH30" i="109"/>
  <c r="AN30" i="109" s="1"/>
  <c r="AG30" i="109"/>
  <c r="C30" i="109"/>
  <c r="B30" i="109"/>
  <c r="BU29" i="109"/>
  <c r="BT29" i="109"/>
  <c r="BS29" i="109"/>
  <c r="BR29" i="109"/>
  <c r="BQ29" i="109"/>
  <c r="BN29" i="109"/>
  <c r="BL29" i="109"/>
  <c r="BK29" i="109"/>
  <c r="BJ29" i="109"/>
  <c r="BI29" i="109"/>
  <c r="BH29" i="109"/>
  <c r="BM29" i="109" s="1"/>
  <c r="BG29" i="109"/>
  <c r="BE29" i="109"/>
  <c r="BD29" i="109"/>
  <c r="BC29" i="109"/>
  <c r="BB29" i="109"/>
  <c r="BA29" i="109"/>
  <c r="AZ29" i="109"/>
  <c r="AY29" i="109"/>
  <c r="AX29" i="109"/>
  <c r="AW29" i="109"/>
  <c r="AU29" i="109"/>
  <c r="AT29" i="109"/>
  <c r="AS29" i="109"/>
  <c r="AR29" i="109"/>
  <c r="AV29" i="109" s="1"/>
  <c r="AQ29" i="109"/>
  <c r="AP29" i="109"/>
  <c r="AO29" i="109"/>
  <c r="AN29" i="109"/>
  <c r="AL29" i="109"/>
  <c r="AK29" i="109"/>
  <c r="AM29" i="109" s="1"/>
  <c r="AJ29" i="109"/>
  <c r="AI29" i="109"/>
  <c r="AH29" i="109"/>
  <c r="AG29" i="109"/>
  <c r="I29" i="109"/>
  <c r="H29" i="109"/>
  <c r="BF29" i="109" s="1"/>
  <c r="G29" i="109"/>
  <c r="C29" i="109"/>
  <c r="B29" i="109"/>
  <c r="BU28" i="109"/>
  <c r="BT28" i="109"/>
  <c r="BS28" i="109"/>
  <c r="BR28" i="109"/>
  <c r="BQ28" i="109"/>
  <c r="BN28" i="109"/>
  <c r="BL28" i="109"/>
  <c r="BK28" i="109"/>
  <c r="I28" i="109" s="1"/>
  <c r="BJ28" i="109"/>
  <c r="H28" i="109" s="1"/>
  <c r="BF28" i="109" s="1"/>
  <c r="BI28" i="109"/>
  <c r="BM28" i="109" s="1"/>
  <c r="BH28" i="109"/>
  <c r="G28" i="109" s="1"/>
  <c r="BG28" i="109"/>
  <c r="BE28" i="109"/>
  <c r="BD28" i="109"/>
  <c r="BC28" i="109"/>
  <c r="BB28" i="109"/>
  <c r="BA28" i="109"/>
  <c r="AZ28" i="109"/>
  <c r="AY28" i="109"/>
  <c r="AX28" i="109"/>
  <c r="AW28" i="109"/>
  <c r="AU28" i="109"/>
  <c r="AT28" i="109"/>
  <c r="AS28" i="109"/>
  <c r="AR28" i="109"/>
  <c r="AV28" i="109" s="1"/>
  <c r="AQ28" i="109"/>
  <c r="AP28" i="109"/>
  <c r="AO28" i="109"/>
  <c r="AL28" i="109"/>
  <c r="AJ28" i="109"/>
  <c r="AI28" i="109"/>
  <c r="AH28" i="109"/>
  <c r="AN28" i="109" s="1"/>
  <c r="AG28" i="109"/>
  <c r="C28" i="109"/>
  <c r="B28" i="109"/>
  <c r="BU27" i="109"/>
  <c r="BT27" i="109"/>
  <c r="BS27" i="109"/>
  <c r="BR27" i="109"/>
  <c r="BQ27" i="109"/>
  <c r="BN27" i="109"/>
  <c r="BK27" i="109"/>
  <c r="I27" i="109" s="1"/>
  <c r="BJ27" i="109"/>
  <c r="H27" i="109" s="1"/>
  <c r="BF27" i="109" s="1"/>
  <c r="BI27" i="109"/>
  <c r="AK27" i="109" s="1"/>
  <c r="AM27" i="109" s="1"/>
  <c r="BH27" i="109"/>
  <c r="BG27" i="109"/>
  <c r="BE27" i="109"/>
  <c r="BD27" i="109"/>
  <c r="BC27" i="109"/>
  <c r="BB27" i="109"/>
  <c r="BA27" i="109"/>
  <c r="AZ27" i="109"/>
  <c r="AY27" i="109"/>
  <c r="AX27" i="109"/>
  <c r="AW27" i="109"/>
  <c r="AV27" i="109"/>
  <c r="AU27" i="109"/>
  <c r="AT27" i="109"/>
  <c r="AS27" i="109"/>
  <c r="AR27" i="109"/>
  <c r="AQ27" i="109"/>
  <c r="AP27" i="109"/>
  <c r="AO27" i="109"/>
  <c r="AL27" i="109"/>
  <c r="AJ27" i="109"/>
  <c r="AI27" i="109"/>
  <c r="AH27" i="109"/>
  <c r="AN27" i="109" s="1"/>
  <c r="AG27" i="109"/>
  <c r="C27" i="109"/>
  <c r="B27" i="109"/>
  <c r="BU26" i="109"/>
  <c r="BT26" i="109"/>
  <c r="BS26" i="109"/>
  <c r="BR26" i="109"/>
  <c r="BQ26" i="109"/>
  <c r="BN26" i="109"/>
  <c r="BL26" i="109"/>
  <c r="BK26" i="109"/>
  <c r="BJ26" i="109"/>
  <c r="H26" i="109" s="1"/>
  <c r="BF26" i="109" s="1"/>
  <c r="BI26" i="109"/>
  <c r="AK26" i="109" s="1"/>
  <c r="AM26" i="109" s="1"/>
  <c r="BH26" i="109"/>
  <c r="BM26" i="109" s="1"/>
  <c r="BG26" i="109"/>
  <c r="BE26" i="109"/>
  <c r="BD26" i="109"/>
  <c r="BC26" i="109"/>
  <c r="BB26" i="109"/>
  <c r="BA26" i="109"/>
  <c r="AZ26" i="109"/>
  <c r="AY26" i="109"/>
  <c r="AX26" i="109"/>
  <c r="AW26" i="109"/>
  <c r="AU26" i="109"/>
  <c r="AT26" i="109"/>
  <c r="AS26" i="109"/>
  <c r="AR26" i="109"/>
  <c r="AV26" i="109" s="1"/>
  <c r="AQ26" i="109"/>
  <c r="AP26" i="109"/>
  <c r="AO26" i="109"/>
  <c r="AL26" i="109"/>
  <c r="AJ26" i="109"/>
  <c r="AI26" i="109"/>
  <c r="AH26" i="109"/>
  <c r="AN26" i="109" s="1"/>
  <c r="AG26" i="109"/>
  <c r="I26" i="109"/>
  <c r="G26" i="109"/>
  <c r="C26" i="109"/>
  <c r="B26" i="109"/>
  <c r="BU25" i="109"/>
  <c r="BT25" i="109"/>
  <c r="BS25" i="109"/>
  <c r="BR25" i="109"/>
  <c r="BQ25" i="109"/>
  <c r="BL25" i="109"/>
  <c r="BH25" i="109"/>
  <c r="BE25" i="109"/>
  <c r="BD25" i="109"/>
  <c r="BC25" i="109"/>
  <c r="AU25" i="109"/>
  <c r="AS25" i="109"/>
  <c r="AQ25" i="109"/>
  <c r="AO25" i="109"/>
  <c r="AL25" i="109"/>
  <c r="AH25" i="109"/>
  <c r="AN25" i="109" s="1"/>
  <c r="AG25" i="109"/>
  <c r="BU24" i="109"/>
  <c r="BT24" i="109"/>
  <c r="BS24" i="109"/>
  <c r="BR24" i="109"/>
  <c r="BQ24" i="109"/>
  <c r="BH24" i="109"/>
  <c r="BE24" i="109"/>
  <c r="BD24" i="109"/>
  <c r="BC24" i="109"/>
  <c r="AU24" i="109"/>
  <c r="AS24" i="109"/>
  <c r="AQ24" i="109"/>
  <c r="AO24" i="109"/>
  <c r="AL24" i="109"/>
  <c r="AH24" i="109"/>
  <c r="AN24" i="109" s="1"/>
  <c r="AG24" i="109"/>
  <c r="BU23" i="109"/>
  <c r="BT23" i="109"/>
  <c r="BS23" i="109"/>
  <c r="BR23" i="109"/>
  <c r="BQ23" i="109"/>
  <c r="BL23" i="109"/>
  <c r="BH23" i="109"/>
  <c r="BE23" i="109"/>
  <c r="BD23" i="109"/>
  <c r="BC23" i="109"/>
  <c r="AU23" i="109"/>
  <c r="AS23" i="109"/>
  <c r="AQ23" i="109"/>
  <c r="AI23" i="109" s="1"/>
  <c r="C23" i="109" s="1"/>
  <c r="AO23" i="109"/>
  <c r="AL23" i="109"/>
  <c r="AH23" i="109"/>
  <c r="AN23" i="109" s="1"/>
  <c r="AG23" i="109"/>
  <c r="G23" i="109"/>
  <c r="BB23" i="109" s="1"/>
  <c r="BU22" i="109"/>
  <c r="BT22" i="109"/>
  <c r="BS22" i="109"/>
  <c r="BR22" i="109"/>
  <c r="BQ22" i="109"/>
  <c r="BL22" i="109"/>
  <c r="BJ22" i="109"/>
  <c r="H22" i="109" s="1"/>
  <c r="BF22" i="109" s="1"/>
  <c r="BH22" i="109"/>
  <c r="BE22" i="109"/>
  <c r="BD22" i="109"/>
  <c r="BC22" i="109"/>
  <c r="AU22" i="109"/>
  <c r="AS22" i="109"/>
  <c r="AQ22" i="109"/>
  <c r="AO22" i="109"/>
  <c r="AL22" i="109"/>
  <c r="AH22" i="109"/>
  <c r="AN22" i="109" s="1"/>
  <c r="AG22" i="109"/>
  <c r="B22" i="109"/>
  <c r="BL21" i="109"/>
  <c r="BH21" i="109"/>
  <c r="BE21" i="109"/>
  <c r="BD21" i="109"/>
  <c r="BC21" i="109"/>
  <c r="AU21" i="109"/>
  <c r="AS21" i="109"/>
  <c r="AQ21" i="109"/>
  <c r="AI21" i="109" s="1"/>
  <c r="C21" i="109" s="1"/>
  <c r="AO21" i="109"/>
  <c r="AL21" i="109"/>
  <c r="AH21" i="109"/>
  <c r="AN21" i="109" s="1"/>
  <c r="AG21" i="109"/>
  <c r="G21" i="109"/>
  <c r="BB21" i="109" s="1"/>
  <c r="BH20" i="109"/>
  <c r="BL20" i="109" s="1"/>
  <c r="BE20" i="109"/>
  <c r="BD20" i="109"/>
  <c r="BC20" i="109"/>
  <c r="AW20" i="109"/>
  <c r="AU20" i="109"/>
  <c r="AS20" i="109"/>
  <c r="AQ20" i="109"/>
  <c r="AO20" i="109"/>
  <c r="AL20" i="109"/>
  <c r="AH20" i="109"/>
  <c r="AN20" i="109" s="1"/>
  <c r="AG20" i="109"/>
  <c r="G20" i="109"/>
  <c r="BB20" i="109" s="1"/>
  <c r="BH19" i="109"/>
  <c r="BE19" i="109"/>
  <c r="BD19" i="109"/>
  <c r="BC19" i="109"/>
  <c r="AU19" i="109"/>
  <c r="AS19" i="109"/>
  <c r="AQ19" i="109"/>
  <c r="AO19" i="109"/>
  <c r="AL19" i="109"/>
  <c r="AN19" i="109" s="1"/>
  <c r="AH19" i="109"/>
  <c r="AG19" i="109"/>
  <c r="BL18" i="109"/>
  <c r="BJ18" i="109"/>
  <c r="H18" i="109" s="1"/>
  <c r="BF18" i="109" s="1"/>
  <c r="BH18" i="109"/>
  <c r="BE18" i="109"/>
  <c r="BD18" i="109"/>
  <c r="BC18" i="109"/>
  <c r="AU18" i="109"/>
  <c r="AS18" i="109"/>
  <c r="AQ18" i="109"/>
  <c r="AO18" i="109"/>
  <c r="AL18" i="109"/>
  <c r="AH18" i="109"/>
  <c r="AN18" i="109" s="1"/>
  <c r="AG18" i="109"/>
  <c r="B18" i="109"/>
  <c r="BL17" i="109"/>
  <c r="BH17" i="109"/>
  <c r="BE17" i="109"/>
  <c r="BD17" i="109"/>
  <c r="BC17" i="109"/>
  <c r="AU17" i="109"/>
  <c r="AS17" i="109"/>
  <c r="AQ17" i="109"/>
  <c r="AO17" i="109"/>
  <c r="AL17" i="109"/>
  <c r="AH17" i="109"/>
  <c r="AN17" i="109" s="1"/>
  <c r="AG17" i="109"/>
  <c r="G17" i="109"/>
  <c r="BB17" i="109" s="1"/>
  <c r="BI16" i="109"/>
  <c r="AK16" i="109" s="1"/>
  <c r="BH16" i="109"/>
  <c r="BL16" i="109" s="1"/>
  <c r="BE16" i="109"/>
  <c r="BD16" i="109"/>
  <c r="BC16" i="109"/>
  <c r="AW16" i="109"/>
  <c r="AU16" i="109"/>
  <c r="AS16" i="109"/>
  <c r="AQ16" i="109"/>
  <c r="AO16" i="109"/>
  <c r="AL16" i="109"/>
  <c r="AH16" i="109"/>
  <c r="AN16" i="109" s="1"/>
  <c r="AG16" i="109"/>
  <c r="G16" i="109"/>
  <c r="BB16" i="109" s="1"/>
  <c r="BH15" i="109"/>
  <c r="BE15" i="109"/>
  <c r="BD15" i="109"/>
  <c r="BC15" i="109"/>
  <c r="AU15" i="109"/>
  <c r="AS15" i="109"/>
  <c r="AQ15" i="109"/>
  <c r="AO15" i="109"/>
  <c r="AL15" i="109"/>
  <c r="AH15" i="109"/>
  <c r="AG15" i="109"/>
  <c r="BL14" i="109"/>
  <c r="BH14" i="109"/>
  <c r="BE14" i="109"/>
  <c r="BD14" i="109"/>
  <c r="BC14" i="109"/>
  <c r="AU14" i="109"/>
  <c r="AS14" i="109"/>
  <c r="AQ14" i="109"/>
  <c r="AO14" i="109"/>
  <c r="AN14" i="109"/>
  <c r="AL14" i="109"/>
  <c r="AH14" i="109"/>
  <c r="AG14" i="109"/>
  <c r="BL13" i="109"/>
  <c r="BJ13" i="109"/>
  <c r="BH13" i="109"/>
  <c r="BE13" i="109"/>
  <c r="BD13" i="109"/>
  <c r="BC13" i="109"/>
  <c r="AU13" i="109"/>
  <c r="AS13" i="109"/>
  <c r="AQ13" i="109"/>
  <c r="AI12" i="109" s="1"/>
  <c r="C12" i="109" s="1"/>
  <c r="AO13" i="109"/>
  <c r="AL13" i="109"/>
  <c r="AH13" i="109"/>
  <c r="AN13" i="109" s="1"/>
  <c r="AG13" i="109"/>
  <c r="H13" i="109"/>
  <c r="BF13" i="109" s="1"/>
  <c r="G13" i="109"/>
  <c r="BB13" i="109" s="1"/>
  <c r="B13" i="109"/>
  <c r="BI12" i="109"/>
  <c r="BH12" i="109"/>
  <c r="BL12" i="109" s="1"/>
  <c r="BE12" i="109"/>
  <c r="BD12" i="109"/>
  <c r="BC12" i="109"/>
  <c r="AW12" i="109"/>
  <c r="AU12" i="109"/>
  <c r="AS12" i="109"/>
  <c r="AQ12" i="109"/>
  <c r="AO12" i="109"/>
  <c r="AL12" i="109"/>
  <c r="AK12" i="109"/>
  <c r="AM12" i="109" s="1"/>
  <c r="AH12" i="109"/>
  <c r="AN12" i="109" s="1"/>
  <c r="AG12" i="109"/>
  <c r="G12" i="109"/>
  <c r="BB12" i="109" s="1"/>
  <c r="BH11" i="109"/>
  <c r="BE11" i="109"/>
  <c r="BD11" i="109"/>
  <c r="BC11" i="109"/>
  <c r="AU11" i="109"/>
  <c r="AS11" i="109"/>
  <c r="AQ11" i="109"/>
  <c r="AO11" i="109"/>
  <c r="AL11" i="109"/>
  <c r="AJ11" i="109"/>
  <c r="AJ12" i="109" s="1"/>
  <c r="AJ13" i="109" s="1"/>
  <c r="AH11" i="109"/>
  <c r="AG11" i="109"/>
  <c r="BL10" i="109"/>
  <c r="BH10" i="109"/>
  <c r="BE10" i="109"/>
  <c r="BD10" i="109"/>
  <c r="BC10" i="109"/>
  <c r="AU10" i="109"/>
  <c r="AU42" i="109" s="1"/>
  <c r="AS10" i="109"/>
  <c r="AQ10" i="109"/>
  <c r="AO10" i="109"/>
  <c r="AL10" i="109"/>
  <c r="AJ10" i="109"/>
  <c r="AH10" i="109"/>
  <c r="AN10" i="109" s="1"/>
  <c r="AG10" i="109"/>
  <c r="B10" i="109"/>
  <c r="BL9" i="109"/>
  <c r="BJ9" i="109"/>
  <c r="BH9" i="109"/>
  <c r="BE9" i="109"/>
  <c r="BD9" i="109"/>
  <c r="BD5" i="109" s="1"/>
  <c r="BC9" i="109"/>
  <c r="BC5" i="109" s="1"/>
  <c r="BA9" i="109"/>
  <c r="AU9" i="109"/>
  <c r="AS9" i="109"/>
  <c r="AS42" i="109" s="1"/>
  <c r="AT42" i="109" s="1"/>
  <c r="AQ9" i="109"/>
  <c r="AO9" i="109"/>
  <c r="AL9" i="109"/>
  <c r="AJ9" i="109"/>
  <c r="AH9" i="109"/>
  <c r="AN9" i="109" s="1"/>
  <c r="AG9" i="109"/>
  <c r="H9" i="109"/>
  <c r="BF9" i="109" s="1"/>
  <c r="G9" i="109"/>
  <c r="BB9" i="109" s="1"/>
  <c r="B9" i="109"/>
  <c r="AV7" i="109"/>
  <c r="AM16" i="109" l="1"/>
  <c r="AT16" i="109"/>
  <c r="AR16" i="109"/>
  <c r="AV16" i="109" s="1"/>
  <c r="AN11" i="109"/>
  <c r="AN7" i="109" s="1"/>
  <c r="BM31" i="109"/>
  <c r="AK28" i="109"/>
  <c r="AM28" i="109" s="1"/>
  <c r="AK35" i="109"/>
  <c r="AM35" i="109" s="1"/>
  <c r="AR12" i="109"/>
  <c r="AV12" i="109" s="1"/>
  <c r="BM33" i="109"/>
  <c r="AT12" i="109"/>
  <c r="BM37" i="109"/>
  <c r="AN15" i="109"/>
  <c r="BE5" i="109"/>
  <c r="AI17" i="109"/>
  <c r="C17" i="109" s="1"/>
  <c r="AI10" i="109"/>
  <c r="AI14" i="109"/>
  <c r="C14" i="109" s="1"/>
  <c r="G24" i="109"/>
  <c r="BL24" i="109"/>
  <c r="AI25" i="109"/>
  <c r="C25" i="109" s="1"/>
  <c r="AJ14" i="109"/>
  <c r="AJ15" i="109" s="1"/>
  <c r="AJ16" i="109" s="1"/>
  <c r="AJ17" i="109" s="1"/>
  <c r="AJ18" i="109" s="1"/>
  <c r="B11" i="109"/>
  <c r="G30" i="109"/>
  <c r="BM30" i="109"/>
  <c r="BL30" i="109"/>
  <c r="AQ42" i="109"/>
  <c r="E42" i="109"/>
  <c r="AV42" i="109"/>
  <c r="AV46" i="109" s="1"/>
  <c r="Q6" i="109"/>
  <c r="AI24" i="109"/>
  <c r="C24" i="109" s="1"/>
  <c r="AI19" i="109"/>
  <c r="C19" i="109" s="1"/>
  <c r="AI15" i="109"/>
  <c r="C15" i="109" s="1"/>
  <c r="AI11" i="109"/>
  <c r="C11" i="109" s="1"/>
  <c r="AI20" i="109"/>
  <c r="C20" i="109" s="1"/>
  <c r="AI16" i="109"/>
  <c r="C16" i="109" s="1"/>
  <c r="AV44" i="109"/>
  <c r="AV45" i="109" s="1"/>
  <c r="G27" i="109"/>
  <c r="BM27" i="109"/>
  <c r="BL27" i="109"/>
  <c r="G10" i="109"/>
  <c r="G14" i="109"/>
  <c r="G18" i="109"/>
  <c r="G22" i="109"/>
  <c r="G25" i="109"/>
  <c r="BL11" i="109"/>
  <c r="BL15" i="109"/>
  <c r="BL19" i="109"/>
  <c r="BI20" i="109"/>
  <c r="AZ20" i="109" s="1"/>
  <c r="BL32" i="109"/>
  <c r="BL36" i="109"/>
  <c r="BL40" i="109"/>
  <c r="AX12" i="109"/>
  <c r="BJ12" i="109"/>
  <c r="H12" i="109" s="1"/>
  <c r="BF12" i="109" s="1"/>
  <c r="AX16" i="109"/>
  <c r="BJ16" i="109"/>
  <c r="H16" i="109" s="1"/>
  <c r="BF16" i="109" s="1"/>
  <c r="BM32" i="109"/>
  <c r="BM36" i="109"/>
  <c r="BM40" i="109"/>
  <c r="G11" i="109"/>
  <c r="AY12" i="109"/>
  <c r="BK12" i="109"/>
  <c r="I12" i="109" s="1"/>
  <c r="G15" i="109"/>
  <c r="AY16" i="109"/>
  <c r="BK16" i="109"/>
  <c r="I16" i="109" s="1"/>
  <c r="G19" i="109"/>
  <c r="AY20" i="109"/>
  <c r="BK20" i="109"/>
  <c r="I20" i="109" s="1"/>
  <c r="AW23" i="109"/>
  <c r="BI23" i="109"/>
  <c r="BM23" i="109" s="1"/>
  <c r="AW9" i="109"/>
  <c r="BI9" i="109"/>
  <c r="AZ12" i="109"/>
  <c r="AW13" i="109"/>
  <c r="BI13" i="109"/>
  <c r="AZ16" i="109"/>
  <c r="AW17" i="109"/>
  <c r="BI17" i="109"/>
  <c r="AZ17" i="109" s="1"/>
  <c r="AW21" i="109"/>
  <c r="BI21" i="109"/>
  <c r="AZ21" i="109" s="1"/>
  <c r="BL33" i="109"/>
  <c r="BL37" i="109"/>
  <c r="AX9" i="109"/>
  <c r="BA12" i="109"/>
  <c r="BM12" i="109"/>
  <c r="AX13" i="109"/>
  <c r="BA16" i="109"/>
  <c r="BM16" i="109"/>
  <c r="BA20" i="109"/>
  <c r="AY23" i="109"/>
  <c r="BK23" i="109"/>
  <c r="I23" i="109" s="1"/>
  <c r="AY9" i="109"/>
  <c r="BK9" i="109"/>
  <c r="I9" i="109" s="1"/>
  <c r="AY13" i="109"/>
  <c r="BK13" i="109"/>
  <c r="I13" i="109" s="1"/>
  <c r="AY17" i="109"/>
  <c r="BK17" i="109"/>
  <c r="I17" i="109" s="1"/>
  <c r="AY21" i="109"/>
  <c r="BK21" i="109"/>
  <c r="I21" i="109" s="1"/>
  <c r="AZ9" i="109"/>
  <c r="AZ13" i="109"/>
  <c r="BA23" i="109"/>
  <c r="BA13" i="109"/>
  <c r="BA17" i="109"/>
  <c r="BA21" i="109"/>
  <c r="AN42" i="109" l="1"/>
  <c r="BB19" i="109"/>
  <c r="BA19" i="109"/>
  <c r="BK19" i="109"/>
  <c r="I19" i="109" s="1"/>
  <c r="AY19" i="109"/>
  <c r="AW19" i="109"/>
  <c r="BI19" i="109"/>
  <c r="AZ19" i="109" s="1"/>
  <c r="BN13" i="109"/>
  <c r="BM13" i="109"/>
  <c r="AK13" i="109"/>
  <c r="BN16" i="109"/>
  <c r="BB15" i="109"/>
  <c r="BA15" i="109"/>
  <c r="BK15" i="109"/>
  <c r="I15" i="109" s="1"/>
  <c r="AY15" i="109"/>
  <c r="BI15" i="109"/>
  <c r="AW15" i="109"/>
  <c r="BK25" i="109"/>
  <c r="I25" i="109" s="1"/>
  <c r="AY25" i="109"/>
  <c r="BI25" i="109"/>
  <c r="AZ25" i="109" s="1"/>
  <c r="AW25" i="109"/>
  <c r="BB25" i="109"/>
  <c r="BA25" i="109"/>
  <c r="BB24" i="109"/>
  <c r="BA24" i="109"/>
  <c r="BK24" i="109"/>
  <c r="I24" i="109" s="1"/>
  <c r="AY24" i="109"/>
  <c r="BI24" i="109"/>
  <c r="AW24" i="109"/>
  <c r="BK18" i="109"/>
  <c r="I18" i="109" s="1"/>
  <c r="AY18" i="109"/>
  <c r="AX18" i="109"/>
  <c r="BI18" i="109"/>
  <c r="AW18" i="109"/>
  <c r="BB18" i="109"/>
  <c r="BA18" i="109"/>
  <c r="AZ18" i="109"/>
  <c r="C10" i="109"/>
  <c r="BK22" i="109"/>
  <c r="I22" i="109" s="1"/>
  <c r="AY22" i="109"/>
  <c r="AX22" i="109"/>
  <c r="BI22" i="109"/>
  <c r="AW22" i="109"/>
  <c r="BB22" i="109"/>
  <c r="BA22" i="109"/>
  <c r="AZ22" i="109"/>
  <c r="B12" i="109"/>
  <c r="AZ23" i="109"/>
  <c r="BN21" i="109"/>
  <c r="BM21" i="109"/>
  <c r="BJ21" i="109"/>
  <c r="H21" i="109" s="1"/>
  <c r="BF21" i="109" s="1"/>
  <c r="AK21" i="109"/>
  <c r="BN9" i="109"/>
  <c r="BM9" i="109"/>
  <c r="AK9" i="109"/>
  <c r="BB11" i="109"/>
  <c r="BA11" i="109"/>
  <c r="BK11" i="109"/>
  <c r="I11" i="109" s="1"/>
  <c r="AY11" i="109"/>
  <c r="AW11" i="109"/>
  <c r="BI11" i="109"/>
  <c r="BK14" i="109"/>
  <c r="I14" i="109" s="1"/>
  <c r="AY14" i="109"/>
  <c r="BI14" i="109"/>
  <c r="AZ14" i="109" s="1"/>
  <c r="AW14" i="109"/>
  <c r="BB14" i="109"/>
  <c r="BA14" i="109"/>
  <c r="BK10" i="109"/>
  <c r="I10" i="109" s="1"/>
  <c r="AY10" i="109"/>
  <c r="BI10" i="109"/>
  <c r="AW10" i="109"/>
  <c r="BB10" i="109"/>
  <c r="BA10" i="109"/>
  <c r="AZ10" i="109"/>
  <c r="B14" i="109"/>
  <c r="AJ19" i="109"/>
  <c r="AJ20" i="109" s="1"/>
  <c r="AJ21" i="109" s="1"/>
  <c r="AJ22" i="109" s="1"/>
  <c r="BN12" i="109"/>
  <c r="BN23" i="109"/>
  <c r="BJ23" i="109"/>
  <c r="H23" i="109" s="1"/>
  <c r="BF23" i="109" s="1"/>
  <c r="AK23" i="109"/>
  <c r="BN17" i="109"/>
  <c r="BM17" i="109"/>
  <c r="BJ17" i="109"/>
  <c r="H17" i="109" s="1"/>
  <c r="BF17" i="109" s="1"/>
  <c r="AK17" i="109"/>
  <c r="BN20" i="109"/>
  <c r="BM20" i="109"/>
  <c r="BJ20" i="109"/>
  <c r="H20" i="109" s="1"/>
  <c r="BF20" i="109" s="1"/>
  <c r="AK20" i="109"/>
  <c r="AY5" i="109" l="1"/>
  <c r="AP12" i="109"/>
  <c r="BG12" i="109" s="1"/>
  <c r="B15" i="109"/>
  <c r="BJ25" i="109"/>
  <c r="H25" i="109" s="1"/>
  <c r="BF25" i="109" s="1"/>
  <c r="AK25" i="109"/>
  <c r="BM25" i="109"/>
  <c r="BN25" i="109"/>
  <c r="BJ24" i="109"/>
  <c r="H24" i="109" s="1"/>
  <c r="BF24" i="109" s="1"/>
  <c r="AK24" i="109"/>
  <c r="BN24" i="109"/>
  <c r="BM24" i="109"/>
  <c r="BJ11" i="109"/>
  <c r="H11" i="109" s="1"/>
  <c r="AK11" i="109"/>
  <c r="BN11" i="109"/>
  <c r="BM11" i="109"/>
  <c r="AM17" i="109"/>
  <c r="AT17" i="109"/>
  <c r="AR17" i="109"/>
  <c r="AV17" i="109" s="1"/>
  <c r="AX17" i="109"/>
  <c r="AZ11" i="109"/>
  <c r="AM23" i="109"/>
  <c r="AT23" i="109"/>
  <c r="AR23" i="109"/>
  <c r="AV23" i="109" s="1"/>
  <c r="AX23" i="109"/>
  <c r="AM13" i="109"/>
  <c r="AP13" i="109" s="1"/>
  <c r="BG13" i="109" s="1"/>
  <c r="AT13" i="109"/>
  <c r="AR13" i="109"/>
  <c r="AV13" i="109" s="1"/>
  <c r="BB5" i="109"/>
  <c r="BJ14" i="109"/>
  <c r="H14" i="109" s="1"/>
  <c r="BF14" i="109" s="1"/>
  <c r="AK14" i="109"/>
  <c r="BM14" i="109"/>
  <c r="BN14" i="109"/>
  <c r="AM9" i="109"/>
  <c r="AT9" i="109"/>
  <c r="AR9" i="109"/>
  <c r="AM21" i="109"/>
  <c r="AT21" i="109"/>
  <c r="AR21" i="109"/>
  <c r="AV21" i="109" s="1"/>
  <c r="AX21" i="109"/>
  <c r="BA5" i="109"/>
  <c r="AR20" i="109"/>
  <c r="AV20" i="109" s="1"/>
  <c r="AM20" i="109"/>
  <c r="AT20" i="109"/>
  <c r="AX20" i="109"/>
  <c r="AK18" i="109"/>
  <c r="BM18" i="109"/>
  <c r="BN18" i="109"/>
  <c r="AZ24" i="109"/>
  <c r="BJ15" i="109"/>
  <c r="H15" i="109" s="1"/>
  <c r="BF15" i="109" s="1"/>
  <c r="AK15" i="109"/>
  <c r="BN15" i="109"/>
  <c r="BM15" i="109"/>
  <c r="BJ10" i="109"/>
  <c r="H10" i="109" s="1"/>
  <c r="AK10" i="109"/>
  <c r="BM10" i="109"/>
  <c r="BN10" i="109"/>
  <c r="AK22" i="109"/>
  <c r="BM22" i="109"/>
  <c r="BN22" i="109"/>
  <c r="AJ23" i="109"/>
  <c r="AZ15" i="109"/>
  <c r="BJ19" i="109"/>
  <c r="H19" i="109" s="1"/>
  <c r="BF19" i="109" s="1"/>
  <c r="AK19" i="109"/>
  <c r="BN19" i="109"/>
  <c r="BM19" i="109"/>
  <c r="AT15" i="109" l="1"/>
  <c r="AR15" i="109"/>
  <c r="AV15" i="109" s="1"/>
  <c r="AM15" i="109"/>
  <c r="AX15" i="109"/>
  <c r="BG15" i="109" s="1"/>
  <c r="AV9" i="109"/>
  <c r="AM25" i="109"/>
  <c r="AT25" i="109"/>
  <c r="AR25" i="109"/>
  <c r="AV25" i="109" s="1"/>
  <c r="AX25" i="109"/>
  <c r="AM10" i="109"/>
  <c r="AT10" i="109"/>
  <c r="AR10" i="109"/>
  <c r="AV10" i="109" s="1"/>
  <c r="AX10" i="109"/>
  <c r="AM14" i="109"/>
  <c r="AT14" i="109"/>
  <c r="AR14" i="109"/>
  <c r="AV14" i="109" s="1"/>
  <c r="AX14" i="109"/>
  <c r="AP9" i="109"/>
  <c r="BG9" i="109" s="1"/>
  <c r="AT11" i="109"/>
  <c r="AR11" i="109"/>
  <c r="AV11" i="109" s="1"/>
  <c r="AM11" i="109"/>
  <c r="AX11" i="109"/>
  <c r="AP15" i="109"/>
  <c r="B16" i="109"/>
  <c r="AM22" i="109"/>
  <c r="AP22" i="109" s="1"/>
  <c r="BG22" i="109" s="1"/>
  <c r="AT22" i="109"/>
  <c r="AR22" i="109"/>
  <c r="AV22" i="109" s="1"/>
  <c r="AM18" i="109"/>
  <c r="AP18" i="109" s="1"/>
  <c r="BG18" i="109" s="1"/>
  <c r="AT18" i="109"/>
  <c r="AR18" i="109"/>
  <c r="AV18" i="109" s="1"/>
  <c r="AT19" i="109"/>
  <c r="AR19" i="109"/>
  <c r="AV19" i="109" s="1"/>
  <c r="AM19" i="109"/>
  <c r="AX19" i="109"/>
  <c r="BF11" i="109"/>
  <c r="AP11" i="109"/>
  <c r="AJ24" i="109"/>
  <c r="BG11" i="109"/>
  <c r="AZ5" i="109"/>
  <c r="AP14" i="109"/>
  <c r="BF10" i="109"/>
  <c r="AP10" i="109"/>
  <c r="AT24" i="109"/>
  <c r="AR24" i="109"/>
  <c r="AV24" i="109" s="1"/>
  <c r="AM24" i="109"/>
  <c r="AX24" i="109"/>
  <c r="AM7" i="109" l="1"/>
  <c r="BG14" i="109"/>
  <c r="AJ25" i="109"/>
  <c r="AI22" i="109" s="1"/>
  <c r="C22" i="109" s="1"/>
  <c r="AM42" i="109"/>
  <c r="J42" i="109"/>
  <c r="AX5" i="109"/>
  <c r="BG10" i="109"/>
  <c r="AR42" i="109"/>
  <c r="AR46" i="109" s="1"/>
  <c r="AP16" i="109"/>
  <c r="BG16" i="109" s="1"/>
  <c r="B17" i="109"/>
  <c r="U46" i="109" l="1"/>
  <c r="Q41" i="109" s="1"/>
  <c r="U45" i="109"/>
  <c r="O41" i="109" s="1"/>
  <c r="AP17" i="109"/>
  <c r="BG17" i="109" s="1"/>
  <c r="AR47" i="109"/>
  <c r="B42" i="109" s="1"/>
  <c r="F42" i="109"/>
  <c r="U49" i="109" s="1"/>
  <c r="U50" i="109" s="1"/>
  <c r="Q7" i="109"/>
  <c r="AW5" i="109"/>
  <c r="AI13" i="109"/>
  <c r="AI9" i="109"/>
  <c r="C9" i="109" s="1"/>
  <c r="AI18" i="109"/>
  <c r="C18" i="109" s="1"/>
  <c r="B19" i="109"/>
  <c r="AP19" i="109" s="1"/>
  <c r="BG19" i="109" s="1"/>
  <c r="B20" i="109" l="1"/>
  <c r="C13" i="109"/>
  <c r="AI44" i="109"/>
  <c r="AP20" i="109" l="1"/>
  <c r="BG20" i="109" s="1"/>
  <c r="B21" i="109"/>
  <c r="AP21" i="109" l="1"/>
  <c r="BG21" i="109" s="1"/>
  <c r="B23" i="109"/>
  <c r="AP23" i="109" l="1"/>
  <c r="BG23" i="109" s="1"/>
  <c r="B24" i="109"/>
  <c r="AP24" i="109" l="1"/>
  <c r="BG24" i="109" s="1"/>
  <c r="B25" i="109"/>
  <c r="AP25" i="109" s="1"/>
  <c r="BG25" i="109" s="1"/>
  <c r="U48" i="108" l="1"/>
  <c r="BE44" i="108"/>
  <c r="AT44" i="108"/>
  <c r="AT45" i="108" s="1"/>
  <c r="AR45" i="108" s="1"/>
  <c r="H42" i="108"/>
  <c r="BN40" i="108"/>
  <c r="BL40" i="108"/>
  <c r="BK40" i="108"/>
  <c r="BJ40" i="108"/>
  <c r="H40" i="108" s="1"/>
  <c r="BF40" i="108" s="1"/>
  <c r="BI40" i="108"/>
  <c r="BM40" i="108" s="1"/>
  <c r="BH40" i="108"/>
  <c r="BG40" i="108"/>
  <c r="BE40" i="108"/>
  <c r="BD40" i="108"/>
  <c r="BC40" i="108"/>
  <c r="BB40" i="108"/>
  <c r="BA40" i="108"/>
  <c r="AZ40" i="108"/>
  <c r="AY40" i="108"/>
  <c r="AX40" i="108"/>
  <c r="AW40" i="108"/>
  <c r="AU40" i="108"/>
  <c r="AT40" i="108"/>
  <c r="AS40" i="108"/>
  <c r="AR40" i="108"/>
  <c r="AV40" i="108" s="1"/>
  <c r="AQ40" i="108"/>
  <c r="AP40" i="108"/>
  <c r="AO40" i="108"/>
  <c r="AL40" i="108"/>
  <c r="AJ40" i="108"/>
  <c r="AI40" i="108"/>
  <c r="AH40" i="108"/>
  <c r="AN40" i="108" s="1"/>
  <c r="AG40" i="108"/>
  <c r="I40" i="108"/>
  <c r="G40" i="108"/>
  <c r="C40" i="108"/>
  <c r="B40" i="108"/>
  <c r="BN39" i="108"/>
  <c r="BK39" i="108"/>
  <c r="BJ39" i="108"/>
  <c r="H39" i="108" s="1"/>
  <c r="BF39" i="108" s="1"/>
  <c r="BI39" i="108"/>
  <c r="AK39" i="108" s="1"/>
  <c r="AM39" i="108" s="1"/>
  <c r="BH39" i="108"/>
  <c r="G39" i="108" s="1"/>
  <c r="BG39" i="108"/>
  <c r="BE39" i="108"/>
  <c r="BD39" i="108"/>
  <c r="BC39" i="108"/>
  <c r="BB39" i="108"/>
  <c r="BA39" i="108"/>
  <c r="AZ39" i="108"/>
  <c r="AY39" i="108"/>
  <c r="AX39" i="108"/>
  <c r="AW39" i="108"/>
  <c r="AU39" i="108"/>
  <c r="AT39" i="108"/>
  <c r="AS39" i="108"/>
  <c r="AR39" i="108"/>
  <c r="AV39" i="108" s="1"/>
  <c r="AQ39" i="108"/>
  <c r="AP39" i="108"/>
  <c r="AO39" i="108"/>
  <c r="AL39" i="108"/>
  <c r="AJ39" i="108"/>
  <c r="AI39" i="108"/>
  <c r="AH39" i="108"/>
  <c r="AN39" i="108" s="1"/>
  <c r="AG39" i="108"/>
  <c r="I39" i="108"/>
  <c r="C39" i="108"/>
  <c r="B39" i="108"/>
  <c r="BN38" i="108"/>
  <c r="BK38" i="108"/>
  <c r="I38" i="108" s="1"/>
  <c r="BJ38" i="108"/>
  <c r="H38" i="108" s="1"/>
  <c r="BF38" i="108" s="1"/>
  <c r="BI38" i="108"/>
  <c r="AK38" i="108" s="1"/>
  <c r="AM38" i="108" s="1"/>
  <c r="BH38" i="108"/>
  <c r="G38" i="108" s="1"/>
  <c r="BG38" i="108"/>
  <c r="BE38" i="108"/>
  <c r="BD38" i="108"/>
  <c r="BC38" i="108"/>
  <c r="BB38" i="108"/>
  <c r="BA38" i="108"/>
  <c r="AZ38" i="108"/>
  <c r="AY38" i="108"/>
  <c r="AX38" i="108"/>
  <c r="AW38" i="108"/>
  <c r="AU38" i="108"/>
  <c r="AT38" i="108"/>
  <c r="AS38" i="108"/>
  <c r="AR38" i="108"/>
  <c r="AV38" i="108" s="1"/>
  <c r="AQ38" i="108"/>
  <c r="AP38" i="108"/>
  <c r="AO38" i="108"/>
  <c r="AN38" i="108"/>
  <c r="AL38" i="108"/>
  <c r="AJ38" i="108"/>
  <c r="AI38" i="108"/>
  <c r="AH38" i="108"/>
  <c r="AG38" i="108"/>
  <c r="C38" i="108"/>
  <c r="B38" i="108"/>
  <c r="BN37" i="108"/>
  <c r="BM37" i="108"/>
  <c r="BL37" i="108"/>
  <c r="BK37" i="108"/>
  <c r="I37" i="108" s="1"/>
  <c r="BJ37" i="108"/>
  <c r="H37" i="108" s="1"/>
  <c r="BF37" i="108" s="1"/>
  <c r="BI37" i="108"/>
  <c r="BH37" i="108"/>
  <c r="BG37" i="108"/>
  <c r="BE37" i="108"/>
  <c r="BD37" i="108"/>
  <c r="BC37" i="108"/>
  <c r="BB37" i="108"/>
  <c r="BA37" i="108"/>
  <c r="AZ37" i="108"/>
  <c r="AY37" i="108"/>
  <c r="AX37" i="108"/>
  <c r="AW37" i="108"/>
  <c r="AU37" i="108"/>
  <c r="AT37" i="108"/>
  <c r="AS37" i="108"/>
  <c r="AR37" i="108"/>
  <c r="AV37" i="108" s="1"/>
  <c r="AQ37" i="108"/>
  <c r="AP37" i="108"/>
  <c r="AO37" i="108"/>
  <c r="AL37" i="108"/>
  <c r="AK37" i="108"/>
  <c r="AM37" i="108" s="1"/>
  <c r="AJ37" i="108"/>
  <c r="AI37" i="108"/>
  <c r="AH37" i="108"/>
  <c r="AN37" i="108" s="1"/>
  <c r="AG37" i="108"/>
  <c r="G37" i="108"/>
  <c r="C37" i="108"/>
  <c r="B37" i="108"/>
  <c r="BN36" i="108"/>
  <c r="BL36" i="108"/>
  <c r="BK36" i="108"/>
  <c r="I36" i="108" s="1"/>
  <c r="BJ36" i="108"/>
  <c r="BI36" i="108"/>
  <c r="BM36" i="108" s="1"/>
  <c r="BH36" i="108"/>
  <c r="BG36" i="108"/>
  <c r="BE36" i="108"/>
  <c r="BD36" i="108"/>
  <c r="BC36" i="108"/>
  <c r="BB36" i="108"/>
  <c r="BA36" i="108"/>
  <c r="AZ36" i="108"/>
  <c r="AY36" i="108"/>
  <c r="AX36" i="108"/>
  <c r="AW36" i="108"/>
  <c r="AU36" i="108"/>
  <c r="AT36" i="108"/>
  <c r="AS36" i="108"/>
  <c r="AR36" i="108"/>
  <c r="AV36" i="108" s="1"/>
  <c r="AQ36" i="108"/>
  <c r="AP36" i="108"/>
  <c r="AO36" i="108"/>
  <c r="AL36" i="108"/>
  <c r="AJ36" i="108"/>
  <c r="AI36" i="108"/>
  <c r="AH36" i="108"/>
  <c r="AN36" i="108" s="1"/>
  <c r="AG36" i="108"/>
  <c r="H36" i="108"/>
  <c r="BF36" i="108" s="1"/>
  <c r="G36" i="108"/>
  <c r="C36" i="108"/>
  <c r="B36" i="108"/>
  <c r="BN35" i="108"/>
  <c r="BK35" i="108"/>
  <c r="BJ35" i="108"/>
  <c r="H35" i="108" s="1"/>
  <c r="BF35" i="108" s="1"/>
  <c r="BI35" i="108"/>
  <c r="AK35" i="108" s="1"/>
  <c r="AM35" i="108" s="1"/>
  <c r="BH35" i="108"/>
  <c r="G35" i="108" s="1"/>
  <c r="BG35" i="108"/>
  <c r="BE35" i="108"/>
  <c r="BD35" i="108"/>
  <c r="BC35" i="108"/>
  <c r="BB35" i="108"/>
  <c r="BA35" i="108"/>
  <c r="AZ35" i="108"/>
  <c r="AY35" i="108"/>
  <c r="AX35" i="108"/>
  <c r="AW35" i="108"/>
  <c r="AU35" i="108"/>
  <c r="AT35" i="108"/>
  <c r="AS35" i="108"/>
  <c r="AR35" i="108"/>
  <c r="AV35" i="108" s="1"/>
  <c r="AQ35" i="108"/>
  <c r="AP35" i="108"/>
  <c r="AO35" i="108"/>
  <c r="AL35" i="108"/>
  <c r="AJ35" i="108"/>
  <c r="AI35" i="108"/>
  <c r="AH35" i="108"/>
  <c r="AN35" i="108" s="1"/>
  <c r="AG35" i="108"/>
  <c r="I35" i="108"/>
  <c r="C35" i="108"/>
  <c r="B35" i="108"/>
  <c r="BN34" i="108"/>
  <c r="BK34" i="108"/>
  <c r="I34" i="108" s="1"/>
  <c r="BJ34" i="108"/>
  <c r="H34" i="108" s="1"/>
  <c r="BF34" i="108" s="1"/>
  <c r="BI34" i="108"/>
  <c r="AK34" i="108" s="1"/>
  <c r="AM34" i="108" s="1"/>
  <c r="BH34" i="108"/>
  <c r="G34" i="108" s="1"/>
  <c r="BG34" i="108"/>
  <c r="BE34" i="108"/>
  <c r="BD34" i="108"/>
  <c r="BC34" i="108"/>
  <c r="BB34" i="108"/>
  <c r="BA34" i="108"/>
  <c r="AZ34" i="108"/>
  <c r="AY34" i="108"/>
  <c r="AX34" i="108"/>
  <c r="AW34" i="108"/>
  <c r="AU34" i="108"/>
  <c r="AT34" i="108"/>
  <c r="AS34" i="108"/>
  <c r="AR34" i="108"/>
  <c r="AV34" i="108" s="1"/>
  <c r="AQ34" i="108"/>
  <c r="AP34" i="108"/>
  <c r="AO34" i="108"/>
  <c r="AL34" i="108"/>
  <c r="AJ34" i="108"/>
  <c r="AI34" i="108"/>
  <c r="AH34" i="108"/>
  <c r="AN34" i="108" s="1"/>
  <c r="AG34" i="108"/>
  <c r="C34" i="108"/>
  <c r="B34" i="108"/>
  <c r="BN33" i="108"/>
  <c r="BL33" i="108"/>
  <c r="BK33" i="108"/>
  <c r="I33" i="108" s="1"/>
  <c r="BJ33" i="108"/>
  <c r="H33" i="108" s="1"/>
  <c r="BF33" i="108" s="1"/>
  <c r="BI33" i="108"/>
  <c r="AK33" i="108" s="1"/>
  <c r="AM33" i="108" s="1"/>
  <c r="BH33" i="108"/>
  <c r="BG33" i="108"/>
  <c r="BE33" i="108"/>
  <c r="BD33" i="108"/>
  <c r="BC33" i="108"/>
  <c r="BB33" i="108"/>
  <c r="BA33" i="108"/>
  <c r="AZ33" i="108"/>
  <c r="AY33" i="108"/>
  <c r="AX33" i="108"/>
  <c r="AW33" i="108"/>
  <c r="AU33" i="108"/>
  <c r="AT33" i="108"/>
  <c r="AS33" i="108"/>
  <c r="AR33" i="108"/>
  <c r="AV33" i="108" s="1"/>
  <c r="AQ33" i="108"/>
  <c r="AP33" i="108"/>
  <c r="AO33" i="108"/>
  <c r="AL33" i="108"/>
  <c r="AJ33" i="108"/>
  <c r="AI33" i="108"/>
  <c r="AH33" i="108"/>
  <c r="AN33" i="108" s="1"/>
  <c r="AG33" i="108"/>
  <c r="G33" i="108"/>
  <c r="C33" i="108"/>
  <c r="B33" i="108"/>
  <c r="BN32" i="108"/>
  <c r="BM32" i="108"/>
  <c r="BL32" i="108"/>
  <c r="BK32" i="108"/>
  <c r="BJ32" i="108"/>
  <c r="H32" i="108" s="1"/>
  <c r="BF32" i="108" s="1"/>
  <c r="BI32" i="108"/>
  <c r="BH32" i="108"/>
  <c r="BG32" i="108"/>
  <c r="BE32" i="108"/>
  <c r="BD32" i="108"/>
  <c r="BC32" i="108"/>
  <c r="BB32" i="108"/>
  <c r="BA32" i="108"/>
  <c r="AZ32" i="108"/>
  <c r="AY32" i="108"/>
  <c r="AX32" i="108"/>
  <c r="AW32" i="108"/>
  <c r="AU32" i="108"/>
  <c r="AT32" i="108"/>
  <c r="AS32" i="108"/>
  <c r="AR32" i="108"/>
  <c r="AV32" i="108" s="1"/>
  <c r="AQ32" i="108"/>
  <c r="AP32" i="108"/>
  <c r="AO32" i="108"/>
  <c r="AL32" i="108"/>
  <c r="AK32" i="108"/>
  <c r="AM32" i="108" s="1"/>
  <c r="AJ32" i="108"/>
  <c r="AI32" i="108"/>
  <c r="AH32" i="108"/>
  <c r="AN32" i="108" s="1"/>
  <c r="AG32" i="108"/>
  <c r="I32" i="108"/>
  <c r="G32" i="108"/>
  <c r="C32" i="108"/>
  <c r="B32" i="108"/>
  <c r="BN31" i="108"/>
  <c r="BK31" i="108"/>
  <c r="I31" i="108" s="1"/>
  <c r="BJ31" i="108"/>
  <c r="H31" i="108" s="1"/>
  <c r="BF31" i="108" s="1"/>
  <c r="BI31" i="108"/>
  <c r="AK31" i="108" s="1"/>
  <c r="AM31" i="108" s="1"/>
  <c r="BH31" i="108"/>
  <c r="G31" i="108" s="1"/>
  <c r="BG31" i="108"/>
  <c r="BE31" i="108"/>
  <c r="BD31" i="108"/>
  <c r="BC31" i="108"/>
  <c r="BB31" i="108"/>
  <c r="BA31" i="108"/>
  <c r="AZ31" i="108"/>
  <c r="AY31" i="108"/>
  <c r="AX31" i="108"/>
  <c r="AW31" i="108"/>
  <c r="AU31" i="108"/>
  <c r="AT31" i="108"/>
  <c r="AS31" i="108"/>
  <c r="AR31" i="108"/>
  <c r="AV31" i="108" s="1"/>
  <c r="AQ31" i="108"/>
  <c r="AP31" i="108"/>
  <c r="AO31" i="108"/>
  <c r="AL31" i="108"/>
  <c r="AJ31" i="108"/>
  <c r="AI31" i="108"/>
  <c r="AH31" i="108"/>
  <c r="AN31" i="108" s="1"/>
  <c r="AG31" i="108"/>
  <c r="C31" i="108"/>
  <c r="B31" i="108"/>
  <c r="BU30" i="108"/>
  <c r="BT30" i="108"/>
  <c r="BS30" i="108"/>
  <c r="BR30" i="108"/>
  <c r="BQ30" i="108"/>
  <c r="BN30" i="108"/>
  <c r="BL30" i="108"/>
  <c r="BK30" i="108"/>
  <c r="I30" i="108" s="1"/>
  <c r="BJ30" i="108"/>
  <c r="H30" i="108" s="1"/>
  <c r="BF30" i="108" s="1"/>
  <c r="BI30" i="108"/>
  <c r="AK30" i="108" s="1"/>
  <c r="AM30" i="108" s="1"/>
  <c r="BH30" i="108"/>
  <c r="BG30" i="108"/>
  <c r="BE30" i="108"/>
  <c r="BD30" i="108"/>
  <c r="BC30" i="108"/>
  <c r="BB30" i="108"/>
  <c r="BA30" i="108"/>
  <c r="AZ30" i="108"/>
  <c r="AY30" i="108"/>
  <c r="AX30" i="108"/>
  <c r="AW30" i="108"/>
  <c r="AU30" i="108"/>
  <c r="AT30" i="108"/>
  <c r="AS30" i="108"/>
  <c r="AR30" i="108"/>
  <c r="AV30" i="108" s="1"/>
  <c r="AQ30" i="108"/>
  <c r="AP30" i="108"/>
  <c r="AO30" i="108"/>
  <c r="AL30" i="108"/>
  <c r="AJ30" i="108"/>
  <c r="AI30" i="108"/>
  <c r="AH30" i="108"/>
  <c r="AN30" i="108" s="1"/>
  <c r="AG30" i="108"/>
  <c r="G30" i="108"/>
  <c r="C30" i="108"/>
  <c r="B30" i="108"/>
  <c r="BU29" i="108"/>
  <c r="BT29" i="108"/>
  <c r="BS29" i="108"/>
  <c r="BR29" i="108"/>
  <c r="BQ29" i="108"/>
  <c r="BN29" i="108"/>
  <c r="BK29" i="108"/>
  <c r="I29" i="108" s="1"/>
  <c r="BJ29" i="108"/>
  <c r="H29" i="108" s="1"/>
  <c r="BF29" i="108" s="1"/>
  <c r="BI29" i="108"/>
  <c r="BH29" i="108"/>
  <c r="G29" i="108" s="1"/>
  <c r="BG29" i="108"/>
  <c r="BE29" i="108"/>
  <c r="BD29" i="108"/>
  <c r="BC29" i="108"/>
  <c r="BB29" i="108"/>
  <c r="BA29" i="108"/>
  <c r="AZ29" i="108"/>
  <c r="AY29" i="108"/>
  <c r="AX29" i="108"/>
  <c r="AW29" i="108"/>
  <c r="AU29" i="108"/>
  <c r="AT29" i="108"/>
  <c r="AS29" i="108"/>
  <c r="AR29" i="108"/>
  <c r="AV29" i="108" s="1"/>
  <c r="AQ29" i="108"/>
  <c r="AP29" i="108"/>
  <c r="AO29" i="108"/>
  <c r="AN29" i="108"/>
  <c r="AL29" i="108"/>
  <c r="AK29" i="108"/>
  <c r="AM29" i="108" s="1"/>
  <c r="AJ29" i="108"/>
  <c r="AI29" i="108"/>
  <c r="AH29" i="108"/>
  <c r="AG29" i="108"/>
  <c r="C29" i="108"/>
  <c r="B29" i="108"/>
  <c r="BU28" i="108"/>
  <c r="BT28" i="108"/>
  <c r="BS28" i="108"/>
  <c r="BR28" i="108"/>
  <c r="BQ28" i="108"/>
  <c r="BN28" i="108"/>
  <c r="BK28" i="108"/>
  <c r="I28" i="108" s="1"/>
  <c r="BJ28" i="108"/>
  <c r="H28" i="108" s="1"/>
  <c r="BF28" i="108" s="1"/>
  <c r="BI28" i="108"/>
  <c r="BH28" i="108"/>
  <c r="G28" i="108" s="1"/>
  <c r="BG28" i="108"/>
  <c r="BE28" i="108"/>
  <c r="BD28" i="108"/>
  <c r="BC28" i="108"/>
  <c r="BB28" i="108"/>
  <c r="BA28" i="108"/>
  <c r="AZ28" i="108"/>
  <c r="AY28" i="108"/>
  <c r="AX28" i="108"/>
  <c r="AW28" i="108"/>
  <c r="AU28" i="108"/>
  <c r="AT28" i="108"/>
  <c r="AS28" i="108"/>
  <c r="AR28" i="108"/>
  <c r="AV28" i="108" s="1"/>
  <c r="AQ28" i="108"/>
  <c r="AP28" i="108"/>
  <c r="AO28" i="108"/>
  <c r="AL28" i="108"/>
  <c r="AK28" i="108"/>
  <c r="AM28" i="108" s="1"/>
  <c r="AJ28" i="108"/>
  <c r="AI28" i="108"/>
  <c r="AH28" i="108"/>
  <c r="AN28" i="108" s="1"/>
  <c r="AG28" i="108"/>
  <c r="C28" i="108"/>
  <c r="B28" i="108"/>
  <c r="BU27" i="108"/>
  <c r="BT27" i="108"/>
  <c r="BS27" i="108"/>
  <c r="BR27" i="108"/>
  <c r="BQ27" i="108"/>
  <c r="BN27" i="108"/>
  <c r="BM27" i="108"/>
  <c r="BL27" i="108"/>
  <c r="BK27" i="108"/>
  <c r="BJ27" i="108"/>
  <c r="H27" i="108" s="1"/>
  <c r="BF27" i="108" s="1"/>
  <c r="BI27" i="108"/>
  <c r="AK27" i="108" s="1"/>
  <c r="AM27" i="108" s="1"/>
  <c r="BH27" i="108"/>
  <c r="BG27" i="108"/>
  <c r="BE27" i="108"/>
  <c r="BD27" i="108"/>
  <c r="BC27" i="108"/>
  <c r="BB27" i="108"/>
  <c r="BA27" i="108"/>
  <c r="AZ27" i="108"/>
  <c r="AY27" i="108"/>
  <c r="AX27" i="108"/>
  <c r="AW27" i="108"/>
  <c r="AU27" i="108"/>
  <c r="AT27" i="108"/>
  <c r="AS27" i="108"/>
  <c r="AR27" i="108"/>
  <c r="AV27" i="108" s="1"/>
  <c r="AQ27" i="108"/>
  <c r="AP27" i="108"/>
  <c r="AO27" i="108"/>
  <c r="AN27" i="108"/>
  <c r="AL27" i="108"/>
  <c r="AJ27" i="108"/>
  <c r="AI27" i="108"/>
  <c r="AH27" i="108"/>
  <c r="AG27" i="108"/>
  <c r="I27" i="108"/>
  <c r="G27" i="108"/>
  <c r="C27" i="108"/>
  <c r="B27" i="108"/>
  <c r="BU26" i="108"/>
  <c r="BT26" i="108"/>
  <c r="BS26" i="108"/>
  <c r="BR26" i="108"/>
  <c r="BQ26" i="108"/>
  <c r="BN26" i="108"/>
  <c r="BK26" i="108"/>
  <c r="I26" i="108" s="1"/>
  <c r="BJ26" i="108"/>
  <c r="H26" i="108" s="1"/>
  <c r="BF26" i="108" s="1"/>
  <c r="BI26" i="108"/>
  <c r="AK26" i="108" s="1"/>
  <c r="AM26" i="108" s="1"/>
  <c r="BH26" i="108"/>
  <c r="G26" i="108" s="1"/>
  <c r="BG26" i="108"/>
  <c r="BE26" i="108"/>
  <c r="BD26" i="108"/>
  <c r="BC26" i="108"/>
  <c r="BB26" i="108"/>
  <c r="BA26" i="108"/>
  <c r="AZ26" i="108"/>
  <c r="AY26" i="108"/>
  <c r="AX26" i="108"/>
  <c r="AW26" i="108"/>
  <c r="AU26" i="108"/>
  <c r="AT26" i="108"/>
  <c r="AS26" i="108"/>
  <c r="AR26" i="108"/>
  <c r="AV26" i="108" s="1"/>
  <c r="AQ26" i="108"/>
  <c r="AP26" i="108"/>
  <c r="AO26" i="108"/>
  <c r="AL26" i="108"/>
  <c r="AJ26" i="108"/>
  <c r="AI26" i="108"/>
  <c r="AH26" i="108"/>
  <c r="AN26" i="108" s="1"/>
  <c r="AG26" i="108"/>
  <c r="C26" i="108"/>
  <c r="B26" i="108"/>
  <c r="BU25" i="108"/>
  <c r="BT25" i="108"/>
  <c r="BS25" i="108"/>
  <c r="BR25" i="108"/>
  <c r="BQ25" i="108"/>
  <c r="BH25" i="108"/>
  <c r="BE25" i="108"/>
  <c r="BD25" i="108"/>
  <c r="BC25" i="108"/>
  <c r="AU25" i="108"/>
  <c r="AS25" i="108"/>
  <c r="AQ25" i="108"/>
  <c r="AO25" i="108"/>
  <c r="AL25" i="108"/>
  <c r="AH25" i="108"/>
  <c r="AN25" i="108" s="1"/>
  <c r="AG25" i="108"/>
  <c r="BU24" i="108"/>
  <c r="BT24" i="108"/>
  <c r="BS24" i="108"/>
  <c r="BR24" i="108"/>
  <c r="BQ24" i="108"/>
  <c r="BL24" i="108"/>
  <c r="BH24" i="108"/>
  <c r="BE24" i="108"/>
  <c r="BD24" i="108"/>
  <c r="BC24" i="108"/>
  <c r="AU24" i="108"/>
  <c r="AS24" i="108"/>
  <c r="AQ24" i="108"/>
  <c r="AO24" i="108"/>
  <c r="AL24" i="108"/>
  <c r="AH24" i="108"/>
  <c r="AN24" i="108" s="1"/>
  <c r="AG24" i="108"/>
  <c r="G24" i="108"/>
  <c r="BB24" i="108" s="1"/>
  <c r="BU23" i="108"/>
  <c r="BT23" i="108"/>
  <c r="BS23" i="108"/>
  <c r="BR23" i="108"/>
  <c r="BQ23" i="108"/>
  <c r="BH23" i="108"/>
  <c r="BE23" i="108"/>
  <c r="BD23" i="108"/>
  <c r="BC23" i="108"/>
  <c r="AU23" i="108"/>
  <c r="AS23" i="108"/>
  <c r="AQ23" i="108"/>
  <c r="AO23" i="108"/>
  <c r="AL23" i="108"/>
  <c r="AH23" i="108"/>
  <c r="AG23" i="108"/>
  <c r="BU22" i="108"/>
  <c r="BT22" i="108"/>
  <c r="BS22" i="108"/>
  <c r="BR22" i="108"/>
  <c r="BQ22" i="108"/>
  <c r="BJ22" i="108"/>
  <c r="H22" i="108" s="1"/>
  <c r="BF22" i="108" s="1"/>
  <c r="BH22" i="108"/>
  <c r="BE22" i="108"/>
  <c r="BD22" i="108"/>
  <c r="BC22" i="108"/>
  <c r="AU22" i="108"/>
  <c r="AS22" i="108"/>
  <c r="AQ22" i="108"/>
  <c r="AO22" i="108"/>
  <c r="AL22" i="108"/>
  <c r="AH22" i="108"/>
  <c r="AN22" i="108" s="1"/>
  <c r="AG22" i="108"/>
  <c r="B22" i="108"/>
  <c r="BH21" i="108"/>
  <c r="BE21" i="108"/>
  <c r="BD21" i="108"/>
  <c r="BC21" i="108"/>
  <c r="AU21" i="108"/>
  <c r="AS21" i="108"/>
  <c r="AQ21" i="108"/>
  <c r="AO21" i="108"/>
  <c r="AL21" i="108"/>
  <c r="AH21" i="108"/>
  <c r="AG21" i="108"/>
  <c r="BL20" i="108"/>
  <c r="BH20" i="108"/>
  <c r="BE20" i="108"/>
  <c r="BD20" i="108"/>
  <c r="BC20" i="108"/>
  <c r="AU20" i="108"/>
  <c r="AS20" i="108"/>
  <c r="AQ20" i="108"/>
  <c r="AO20" i="108"/>
  <c r="AL20" i="108"/>
  <c r="AH20" i="108"/>
  <c r="AG20" i="108"/>
  <c r="G20" i="108"/>
  <c r="BB20" i="108" s="1"/>
  <c r="BL19" i="108"/>
  <c r="BH19" i="108"/>
  <c r="BE19" i="108"/>
  <c r="BD19" i="108"/>
  <c r="BC19" i="108"/>
  <c r="BA19" i="108"/>
  <c r="AU19" i="108"/>
  <c r="AS19" i="108"/>
  <c r="AQ19" i="108"/>
  <c r="AO19" i="108"/>
  <c r="AL19" i="108"/>
  <c r="AH19" i="108"/>
  <c r="AN19" i="108" s="1"/>
  <c r="AG19" i="108"/>
  <c r="G19" i="108"/>
  <c r="BB19" i="108" s="1"/>
  <c r="BJ18" i="108"/>
  <c r="H18" i="108" s="1"/>
  <c r="BF18" i="108" s="1"/>
  <c r="BH18" i="108"/>
  <c r="BE18" i="108"/>
  <c r="BD18" i="108"/>
  <c r="BC18" i="108"/>
  <c r="AU18" i="108"/>
  <c r="AS18" i="108"/>
  <c r="AQ18" i="108"/>
  <c r="AO18" i="108"/>
  <c r="AL18" i="108"/>
  <c r="AH18" i="108"/>
  <c r="AN18" i="108" s="1"/>
  <c r="AG18" i="108"/>
  <c r="B18" i="108"/>
  <c r="BH17" i="108"/>
  <c r="BE17" i="108"/>
  <c r="BD17" i="108"/>
  <c r="BC17" i="108"/>
  <c r="AU17" i="108"/>
  <c r="AS17" i="108"/>
  <c r="AQ17" i="108"/>
  <c r="AO17" i="108"/>
  <c r="AL17" i="108"/>
  <c r="AH17" i="108"/>
  <c r="AG17" i="108"/>
  <c r="BL16" i="108"/>
  <c r="BH16" i="108"/>
  <c r="BE16" i="108"/>
  <c r="BD16" i="108"/>
  <c r="BC16" i="108"/>
  <c r="AU16" i="108"/>
  <c r="AS16" i="108"/>
  <c r="AQ16" i="108"/>
  <c r="AO16" i="108"/>
  <c r="AL16" i="108"/>
  <c r="AH16" i="108"/>
  <c r="AG16" i="108"/>
  <c r="G16" i="108"/>
  <c r="BB16" i="108" s="1"/>
  <c r="BL15" i="108"/>
  <c r="BH15" i="108"/>
  <c r="BE15" i="108"/>
  <c r="BD15" i="108"/>
  <c r="BC15" i="108"/>
  <c r="BA15" i="108"/>
  <c r="AU15" i="108"/>
  <c r="AS15" i="108"/>
  <c r="AQ15" i="108"/>
  <c r="AI15" i="108" s="1"/>
  <c r="C15" i="108" s="1"/>
  <c r="AO15" i="108"/>
  <c r="AL15" i="108"/>
  <c r="AH15" i="108"/>
  <c r="AN15" i="108" s="1"/>
  <c r="AG15" i="108"/>
  <c r="G15" i="108"/>
  <c r="BB15" i="108" s="1"/>
  <c r="BH14" i="108"/>
  <c r="BE14" i="108"/>
  <c r="BD14" i="108"/>
  <c r="BC14" i="108"/>
  <c r="AU14" i="108"/>
  <c r="AS14" i="108"/>
  <c r="AQ14" i="108"/>
  <c r="AO14" i="108"/>
  <c r="AL14" i="108"/>
  <c r="AH14" i="108"/>
  <c r="AN14" i="108" s="1"/>
  <c r="AG14" i="108"/>
  <c r="BJ13" i="108"/>
  <c r="H13" i="108" s="1"/>
  <c r="BF13" i="108" s="1"/>
  <c r="BH13" i="108"/>
  <c r="BE13" i="108"/>
  <c r="BD13" i="108"/>
  <c r="BC13" i="108"/>
  <c r="AU13" i="108"/>
  <c r="AS13" i="108"/>
  <c r="AQ13" i="108"/>
  <c r="AO13" i="108"/>
  <c r="AL13" i="108"/>
  <c r="AH13" i="108"/>
  <c r="AN13" i="108" s="1"/>
  <c r="AG13" i="108"/>
  <c r="B13" i="108"/>
  <c r="BL12" i="108"/>
  <c r="BH12" i="108"/>
  <c r="BE12" i="108"/>
  <c r="BD12" i="108"/>
  <c r="BC12" i="108"/>
  <c r="AU12" i="108"/>
  <c r="AS12" i="108"/>
  <c r="AQ12" i="108"/>
  <c r="AO12" i="108"/>
  <c r="AL12" i="108"/>
  <c r="AH12" i="108"/>
  <c r="AG12" i="108"/>
  <c r="G12" i="108"/>
  <c r="BB12" i="108" s="1"/>
  <c r="BL11" i="108"/>
  <c r="BH11" i="108"/>
  <c r="BE11" i="108"/>
  <c r="BD11" i="108"/>
  <c r="BC11" i="108"/>
  <c r="BC5" i="108" s="1"/>
  <c r="BA11" i="108"/>
  <c r="AU11" i="108"/>
  <c r="AS11" i="108"/>
  <c r="AQ11" i="108"/>
  <c r="AO11" i="108"/>
  <c r="AL11" i="108"/>
  <c r="AH11" i="108"/>
  <c r="AN11" i="108" s="1"/>
  <c r="AG11" i="108"/>
  <c r="G11" i="108"/>
  <c r="BB11" i="108" s="1"/>
  <c r="BH10" i="108"/>
  <c r="BE10" i="108"/>
  <c r="BD10" i="108"/>
  <c r="BC10" i="108"/>
  <c r="AU10" i="108"/>
  <c r="AU42" i="108" s="1"/>
  <c r="AS10" i="108"/>
  <c r="AS42" i="108" s="1"/>
  <c r="AT42" i="108" s="1"/>
  <c r="AQ10" i="108"/>
  <c r="AO10" i="108"/>
  <c r="AL10" i="108"/>
  <c r="AJ10" i="108"/>
  <c r="AJ11" i="108" s="1"/>
  <c r="AJ12" i="108" s="1"/>
  <c r="AJ13" i="108" s="1"/>
  <c r="AH10" i="108"/>
  <c r="AN10" i="108" s="1"/>
  <c r="AG10" i="108"/>
  <c r="BJ9" i="108"/>
  <c r="H9" i="108" s="1"/>
  <c r="BF9" i="108" s="1"/>
  <c r="BH9" i="108"/>
  <c r="BE9" i="108"/>
  <c r="BD9" i="108"/>
  <c r="BD5" i="108" s="1"/>
  <c r="BC9" i="108"/>
  <c r="AU9" i="108"/>
  <c r="AV44" i="108" s="1"/>
  <c r="AS9" i="108"/>
  <c r="AQ9" i="108"/>
  <c r="AQ42" i="108" s="1"/>
  <c r="AO9" i="108"/>
  <c r="AN9" i="108"/>
  <c r="AL9" i="108"/>
  <c r="AJ9" i="108"/>
  <c r="AH9" i="108"/>
  <c r="AG9" i="108"/>
  <c r="B9" i="108"/>
  <c r="AV7" i="108"/>
  <c r="AN16" i="108" l="1"/>
  <c r="AN7" i="108" s="1"/>
  <c r="AN17" i="108"/>
  <c r="BM33" i="108"/>
  <c r="AN12" i="108"/>
  <c r="AN23" i="108"/>
  <c r="AV45" i="108"/>
  <c r="BE5" i="108"/>
  <c r="BM30" i="108"/>
  <c r="AK36" i="108"/>
  <c r="AM36" i="108" s="1"/>
  <c r="AN20" i="108"/>
  <c r="AN21" i="108"/>
  <c r="AK40" i="108"/>
  <c r="AM40" i="108" s="1"/>
  <c r="AI19" i="108"/>
  <c r="C19" i="108" s="1"/>
  <c r="AI24" i="108"/>
  <c r="C24" i="108" s="1"/>
  <c r="E42" i="108"/>
  <c r="AV42" i="108"/>
  <c r="AV46" i="108" s="1"/>
  <c r="Q6" i="108"/>
  <c r="AJ14" i="108"/>
  <c r="AJ15" i="108" s="1"/>
  <c r="AJ16" i="108" s="1"/>
  <c r="AJ17" i="108" s="1"/>
  <c r="AJ18" i="108" s="1"/>
  <c r="AI25" i="108"/>
  <c r="C25" i="108" s="1"/>
  <c r="AI14" i="108"/>
  <c r="C14" i="108" s="1"/>
  <c r="AI10" i="108"/>
  <c r="AI21" i="108"/>
  <c r="C21" i="108" s="1"/>
  <c r="AI17" i="108"/>
  <c r="C17" i="108" s="1"/>
  <c r="AI23" i="108"/>
  <c r="C23" i="108" s="1"/>
  <c r="AI20" i="108"/>
  <c r="C20" i="108" s="1"/>
  <c r="AI16" i="108"/>
  <c r="C16" i="108" s="1"/>
  <c r="AI12" i="108"/>
  <c r="C12" i="108" s="1"/>
  <c r="AI11" i="108"/>
  <c r="C11" i="108" s="1"/>
  <c r="B10" i="108"/>
  <c r="BL10" i="108"/>
  <c r="AW11" i="108"/>
  <c r="BI11" i="108"/>
  <c r="BL14" i="108"/>
  <c r="AW15" i="108"/>
  <c r="BI15" i="108"/>
  <c r="BL18" i="108"/>
  <c r="AW19" i="108"/>
  <c r="BI19" i="108"/>
  <c r="AZ19" i="108" s="1"/>
  <c r="BL22" i="108"/>
  <c r="BL25" i="108"/>
  <c r="BL28" i="108"/>
  <c r="BL31" i="108"/>
  <c r="BL35" i="108"/>
  <c r="BL39" i="108"/>
  <c r="AW24" i="108"/>
  <c r="BI24" i="108"/>
  <c r="BM28" i="108"/>
  <c r="BM31" i="108"/>
  <c r="BM35" i="108"/>
  <c r="BM39" i="108"/>
  <c r="G10" i="108"/>
  <c r="AY11" i="108"/>
  <c r="BK11" i="108"/>
  <c r="I11" i="108" s="1"/>
  <c r="G14" i="108"/>
  <c r="AY15" i="108"/>
  <c r="BK15" i="108"/>
  <c r="I15" i="108" s="1"/>
  <c r="G18" i="108"/>
  <c r="AY19" i="108"/>
  <c r="BK19" i="108"/>
  <c r="I19" i="108" s="1"/>
  <c r="G22" i="108"/>
  <c r="G25" i="108"/>
  <c r="B11" i="108"/>
  <c r="AZ11" i="108"/>
  <c r="AW12" i="108"/>
  <c r="BI12" i="108"/>
  <c r="AW16" i="108"/>
  <c r="BI16" i="108"/>
  <c r="AW20" i="108"/>
  <c r="BI20" i="108"/>
  <c r="AY24" i="108"/>
  <c r="BK24" i="108"/>
  <c r="I24" i="108" s="1"/>
  <c r="AY12" i="108"/>
  <c r="BK12" i="108"/>
  <c r="I12" i="108" s="1"/>
  <c r="AY16" i="108"/>
  <c r="BK16" i="108"/>
  <c r="I16" i="108" s="1"/>
  <c r="AY20" i="108"/>
  <c r="BK20" i="108"/>
  <c r="I20" i="108" s="1"/>
  <c r="BA24" i="108"/>
  <c r="BA12" i="108"/>
  <c r="BA16" i="108"/>
  <c r="BA20" i="108"/>
  <c r="BL23" i="108"/>
  <c r="BL26" i="108"/>
  <c r="BL29" i="108"/>
  <c r="BL9" i="108"/>
  <c r="BL13" i="108"/>
  <c r="BL17" i="108"/>
  <c r="BL21" i="108"/>
  <c r="BM26" i="108"/>
  <c r="BM29" i="108"/>
  <c r="BL34" i="108"/>
  <c r="BL38" i="108"/>
  <c r="G23" i="108"/>
  <c r="BM34" i="108"/>
  <c r="BM38" i="108"/>
  <c r="G9" i="108"/>
  <c r="G13" i="108"/>
  <c r="G17" i="108"/>
  <c r="G21" i="108"/>
  <c r="AN42" i="108" l="1"/>
  <c r="BN12" i="108"/>
  <c r="BM12" i="108"/>
  <c r="AZ12" i="108"/>
  <c r="BJ12" i="108"/>
  <c r="H12" i="108" s="1"/>
  <c r="BF12" i="108" s="1"/>
  <c r="AK12" i="108"/>
  <c r="BK14" i="108"/>
  <c r="I14" i="108" s="1"/>
  <c r="AY14" i="108"/>
  <c r="BI14" i="108"/>
  <c r="AZ14" i="108" s="1"/>
  <c r="AW14" i="108"/>
  <c r="BB14" i="108"/>
  <c r="BA14" i="108"/>
  <c r="BB17" i="108"/>
  <c r="BA17" i="108"/>
  <c r="BK17" i="108"/>
  <c r="I17" i="108" s="1"/>
  <c r="AY17" i="108"/>
  <c r="BI17" i="108"/>
  <c r="AW17" i="108"/>
  <c r="BK10" i="108"/>
  <c r="I10" i="108" s="1"/>
  <c r="AY10" i="108"/>
  <c r="BI10" i="108"/>
  <c r="AW10" i="108"/>
  <c r="BB10" i="108"/>
  <c r="BA10" i="108"/>
  <c r="BK25" i="108"/>
  <c r="I25" i="108" s="1"/>
  <c r="AY25" i="108"/>
  <c r="BI25" i="108"/>
  <c r="AZ25" i="108" s="1"/>
  <c r="AW25" i="108"/>
  <c r="BB25" i="108"/>
  <c r="BA25" i="108"/>
  <c r="BN15" i="108"/>
  <c r="BM15" i="108"/>
  <c r="BJ15" i="108"/>
  <c r="H15" i="108" s="1"/>
  <c r="BF15" i="108" s="1"/>
  <c r="AK15" i="108"/>
  <c r="BB9" i="108"/>
  <c r="BA9" i="108"/>
  <c r="BK9" i="108"/>
  <c r="I9" i="108" s="1"/>
  <c r="AY9" i="108"/>
  <c r="AX9" i="108"/>
  <c r="BI9" i="108"/>
  <c r="AZ9" i="108" s="1"/>
  <c r="AW9" i="108"/>
  <c r="BK22" i="108"/>
  <c r="I22" i="108" s="1"/>
  <c r="AY22" i="108"/>
  <c r="AX22" i="108"/>
  <c r="BI22" i="108"/>
  <c r="AW22" i="108"/>
  <c r="BB22" i="108"/>
  <c r="BA22" i="108"/>
  <c r="AJ19" i="108"/>
  <c r="AJ20" i="108" s="1"/>
  <c r="AJ21" i="108" s="1"/>
  <c r="AJ22" i="108" s="1"/>
  <c r="BB21" i="108"/>
  <c r="BA21" i="108"/>
  <c r="AZ21" i="108"/>
  <c r="BK21" i="108"/>
  <c r="I21" i="108" s="1"/>
  <c r="AY21" i="108"/>
  <c r="BI21" i="108"/>
  <c r="AW21" i="108"/>
  <c r="BN19" i="108"/>
  <c r="BM19" i="108"/>
  <c r="BJ19" i="108"/>
  <c r="H19" i="108" s="1"/>
  <c r="BF19" i="108" s="1"/>
  <c r="AK19" i="108"/>
  <c r="BB13" i="108"/>
  <c r="BA13" i="108"/>
  <c r="AZ13" i="108"/>
  <c r="BK13" i="108"/>
  <c r="I13" i="108" s="1"/>
  <c r="AY13" i="108"/>
  <c r="AX13" i="108"/>
  <c r="BI13" i="108"/>
  <c r="AW13" i="108"/>
  <c r="BN20" i="108"/>
  <c r="BM20" i="108"/>
  <c r="AZ20" i="108"/>
  <c r="BJ20" i="108"/>
  <c r="H20" i="108" s="1"/>
  <c r="BF20" i="108" s="1"/>
  <c r="AK20" i="108"/>
  <c r="BB23" i="108"/>
  <c r="BA23" i="108"/>
  <c r="BK23" i="108"/>
  <c r="I23" i="108" s="1"/>
  <c r="AY23" i="108"/>
  <c r="BI23" i="108"/>
  <c r="AW23" i="108"/>
  <c r="BN16" i="108"/>
  <c r="BM16" i="108"/>
  <c r="AZ16" i="108"/>
  <c r="BJ16" i="108"/>
  <c r="H16" i="108" s="1"/>
  <c r="BF16" i="108" s="1"/>
  <c r="AK16" i="108"/>
  <c r="BN11" i="108"/>
  <c r="BM11" i="108"/>
  <c r="BJ11" i="108"/>
  <c r="H11" i="108" s="1"/>
  <c r="BF11" i="108" s="1"/>
  <c r="AK11" i="108"/>
  <c r="BK18" i="108"/>
  <c r="I18" i="108" s="1"/>
  <c r="AY18" i="108"/>
  <c r="AX18" i="108"/>
  <c r="BI18" i="108"/>
  <c r="AZ18" i="108" s="1"/>
  <c r="AW18" i="108"/>
  <c r="BB18" i="108"/>
  <c r="BA18" i="108"/>
  <c r="BN24" i="108"/>
  <c r="BM24" i="108"/>
  <c r="AZ24" i="108"/>
  <c r="BJ24" i="108"/>
  <c r="H24" i="108" s="1"/>
  <c r="BF24" i="108" s="1"/>
  <c r="AK24" i="108"/>
  <c r="AZ15" i="108"/>
  <c r="B12" i="108"/>
  <c r="C10" i="108"/>
  <c r="AT24" i="108" l="1"/>
  <c r="AR24" i="108"/>
  <c r="AV24" i="108" s="1"/>
  <c r="AM24" i="108"/>
  <c r="AX24" i="108"/>
  <c r="AJ23" i="108"/>
  <c r="BJ17" i="108"/>
  <c r="H17" i="108" s="1"/>
  <c r="BF17" i="108" s="1"/>
  <c r="AK17" i="108"/>
  <c r="BM17" i="108"/>
  <c r="BN17" i="108"/>
  <c r="BJ14" i="108"/>
  <c r="H14" i="108" s="1"/>
  <c r="BF14" i="108" s="1"/>
  <c r="AK14" i="108"/>
  <c r="BN14" i="108"/>
  <c r="BM14" i="108"/>
  <c r="BJ23" i="108"/>
  <c r="H23" i="108" s="1"/>
  <c r="BF23" i="108" s="1"/>
  <c r="AK23" i="108"/>
  <c r="BN23" i="108"/>
  <c r="BM23" i="108"/>
  <c r="AP12" i="108"/>
  <c r="BA5" i="108"/>
  <c r="AK22" i="108"/>
  <c r="BM22" i="108"/>
  <c r="BN22" i="108"/>
  <c r="BB5" i="108"/>
  <c r="BJ10" i="108"/>
  <c r="H10" i="108" s="1"/>
  <c r="AK10" i="108"/>
  <c r="BN10" i="108"/>
  <c r="BM10" i="108"/>
  <c r="AK9" i="108"/>
  <c r="BN9" i="108"/>
  <c r="BM9" i="108"/>
  <c r="AZ23" i="108"/>
  <c r="AR16" i="108"/>
  <c r="AV16" i="108" s="1"/>
  <c r="AM16" i="108"/>
  <c r="AX16" i="108"/>
  <c r="AT16" i="108"/>
  <c r="AT15" i="108"/>
  <c r="AR15" i="108"/>
  <c r="AV15" i="108" s="1"/>
  <c r="AM15" i="108"/>
  <c r="AX15" i="108"/>
  <c r="AZ10" i="108"/>
  <c r="AT19" i="108"/>
  <c r="AR19" i="108"/>
  <c r="AV19" i="108" s="1"/>
  <c r="AM19" i="108"/>
  <c r="AX19" i="108"/>
  <c r="B14" i="108"/>
  <c r="AZ17" i="108"/>
  <c r="AR12" i="108"/>
  <c r="AV12" i="108" s="1"/>
  <c r="AM12" i="108"/>
  <c r="AX12" i="108"/>
  <c r="AT12" i="108"/>
  <c r="AR20" i="108"/>
  <c r="AV20" i="108" s="1"/>
  <c r="AM20" i="108"/>
  <c r="AX20" i="108"/>
  <c r="AT20" i="108"/>
  <c r="AK18" i="108"/>
  <c r="BM18" i="108"/>
  <c r="BN18" i="108"/>
  <c r="AK13" i="108"/>
  <c r="BM13" i="108"/>
  <c r="BN13" i="108"/>
  <c r="BJ21" i="108"/>
  <c r="H21" i="108" s="1"/>
  <c r="BF21" i="108" s="1"/>
  <c r="AK21" i="108"/>
  <c r="BN21" i="108"/>
  <c r="BM21" i="108"/>
  <c r="AZ22" i="108"/>
  <c r="AY5" i="108"/>
  <c r="AT11" i="108"/>
  <c r="AR11" i="108"/>
  <c r="AV11" i="108" s="1"/>
  <c r="AM11" i="108"/>
  <c r="AX11" i="108"/>
  <c r="BG11" i="108" s="1"/>
  <c r="BJ25" i="108"/>
  <c r="H25" i="108" s="1"/>
  <c r="BF25" i="108" s="1"/>
  <c r="AK25" i="108"/>
  <c r="BM25" i="108"/>
  <c r="BN25" i="108"/>
  <c r="AP11" i="108"/>
  <c r="BG12" i="108" l="1"/>
  <c r="AM18" i="108"/>
  <c r="AP18" i="108" s="1"/>
  <c r="BG18" i="108" s="1"/>
  <c r="AT18" i="108"/>
  <c r="AR18" i="108"/>
  <c r="AV18" i="108" s="1"/>
  <c r="AM23" i="108"/>
  <c r="AT23" i="108"/>
  <c r="AR23" i="108"/>
  <c r="AV23" i="108" s="1"/>
  <c r="AX23" i="108"/>
  <c r="AM9" i="108"/>
  <c r="AT9" i="108"/>
  <c r="AR9" i="108"/>
  <c r="AJ24" i="108"/>
  <c r="AM14" i="108"/>
  <c r="AT14" i="108"/>
  <c r="AR14" i="108"/>
  <c r="AV14" i="108" s="1"/>
  <c r="AX14" i="108"/>
  <c r="AM25" i="108"/>
  <c r="AT25" i="108"/>
  <c r="AR25" i="108"/>
  <c r="AV25" i="108" s="1"/>
  <c r="AX25" i="108"/>
  <c r="AM21" i="108"/>
  <c r="AT21" i="108"/>
  <c r="AR21" i="108"/>
  <c r="AV21" i="108" s="1"/>
  <c r="AX21" i="108"/>
  <c r="AM22" i="108"/>
  <c r="AP22" i="108" s="1"/>
  <c r="BG22" i="108" s="1"/>
  <c r="AT22" i="108"/>
  <c r="AR22" i="108"/>
  <c r="AV22" i="108" s="1"/>
  <c r="AM13" i="108"/>
  <c r="AP13" i="108" s="1"/>
  <c r="BG13" i="108" s="1"/>
  <c r="AT13" i="108"/>
  <c r="AR13" i="108"/>
  <c r="AV13" i="108" s="1"/>
  <c r="AP14" i="108"/>
  <c r="B15" i="108"/>
  <c r="AM10" i="108"/>
  <c r="AT10" i="108"/>
  <c r="AR10" i="108"/>
  <c r="AV10" i="108" s="1"/>
  <c r="AX10" i="108"/>
  <c r="AZ5" i="108"/>
  <c r="BF10" i="108"/>
  <c r="AP10" i="108"/>
  <c r="AM17" i="108"/>
  <c r="AT17" i="108"/>
  <c r="AR17" i="108"/>
  <c r="AV17" i="108" s="1"/>
  <c r="AX17" i="108"/>
  <c r="BG14" i="108" l="1"/>
  <c r="AP15" i="108"/>
  <c r="BG15" i="108" s="1"/>
  <c r="AJ25" i="108"/>
  <c r="AI9" i="108"/>
  <c r="C9" i="108" s="1"/>
  <c r="AV9" i="108"/>
  <c r="AR42" i="108"/>
  <c r="AR46" i="108" s="1"/>
  <c r="B16" i="108"/>
  <c r="BG10" i="108"/>
  <c r="AM7" i="108"/>
  <c r="J42" i="108" s="1"/>
  <c r="AM42" i="108"/>
  <c r="AP9" i="108"/>
  <c r="BG9" i="108" s="1"/>
  <c r="F42" i="108" l="1"/>
  <c r="U49" i="108" s="1"/>
  <c r="U50" i="108" s="1"/>
  <c r="Q7" i="108"/>
  <c r="AW5" i="108"/>
  <c r="U45" i="108" s="1"/>
  <c r="O41" i="108" s="1"/>
  <c r="AI22" i="108"/>
  <c r="C22" i="108" s="1"/>
  <c r="AI18" i="108"/>
  <c r="C18" i="108" s="1"/>
  <c r="AI13" i="108"/>
  <c r="AP16" i="108"/>
  <c r="BG16" i="108" s="1"/>
  <c r="B17" i="108"/>
  <c r="AX5" i="108"/>
  <c r="U46" i="108" s="1"/>
  <c r="Q41" i="108" s="1"/>
  <c r="AR47" i="108"/>
  <c r="B42" i="108" s="1"/>
  <c r="AP17" i="108" l="1"/>
  <c r="BG17" i="108" s="1"/>
  <c r="C13" i="108"/>
  <c r="AI44" i="108"/>
  <c r="B19" i="108"/>
  <c r="AP19" i="108" s="1"/>
  <c r="BG19" i="108" s="1"/>
  <c r="B20" i="108" l="1"/>
  <c r="AP20" i="108" l="1"/>
  <c r="BG20" i="108" s="1"/>
  <c r="B21" i="108"/>
  <c r="AP21" i="108" l="1"/>
  <c r="BG21" i="108" s="1"/>
  <c r="B23" i="108"/>
  <c r="AP23" i="108" l="1"/>
  <c r="BG23" i="108" s="1"/>
  <c r="B24" i="108"/>
  <c r="AP24" i="108" l="1"/>
  <c r="BG24" i="108" s="1"/>
  <c r="B25" i="108"/>
  <c r="AP25" i="108" s="1"/>
  <c r="BG25" i="108" s="1"/>
  <c r="U48" i="107" l="1"/>
  <c r="AT45" i="107"/>
  <c r="AR45" i="107" s="1"/>
  <c r="BE44" i="107"/>
  <c r="AT44" i="107"/>
  <c r="H42" i="107"/>
  <c r="BN40" i="107"/>
  <c r="BK40" i="107"/>
  <c r="BJ40" i="107"/>
  <c r="H40" i="107" s="1"/>
  <c r="BF40" i="107" s="1"/>
  <c r="BI40" i="107"/>
  <c r="AK40" i="107" s="1"/>
  <c r="AM40" i="107" s="1"/>
  <c r="BH40" i="107"/>
  <c r="G40" i="107" s="1"/>
  <c r="BG40" i="107"/>
  <c r="BE40" i="107"/>
  <c r="BD40" i="107"/>
  <c r="BC40" i="107"/>
  <c r="BB40" i="107"/>
  <c r="BA40" i="107"/>
  <c r="AZ40" i="107"/>
  <c r="AY40" i="107"/>
  <c r="AX40" i="107"/>
  <c r="AW40" i="107"/>
  <c r="AU40" i="107"/>
  <c r="AT40" i="107"/>
  <c r="AS40" i="107"/>
  <c r="AR40" i="107"/>
  <c r="AV40" i="107" s="1"/>
  <c r="AQ40" i="107"/>
  <c r="AP40" i="107"/>
  <c r="AO40" i="107"/>
  <c r="AL40" i="107"/>
  <c r="AJ40" i="107"/>
  <c r="AI40" i="107"/>
  <c r="AH40" i="107"/>
  <c r="AN40" i="107" s="1"/>
  <c r="AG40" i="107"/>
  <c r="I40" i="107"/>
  <c r="C40" i="107"/>
  <c r="B40" i="107"/>
  <c r="BN39" i="107"/>
  <c r="BL39" i="107"/>
  <c r="BK39" i="107"/>
  <c r="I39" i="107" s="1"/>
  <c r="BJ39" i="107"/>
  <c r="H39" i="107" s="1"/>
  <c r="BF39" i="107" s="1"/>
  <c r="BI39" i="107"/>
  <c r="AK39" i="107" s="1"/>
  <c r="AM39" i="107" s="1"/>
  <c r="BH39" i="107"/>
  <c r="G39" i="107" s="1"/>
  <c r="BG39" i="107"/>
  <c r="BE39" i="107"/>
  <c r="BD39" i="107"/>
  <c r="BC39" i="107"/>
  <c r="BB39" i="107"/>
  <c r="BA39" i="107"/>
  <c r="AZ39" i="107"/>
  <c r="AY39" i="107"/>
  <c r="AX39" i="107"/>
  <c r="AW39" i="107"/>
  <c r="AU39" i="107"/>
  <c r="AT39" i="107"/>
  <c r="AS39" i="107"/>
  <c r="AR39" i="107"/>
  <c r="AV39" i="107" s="1"/>
  <c r="AQ39" i="107"/>
  <c r="AP39" i="107"/>
  <c r="AO39" i="107"/>
  <c r="AL39" i="107"/>
  <c r="AJ39" i="107"/>
  <c r="AI39" i="107"/>
  <c r="AH39" i="107"/>
  <c r="AN39" i="107" s="1"/>
  <c r="AG39" i="107"/>
  <c r="C39" i="107"/>
  <c r="B39" i="107"/>
  <c r="BN38" i="107"/>
  <c r="BK38" i="107"/>
  <c r="I38" i="107" s="1"/>
  <c r="BJ38" i="107"/>
  <c r="BI38" i="107"/>
  <c r="AK38" i="107" s="1"/>
  <c r="AM38" i="107" s="1"/>
  <c r="BH38" i="107"/>
  <c r="BG38" i="107"/>
  <c r="BE38" i="107"/>
  <c r="BD38" i="107"/>
  <c r="BC38" i="107"/>
  <c r="BB38" i="107"/>
  <c r="BA38" i="107"/>
  <c r="AZ38" i="107"/>
  <c r="AY38" i="107"/>
  <c r="AX38" i="107"/>
  <c r="AW38" i="107"/>
  <c r="AU38" i="107"/>
  <c r="AT38" i="107"/>
  <c r="AS38" i="107"/>
  <c r="AR38" i="107"/>
  <c r="AV38" i="107" s="1"/>
  <c r="AQ38" i="107"/>
  <c r="AP38" i="107"/>
  <c r="AO38" i="107"/>
  <c r="AL38" i="107"/>
  <c r="AJ38" i="107"/>
  <c r="AI38" i="107"/>
  <c r="AH38" i="107"/>
  <c r="AN38" i="107" s="1"/>
  <c r="AG38" i="107"/>
  <c r="H38" i="107"/>
  <c r="BF38" i="107" s="1"/>
  <c r="G38" i="107"/>
  <c r="C38" i="107"/>
  <c r="B38" i="107"/>
  <c r="BN37" i="107"/>
  <c r="BK37" i="107"/>
  <c r="I37" i="107" s="1"/>
  <c r="BJ37" i="107"/>
  <c r="BI37" i="107"/>
  <c r="BM37" i="107" s="1"/>
  <c r="BH37" i="107"/>
  <c r="BL37" i="107" s="1"/>
  <c r="BG37" i="107"/>
  <c r="BE37" i="107"/>
  <c r="BD37" i="107"/>
  <c r="BC37" i="107"/>
  <c r="BB37" i="107"/>
  <c r="BA37" i="107"/>
  <c r="AZ37" i="107"/>
  <c r="AY37" i="107"/>
  <c r="AX37" i="107"/>
  <c r="AW37" i="107"/>
  <c r="AU37" i="107"/>
  <c r="AT37" i="107"/>
  <c r="AS37" i="107"/>
  <c r="AR37" i="107"/>
  <c r="AV37" i="107" s="1"/>
  <c r="AQ37" i="107"/>
  <c r="AP37" i="107"/>
  <c r="AO37" i="107"/>
  <c r="AL37" i="107"/>
  <c r="AJ37" i="107"/>
  <c r="AI37" i="107"/>
  <c r="AH37" i="107"/>
  <c r="AN37" i="107" s="1"/>
  <c r="AG37" i="107"/>
  <c r="H37" i="107"/>
  <c r="BF37" i="107" s="1"/>
  <c r="G37" i="107"/>
  <c r="C37" i="107"/>
  <c r="B37" i="107"/>
  <c r="BN36" i="107"/>
  <c r="BK36" i="107"/>
  <c r="I36" i="107" s="1"/>
  <c r="BJ36" i="107"/>
  <c r="H36" i="107" s="1"/>
  <c r="BF36" i="107" s="1"/>
  <c r="BI36" i="107"/>
  <c r="BH36" i="107"/>
  <c r="G36" i="107" s="1"/>
  <c r="BG36" i="107"/>
  <c r="BE36" i="107"/>
  <c r="BD36" i="107"/>
  <c r="BC36" i="107"/>
  <c r="BB36" i="107"/>
  <c r="BA36" i="107"/>
  <c r="AZ36" i="107"/>
  <c r="AY36" i="107"/>
  <c r="AX36" i="107"/>
  <c r="AW36" i="107"/>
  <c r="AU36" i="107"/>
  <c r="AT36" i="107"/>
  <c r="AS36" i="107"/>
  <c r="AR36" i="107"/>
  <c r="AV36" i="107" s="1"/>
  <c r="AQ36" i="107"/>
  <c r="AP36" i="107"/>
  <c r="AO36" i="107"/>
  <c r="AL36" i="107"/>
  <c r="AK36" i="107"/>
  <c r="AM36" i="107" s="1"/>
  <c r="AJ36" i="107"/>
  <c r="AI36" i="107"/>
  <c r="AH36" i="107"/>
  <c r="AN36" i="107" s="1"/>
  <c r="AG36" i="107"/>
  <c r="C36" i="107"/>
  <c r="B36" i="107"/>
  <c r="BN35" i="107"/>
  <c r="BL35" i="107"/>
  <c r="BK35" i="107"/>
  <c r="I35" i="107" s="1"/>
  <c r="BJ35" i="107"/>
  <c r="H35" i="107" s="1"/>
  <c r="BF35" i="107" s="1"/>
  <c r="BI35" i="107"/>
  <c r="AK35" i="107" s="1"/>
  <c r="AM35" i="107" s="1"/>
  <c r="BH35" i="107"/>
  <c r="G35" i="107" s="1"/>
  <c r="BG35" i="107"/>
  <c r="BE35" i="107"/>
  <c r="BD35" i="107"/>
  <c r="BC35" i="107"/>
  <c r="BB35" i="107"/>
  <c r="BA35" i="107"/>
  <c r="AZ35" i="107"/>
  <c r="AY35" i="107"/>
  <c r="AX35" i="107"/>
  <c r="AW35" i="107"/>
  <c r="AU35" i="107"/>
  <c r="AT35" i="107"/>
  <c r="AS35" i="107"/>
  <c r="AR35" i="107"/>
  <c r="AV35" i="107" s="1"/>
  <c r="AQ35" i="107"/>
  <c r="AP35" i="107"/>
  <c r="AO35" i="107"/>
  <c r="AL35" i="107"/>
  <c r="AJ35" i="107"/>
  <c r="AI35" i="107"/>
  <c r="AH35" i="107"/>
  <c r="AN35" i="107" s="1"/>
  <c r="AG35" i="107"/>
  <c r="C35" i="107"/>
  <c r="B35" i="107"/>
  <c r="BN34" i="107"/>
  <c r="BK34" i="107"/>
  <c r="I34" i="107" s="1"/>
  <c r="BJ34" i="107"/>
  <c r="BI34" i="107"/>
  <c r="AK34" i="107" s="1"/>
  <c r="AM34" i="107" s="1"/>
  <c r="BH34" i="107"/>
  <c r="BG34" i="107"/>
  <c r="BE34" i="107"/>
  <c r="BD34" i="107"/>
  <c r="BC34" i="107"/>
  <c r="BB34" i="107"/>
  <c r="BA34" i="107"/>
  <c r="AZ34" i="107"/>
  <c r="AY34" i="107"/>
  <c r="AX34" i="107"/>
  <c r="AW34" i="107"/>
  <c r="AU34" i="107"/>
  <c r="AT34" i="107"/>
  <c r="AS34" i="107"/>
  <c r="AR34" i="107"/>
  <c r="AV34" i="107" s="1"/>
  <c r="AQ34" i="107"/>
  <c r="AP34" i="107"/>
  <c r="AO34" i="107"/>
  <c r="AL34" i="107"/>
  <c r="AJ34" i="107"/>
  <c r="AI34" i="107"/>
  <c r="AH34" i="107"/>
  <c r="AN34" i="107" s="1"/>
  <c r="AG34" i="107"/>
  <c r="H34" i="107"/>
  <c r="BF34" i="107" s="1"/>
  <c r="G34" i="107"/>
  <c r="C34" i="107"/>
  <c r="B34" i="107"/>
  <c r="BN33" i="107"/>
  <c r="BK33" i="107"/>
  <c r="I33" i="107" s="1"/>
  <c r="BJ33" i="107"/>
  <c r="H33" i="107" s="1"/>
  <c r="BF33" i="107" s="1"/>
  <c r="BI33" i="107"/>
  <c r="BM33" i="107" s="1"/>
  <c r="BH33" i="107"/>
  <c r="BL33" i="107" s="1"/>
  <c r="BG33" i="107"/>
  <c r="BE33" i="107"/>
  <c r="BD33" i="107"/>
  <c r="BC33" i="107"/>
  <c r="BB33" i="107"/>
  <c r="BA33" i="107"/>
  <c r="AZ33" i="107"/>
  <c r="AY33" i="107"/>
  <c r="AX33" i="107"/>
  <c r="AW33" i="107"/>
  <c r="AU33" i="107"/>
  <c r="AT33" i="107"/>
  <c r="AS33" i="107"/>
  <c r="AR33" i="107"/>
  <c r="AV33" i="107" s="1"/>
  <c r="AQ33" i="107"/>
  <c r="AP33" i="107"/>
  <c r="AO33" i="107"/>
  <c r="AL33" i="107"/>
  <c r="AK33" i="107"/>
  <c r="AM33" i="107" s="1"/>
  <c r="AJ33" i="107"/>
  <c r="AI33" i="107"/>
  <c r="AH33" i="107"/>
  <c r="AN33" i="107" s="1"/>
  <c r="AG33" i="107"/>
  <c r="G33" i="107"/>
  <c r="C33" i="107"/>
  <c r="B33" i="107"/>
  <c r="BN32" i="107"/>
  <c r="BK32" i="107"/>
  <c r="I32" i="107" s="1"/>
  <c r="BJ32" i="107"/>
  <c r="H32" i="107" s="1"/>
  <c r="BF32" i="107" s="1"/>
  <c r="BI32" i="107"/>
  <c r="AK32" i="107" s="1"/>
  <c r="AM32" i="107" s="1"/>
  <c r="BH32" i="107"/>
  <c r="BG32" i="107"/>
  <c r="BE32" i="107"/>
  <c r="BD32" i="107"/>
  <c r="BC32" i="107"/>
  <c r="BB32" i="107"/>
  <c r="BA32" i="107"/>
  <c r="AZ32" i="107"/>
  <c r="AY32" i="107"/>
  <c r="AX32" i="107"/>
  <c r="AW32" i="107"/>
  <c r="AU32" i="107"/>
  <c r="AT32" i="107"/>
  <c r="AS32" i="107"/>
  <c r="AR32" i="107"/>
  <c r="AV32" i="107" s="1"/>
  <c r="AQ32" i="107"/>
  <c r="AP32" i="107"/>
  <c r="AO32" i="107"/>
  <c r="AL32" i="107"/>
  <c r="AJ32" i="107"/>
  <c r="AI32" i="107"/>
  <c r="AH32" i="107"/>
  <c r="AN32" i="107" s="1"/>
  <c r="AG32" i="107"/>
  <c r="G32" i="107"/>
  <c r="C32" i="107"/>
  <c r="B32" i="107"/>
  <c r="BN31" i="107"/>
  <c r="BL31" i="107"/>
  <c r="BK31" i="107"/>
  <c r="I31" i="107" s="1"/>
  <c r="BJ31" i="107"/>
  <c r="H31" i="107" s="1"/>
  <c r="BF31" i="107" s="1"/>
  <c r="BI31" i="107"/>
  <c r="AK31" i="107" s="1"/>
  <c r="AM31" i="107" s="1"/>
  <c r="BH31" i="107"/>
  <c r="G31" i="107" s="1"/>
  <c r="BG31" i="107"/>
  <c r="BE31" i="107"/>
  <c r="BD31" i="107"/>
  <c r="BC31" i="107"/>
  <c r="BB31" i="107"/>
  <c r="BA31" i="107"/>
  <c r="AZ31" i="107"/>
  <c r="AY31" i="107"/>
  <c r="AX31" i="107"/>
  <c r="AW31" i="107"/>
  <c r="AU31" i="107"/>
  <c r="AT31" i="107"/>
  <c r="AS31" i="107"/>
  <c r="AR31" i="107"/>
  <c r="AV31" i="107" s="1"/>
  <c r="AQ31" i="107"/>
  <c r="AP31" i="107"/>
  <c r="AO31" i="107"/>
  <c r="AL31" i="107"/>
  <c r="AJ31" i="107"/>
  <c r="AI31" i="107"/>
  <c r="AH31" i="107"/>
  <c r="AN31" i="107" s="1"/>
  <c r="AG31" i="107"/>
  <c r="C31" i="107"/>
  <c r="B31" i="107"/>
  <c r="BU30" i="107"/>
  <c r="BT30" i="107"/>
  <c r="BS30" i="107"/>
  <c r="BR30" i="107"/>
  <c r="BQ30" i="107"/>
  <c r="BN30" i="107"/>
  <c r="BK30" i="107"/>
  <c r="I30" i="107" s="1"/>
  <c r="BJ30" i="107"/>
  <c r="H30" i="107" s="1"/>
  <c r="BF30" i="107" s="1"/>
  <c r="BI30" i="107"/>
  <c r="AK30" i="107" s="1"/>
  <c r="AM30" i="107" s="1"/>
  <c r="BH30" i="107"/>
  <c r="G30" i="107" s="1"/>
  <c r="BG30" i="107"/>
  <c r="BE30" i="107"/>
  <c r="BD30" i="107"/>
  <c r="BC30" i="107"/>
  <c r="BB30" i="107"/>
  <c r="BA30" i="107"/>
  <c r="AZ30" i="107"/>
  <c r="AY30" i="107"/>
  <c r="AX30" i="107"/>
  <c r="AW30" i="107"/>
  <c r="AV30" i="107"/>
  <c r="AU30" i="107"/>
  <c r="AT30" i="107"/>
  <c r="AS30" i="107"/>
  <c r="AR30" i="107"/>
  <c r="AQ30" i="107"/>
  <c r="AP30" i="107"/>
  <c r="AO30" i="107"/>
  <c r="AL30" i="107"/>
  <c r="AJ30" i="107"/>
  <c r="AI30" i="107"/>
  <c r="AH30" i="107"/>
  <c r="AN30" i="107" s="1"/>
  <c r="AG30" i="107"/>
  <c r="C30" i="107"/>
  <c r="B30" i="107"/>
  <c r="BU29" i="107"/>
  <c r="BT29" i="107"/>
  <c r="BS29" i="107"/>
  <c r="BR29" i="107"/>
  <c r="BQ29" i="107"/>
  <c r="BN29" i="107"/>
  <c r="BL29" i="107"/>
  <c r="BK29" i="107"/>
  <c r="I29" i="107" s="1"/>
  <c r="BJ29" i="107"/>
  <c r="H29" i="107" s="1"/>
  <c r="BF29" i="107" s="1"/>
  <c r="BI29" i="107"/>
  <c r="BM29" i="107" s="1"/>
  <c r="BH29" i="107"/>
  <c r="BG29" i="107"/>
  <c r="BE29" i="107"/>
  <c r="BD29" i="107"/>
  <c r="BC29" i="107"/>
  <c r="BB29" i="107"/>
  <c r="BA29" i="107"/>
  <c r="AZ29" i="107"/>
  <c r="AY29" i="107"/>
  <c r="AX29" i="107"/>
  <c r="AW29" i="107"/>
  <c r="AU29" i="107"/>
  <c r="AT29" i="107"/>
  <c r="AS29" i="107"/>
  <c r="AR29" i="107"/>
  <c r="AV29" i="107" s="1"/>
  <c r="AQ29" i="107"/>
  <c r="AP29" i="107"/>
  <c r="AO29" i="107"/>
  <c r="AL29" i="107"/>
  <c r="AJ29" i="107"/>
  <c r="AI29" i="107"/>
  <c r="AH29" i="107"/>
  <c r="AN29" i="107" s="1"/>
  <c r="AG29" i="107"/>
  <c r="G29" i="107"/>
  <c r="C29" i="107"/>
  <c r="B29" i="107"/>
  <c r="BU28" i="107"/>
  <c r="BT28" i="107"/>
  <c r="BS28" i="107"/>
  <c r="BR28" i="107"/>
  <c r="BQ28" i="107"/>
  <c r="BN28" i="107"/>
  <c r="BL28" i="107"/>
  <c r="BK28" i="107"/>
  <c r="I28" i="107" s="1"/>
  <c r="BJ28" i="107"/>
  <c r="BI28" i="107"/>
  <c r="AK28" i="107" s="1"/>
  <c r="AM28" i="107" s="1"/>
  <c r="BH28" i="107"/>
  <c r="G28" i="107" s="1"/>
  <c r="BG28" i="107"/>
  <c r="BE28" i="107"/>
  <c r="BD28" i="107"/>
  <c r="BC28" i="107"/>
  <c r="BB28" i="107"/>
  <c r="BA28" i="107"/>
  <c r="AZ28" i="107"/>
  <c r="AY28" i="107"/>
  <c r="AX28" i="107"/>
  <c r="AW28" i="107"/>
  <c r="AU28" i="107"/>
  <c r="AT28" i="107"/>
  <c r="AS28" i="107"/>
  <c r="AR28" i="107"/>
  <c r="AV28" i="107" s="1"/>
  <c r="AQ28" i="107"/>
  <c r="AP28" i="107"/>
  <c r="AO28" i="107"/>
  <c r="AL28" i="107"/>
  <c r="AJ28" i="107"/>
  <c r="AI28" i="107"/>
  <c r="AH28" i="107"/>
  <c r="AN28" i="107" s="1"/>
  <c r="AG28" i="107"/>
  <c r="H28" i="107"/>
  <c r="BF28" i="107" s="1"/>
  <c r="C28" i="107"/>
  <c r="B28" i="107"/>
  <c r="BU27" i="107"/>
  <c r="BT27" i="107"/>
  <c r="BS27" i="107"/>
  <c r="BR27" i="107"/>
  <c r="BQ27" i="107"/>
  <c r="BN27" i="107"/>
  <c r="BK27" i="107"/>
  <c r="I27" i="107" s="1"/>
  <c r="BJ27" i="107"/>
  <c r="H27" i="107" s="1"/>
  <c r="BF27" i="107" s="1"/>
  <c r="BI27" i="107"/>
  <c r="AK27" i="107" s="1"/>
  <c r="AM27" i="107" s="1"/>
  <c r="BH27" i="107"/>
  <c r="G27" i="107" s="1"/>
  <c r="BG27" i="107"/>
  <c r="BE27" i="107"/>
  <c r="BD27" i="107"/>
  <c r="BC27" i="107"/>
  <c r="BB27" i="107"/>
  <c r="BA27" i="107"/>
  <c r="AZ27" i="107"/>
  <c r="AY27" i="107"/>
  <c r="AX27" i="107"/>
  <c r="AW27" i="107"/>
  <c r="AU27" i="107"/>
  <c r="AT27" i="107"/>
  <c r="AS27" i="107"/>
  <c r="AR27" i="107"/>
  <c r="AV27" i="107" s="1"/>
  <c r="AQ27" i="107"/>
  <c r="AP27" i="107"/>
  <c r="AO27" i="107"/>
  <c r="AL27" i="107"/>
  <c r="AJ27" i="107"/>
  <c r="AI27" i="107"/>
  <c r="AH27" i="107"/>
  <c r="AN27" i="107" s="1"/>
  <c r="AG27" i="107"/>
  <c r="C27" i="107"/>
  <c r="B27" i="107"/>
  <c r="BU26" i="107"/>
  <c r="BT26" i="107"/>
  <c r="BS26" i="107"/>
  <c r="BR26" i="107"/>
  <c r="BQ26" i="107"/>
  <c r="BN26" i="107"/>
  <c r="BL26" i="107"/>
  <c r="BK26" i="107"/>
  <c r="I26" i="107" s="1"/>
  <c r="BJ26" i="107"/>
  <c r="H26" i="107" s="1"/>
  <c r="BF26" i="107" s="1"/>
  <c r="BI26" i="107"/>
  <c r="BM26" i="107" s="1"/>
  <c r="BH26" i="107"/>
  <c r="BG26" i="107"/>
  <c r="BE26" i="107"/>
  <c r="BD26" i="107"/>
  <c r="BC26" i="107"/>
  <c r="BB26" i="107"/>
  <c r="BA26" i="107"/>
  <c r="AZ26" i="107"/>
  <c r="AY26" i="107"/>
  <c r="AX26" i="107"/>
  <c r="AW26" i="107"/>
  <c r="AU26" i="107"/>
  <c r="AT26" i="107"/>
  <c r="AS26" i="107"/>
  <c r="AR26" i="107"/>
  <c r="AV26" i="107" s="1"/>
  <c r="AQ26" i="107"/>
  <c r="AP26" i="107"/>
  <c r="AO26" i="107"/>
  <c r="AL26" i="107"/>
  <c r="AJ26" i="107"/>
  <c r="AI26" i="107"/>
  <c r="AH26" i="107"/>
  <c r="AN26" i="107" s="1"/>
  <c r="AG26" i="107"/>
  <c r="G26" i="107"/>
  <c r="C26" i="107"/>
  <c r="B26" i="107"/>
  <c r="BU25" i="107"/>
  <c r="BT25" i="107"/>
  <c r="BS25" i="107"/>
  <c r="BR25" i="107"/>
  <c r="BQ25" i="107"/>
  <c r="BL25" i="107"/>
  <c r="BH25" i="107"/>
  <c r="BE25" i="107"/>
  <c r="BD25" i="107"/>
  <c r="BC25" i="107"/>
  <c r="AU25" i="107"/>
  <c r="AS25" i="107"/>
  <c r="AQ25" i="107"/>
  <c r="AO25" i="107"/>
  <c r="AN25" i="107"/>
  <c r="AL25" i="107"/>
  <c r="AH25" i="107"/>
  <c r="AG25" i="107"/>
  <c r="BU24" i="107"/>
  <c r="BT24" i="107"/>
  <c r="BS24" i="107"/>
  <c r="BR24" i="107"/>
  <c r="BQ24" i="107"/>
  <c r="BH24" i="107"/>
  <c r="BE24" i="107"/>
  <c r="BD24" i="107"/>
  <c r="BC24" i="107"/>
  <c r="AU24" i="107"/>
  <c r="AS24" i="107"/>
  <c r="AQ24" i="107"/>
  <c r="AI24" i="107" s="1"/>
  <c r="C24" i="107" s="1"/>
  <c r="AO24" i="107"/>
  <c r="AL24" i="107"/>
  <c r="AH24" i="107"/>
  <c r="AN24" i="107" s="1"/>
  <c r="AG24" i="107"/>
  <c r="BU23" i="107"/>
  <c r="BT23" i="107"/>
  <c r="BS23" i="107"/>
  <c r="BR23" i="107"/>
  <c r="BQ23" i="107"/>
  <c r="BL23" i="107"/>
  <c r="BK23" i="107"/>
  <c r="I23" i="107" s="1"/>
  <c r="BI23" i="107"/>
  <c r="BN23" i="107" s="1"/>
  <c r="BH23" i="107"/>
  <c r="BE23" i="107"/>
  <c r="BD23" i="107"/>
  <c r="BC23" i="107"/>
  <c r="BA23" i="107"/>
  <c r="AY23" i="107"/>
  <c r="AW23" i="107"/>
  <c r="AU23" i="107"/>
  <c r="AS23" i="107"/>
  <c r="AQ23" i="107"/>
  <c r="AI23" i="107" s="1"/>
  <c r="C23" i="107" s="1"/>
  <c r="AO23" i="107"/>
  <c r="AL23" i="107"/>
  <c r="AH23" i="107"/>
  <c r="AN23" i="107" s="1"/>
  <c r="AG23" i="107"/>
  <c r="G23" i="107"/>
  <c r="BB23" i="107" s="1"/>
  <c r="BU22" i="107"/>
  <c r="BT22" i="107"/>
  <c r="BS22" i="107"/>
  <c r="BR22" i="107"/>
  <c r="BQ22" i="107"/>
  <c r="BL22" i="107"/>
  <c r="BJ22" i="107"/>
  <c r="H22" i="107" s="1"/>
  <c r="BF22" i="107" s="1"/>
  <c r="BH22" i="107"/>
  <c r="BE22" i="107"/>
  <c r="BD22" i="107"/>
  <c r="BC22" i="107"/>
  <c r="AU22" i="107"/>
  <c r="AS22" i="107"/>
  <c r="AQ22" i="107"/>
  <c r="AO22" i="107"/>
  <c r="AL22" i="107"/>
  <c r="AH22" i="107"/>
  <c r="AN22" i="107" s="1"/>
  <c r="AG22" i="107"/>
  <c r="B22" i="107"/>
  <c r="BK21" i="107"/>
  <c r="I21" i="107" s="1"/>
  <c r="BH21" i="107"/>
  <c r="BE21" i="107"/>
  <c r="BD21" i="107"/>
  <c r="BC21" i="107"/>
  <c r="AY21" i="107"/>
  <c r="AU21" i="107"/>
  <c r="AS21" i="107"/>
  <c r="AQ21" i="107"/>
  <c r="AI21" i="107" s="1"/>
  <c r="C21" i="107" s="1"/>
  <c r="AO21" i="107"/>
  <c r="AL21" i="107"/>
  <c r="AH21" i="107"/>
  <c r="AN21" i="107" s="1"/>
  <c r="AG21" i="107"/>
  <c r="G21" i="107"/>
  <c r="BB21" i="107" s="1"/>
  <c r="BH20" i="107"/>
  <c r="BL20" i="107" s="1"/>
  <c r="BE20" i="107"/>
  <c r="BD20" i="107"/>
  <c r="BC20" i="107"/>
  <c r="BA20" i="107"/>
  <c r="AU20" i="107"/>
  <c r="AS20" i="107"/>
  <c r="AQ20" i="107"/>
  <c r="AI20" i="107" s="1"/>
  <c r="C20" i="107" s="1"/>
  <c r="AO20" i="107"/>
  <c r="AL20" i="107"/>
  <c r="AH20" i="107"/>
  <c r="AN20" i="107" s="1"/>
  <c r="AG20" i="107"/>
  <c r="G20" i="107"/>
  <c r="BB20" i="107" s="1"/>
  <c r="BH19" i="107"/>
  <c r="BE19" i="107"/>
  <c r="BD19" i="107"/>
  <c r="BC19" i="107"/>
  <c r="AU19" i="107"/>
  <c r="AS19" i="107"/>
  <c r="AQ19" i="107"/>
  <c r="AO19" i="107"/>
  <c r="AL19" i="107"/>
  <c r="AH19" i="107"/>
  <c r="AN19" i="107" s="1"/>
  <c r="AG19" i="107"/>
  <c r="BL18" i="107"/>
  <c r="BJ18" i="107"/>
  <c r="H18" i="107" s="1"/>
  <c r="BF18" i="107" s="1"/>
  <c r="BH18" i="107"/>
  <c r="BE18" i="107"/>
  <c r="BD18" i="107"/>
  <c r="BC18" i="107"/>
  <c r="AU18" i="107"/>
  <c r="AS18" i="107"/>
  <c r="AQ18" i="107"/>
  <c r="AO18" i="107"/>
  <c r="AL18" i="107"/>
  <c r="AH18" i="107"/>
  <c r="AN18" i="107" s="1"/>
  <c r="AG18" i="107"/>
  <c r="B18" i="107"/>
  <c r="BL17" i="107"/>
  <c r="BK17" i="107"/>
  <c r="I17" i="107" s="1"/>
  <c r="BH17" i="107"/>
  <c r="BE17" i="107"/>
  <c r="BD17" i="107"/>
  <c r="BC17" i="107"/>
  <c r="AY17" i="107"/>
  <c r="AU17" i="107"/>
  <c r="AS17" i="107"/>
  <c r="AQ17" i="107"/>
  <c r="AI17" i="107" s="1"/>
  <c r="C17" i="107" s="1"/>
  <c r="AO17" i="107"/>
  <c r="AL17" i="107"/>
  <c r="AH17" i="107"/>
  <c r="AN17" i="107" s="1"/>
  <c r="AG17" i="107"/>
  <c r="G17" i="107"/>
  <c r="BB17" i="107" s="1"/>
  <c r="BH16" i="107"/>
  <c r="BL16" i="107" s="1"/>
  <c r="BE16" i="107"/>
  <c r="BD16" i="107"/>
  <c r="BC16" i="107"/>
  <c r="BA16" i="107"/>
  <c r="AU16" i="107"/>
  <c r="AS16" i="107"/>
  <c r="AQ16" i="107"/>
  <c r="AO16" i="107"/>
  <c r="AL16" i="107"/>
  <c r="AH16" i="107"/>
  <c r="AN16" i="107" s="1"/>
  <c r="AG16" i="107"/>
  <c r="G16" i="107"/>
  <c r="BB16" i="107" s="1"/>
  <c r="BH15" i="107"/>
  <c r="BE15" i="107"/>
  <c r="BD15" i="107"/>
  <c r="BC15" i="107"/>
  <c r="AU15" i="107"/>
  <c r="AS15" i="107"/>
  <c r="AQ15" i="107"/>
  <c r="AO15" i="107"/>
  <c r="AL15" i="107"/>
  <c r="AH15" i="107"/>
  <c r="AN15" i="107" s="1"/>
  <c r="AG15" i="107"/>
  <c r="BL14" i="107"/>
  <c r="BH14" i="107"/>
  <c r="BE14" i="107"/>
  <c r="BD14" i="107"/>
  <c r="BC14" i="107"/>
  <c r="AU14" i="107"/>
  <c r="AS14" i="107"/>
  <c r="AQ14" i="107"/>
  <c r="AO14" i="107"/>
  <c r="AL14" i="107"/>
  <c r="AH14" i="107"/>
  <c r="AN14" i="107" s="1"/>
  <c r="AG14" i="107"/>
  <c r="BL13" i="107"/>
  <c r="BK13" i="107"/>
  <c r="I13" i="107" s="1"/>
  <c r="BJ13" i="107"/>
  <c r="H13" i="107" s="1"/>
  <c r="BF13" i="107" s="1"/>
  <c r="BH13" i="107"/>
  <c r="BE13" i="107"/>
  <c r="BD13" i="107"/>
  <c r="BC13" i="107"/>
  <c r="AY13" i="107"/>
  <c r="AX13" i="107"/>
  <c r="AU13" i="107"/>
  <c r="AS13" i="107"/>
  <c r="AQ13" i="107"/>
  <c r="AO13" i="107"/>
  <c r="AL13" i="107"/>
  <c r="AH13" i="107"/>
  <c r="AN13" i="107" s="1"/>
  <c r="AG13" i="107"/>
  <c r="G13" i="107"/>
  <c r="BB13" i="107" s="1"/>
  <c r="B13" i="107"/>
  <c r="BH12" i="107"/>
  <c r="BL12" i="107" s="1"/>
  <c r="BE12" i="107"/>
  <c r="BD12" i="107"/>
  <c r="BC12" i="107"/>
  <c r="BA12" i="107"/>
  <c r="AU12" i="107"/>
  <c r="AS12" i="107"/>
  <c r="AQ12" i="107"/>
  <c r="AI12" i="107" s="1"/>
  <c r="C12" i="107" s="1"/>
  <c r="AO12" i="107"/>
  <c r="AL12" i="107"/>
  <c r="AH12" i="107"/>
  <c r="AN12" i="107" s="1"/>
  <c r="AG12" i="107"/>
  <c r="G12" i="107"/>
  <c r="BB12" i="107" s="1"/>
  <c r="BL11" i="107"/>
  <c r="BH11" i="107"/>
  <c r="BE11" i="107"/>
  <c r="BD11" i="107"/>
  <c r="BD5" i="107" s="1"/>
  <c r="BC11" i="107"/>
  <c r="AU11" i="107"/>
  <c r="AS11" i="107"/>
  <c r="AQ11" i="107"/>
  <c r="AO11" i="107"/>
  <c r="AL11" i="107"/>
  <c r="AH11" i="107"/>
  <c r="AN11" i="107" s="1"/>
  <c r="AG11" i="107"/>
  <c r="BL10" i="107"/>
  <c r="BH10" i="107"/>
  <c r="BE10" i="107"/>
  <c r="BD10" i="107"/>
  <c r="BC10" i="107"/>
  <c r="AU10" i="107"/>
  <c r="AU42" i="107" s="1"/>
  <c r="AS10" i="107"/>
  <c r="AQ10" i="107"/>
  <c r="AO10" i="107"/>
  <c r="AL10" i="107"/>
  <c r="AJ10" i="107"/>
  <c r="AJ11" i="107" s="1"/>
  <c r="AJ12" i="107" s="1"/>
  <c r="AJ13" i="107" s="1"/>
  <c r="AH10" i="107"/>
  <c r="AN10" i="107" s="1"/>
  <c r="AG10" i="107"/>
  <c r="B10" i="107"/>
  <c r="BL9" i="107"/>
  <c r="BK9" i="107"/>
  <c r="I9" i="107" s="1"/>
  <c r="BJ9" i="107"/>
  <c r="H9" i="107" s="1"/>
  <c r="BF9" i="107" s="1"/>
  <c r="BH9" i="107"/>
  <c r="BE9" i="107"/>
  <c r="BD9" i="107"/>
  <c r="BC9" i="107"/>
  <c r="BC5" i="107" s="1"/>
  <c r="AY9" i="107"/>
  <c r="AX9" i="107"/>
  <c r="AU9" i="107"/>
  <c r="AV44" i="107" s="1"/>
  <c r="AS9" i="107"/>
  <c r="AS42" i="107" s="1"/>
  <c r="AT42" i="107" s="1"/>
  <c r="AQ9" i="107"/>
  <c r="AQ42" i="107" s="1"/>
  <c r="AO9" i="107"/>
  <c r="AL9" i="107"/>
  <c r="AJ9" i="107"/>
  <c r="AH9" i="107"/>
  <c r="AN9" i="107" s="1"/>
  <c r="AG9" i="107"/>
  <c r="G9" i="107"/>
  <c r="BB9" i="107" s="1"/>
  <c r="B9" i="107"/>
  <c r="AV7" i="107"/>
  <c r="AK29" i="107" l="1"/>
  <c r="AM29" i="107" s="1"/>
  <c r="AK23" i="107"/>
  <c r="AK37" i="107"/>
  <c r="AM37" i="107" s="1"/>
  <c r="AK26" i="107"/>
  <c r="AM26" i="107" s="1"/>
  <c r="AV45" i="107"/>
  <c r="BM34" i="107"/>
  <c r="BM32" i="107"/>
  <c r="BM38" i="107"/>
  <c r="AZ23" i="107"/>
  <c r="BE5" i="107"/>
  <c r="BM13" i="107"/>
  <c r="AN7" i="107"/>
  <c r="AN42" i="107"/>
  <c r="AJ14" i="107"/>
  <c r="AJ15" i="107" s="1"/>
  <c r="AJ16" i="107" s="1"/>
  <c r="AJ17" i="107" s="1"/>
  <c r="AJ18" i="107" s="1"/>
  <c r="E42" i="107"/>
  <c r="AV42" i="107"/>
  <c r="Q6" i="107"/>
  <c r="AI19" i="107"/>
  <c r="C19" i="107" s="1"/>
  <c r="AI15" i="107"/>
  <c r="C15" i="107" s="1"/>
  <c r="AI11" i="107"/>
  <c r="C11" i="107" s="1"/>
  <c r="AI25" i="107"/>
  <c r="C25" i="107" s="1"/>
  <c r="AI14" i="107"/>
  <c r="C14" i="107" s="1"/>
  <c r="AI10" i="107"/>
  <c r="C10" i="107" s="1"/>
  <c r="AI16" i="107"/>
  <c r="C16" i="107" s="1"/>
  <c r="BM28" i="107"/>
  <c r="BM31" i="107"/>
  <c r="BM35" i="107"/>
  <c r="BM39" i="107"/>
  <c r="G10" i="107"/>
  <c r="G14" i="107"/>
  <c r="G18" i="107"/>
  <c r="G22" i="107"/>
  <c r="G25" i="107"/>
  <c r="B11" i="107"/>
  <c r="AW12" i="107"/>
  <c r="BI12" i="107"/>
  <c r="BL15" i="107"/>
  <c r="AW16" i="107"/>
  <c r="BI16" i="107"/>
  <c r="AZ16" i="107" s="1"/>
  <c r="BL19" i="107"/>
  <c r="AW20" i="107"/>
  <c r="BI20" i="107"/>
  <c r="BL32" i="107"/>
  <c r="BL36" i="107"/>
  <c r="BL40" i="107"/>
  <c r="BL24" i="107"/>
  <c r="BL27" i="107"/>
  <c r="BL30" i="107"/>
  <c r="BM36" i="107"/>
  <c r="BM40" i="107"/>
  <c r="G11" i="107"/>
  <c r="AY12" i="107"/>
  <c r="BK12" i="107"/>
  <c r="I12" i="107" s="1"/>
  <c r="G15" i="107"/>
  <c r="AY16" i="107"/>
  <c r="BK16" i="107"/>
  <c r="I16" i="107" s="1"/>
  <c r="G19" i="107"/>
  <c r="AY20" i="107"/>
  <c r="BK20" i="107"/>
  <c r="I20" i="107" s="1"/>
  <c r="BM27" i="107"/>
  <c r="BM30" i="107"/>
  <c r="AW9" i="107"/>
  <c r="BI9" i="107"/>
  <c r="B12" i="107"/>
  <c r="AW13" i="107"/>
  <c r="BI13" i="107"/>
  <c r="AZ13" i="107" s="1"/>
  <c r="AW17" i="107"/>
  <c r="BI17" i="107"/>
  <c r="AZ20" i="107"/>
  <c r="AW21" i="107"/>
  <c r="BI21" i="107"/>
  <c r="AZ21" i="107" s="1"/>
  <c r="AX23" i="107"/>
  <c r="BJ23" i="107"/>
  <c r="H23" i="107" s="1"/>
  <c r="BF23" i="107" s="1"/>
  <c r="G24" i="107"/>
  <c r="BL21" i="107"/>
  <c r="BM23" i="107"/>
  <c r="BL34" i="107"/>
  <c r="BL38" i="107"/>
  <c r="BA9" i="107"/>
  <c r="BA13" i="107"/>
  <c r="BA17" i="107"/>
  <c r="BA21" i="107"/>
  <c r="AV46" i="107" l="1"/>
  <c r="AM23" i="107"/>
  <c r="AR23" i="107"/>
  <c r="AV23" i="107" s="1"/>
  <c r="AT23" i="107"/>
  <c r="AJ19" i="107"/>
  <c r="AJ20" i="107" s="1"/>
  <c r="AJ21" i="107" s="1"/>
  <c r="AJ22" i="107" s="1"/>
  <c r="BN9" i="107"/>
  <c r="AK9" i="107"/>
  <c r="BB11" i="107"/>
  <c r="BA11" i="107"/>
  <c r="BK11" i="107"/>
  <c r="I11" i="107" s="1"/>
  <c r="AY11" i="107"/>
  <c r="BI11" i="107"/>
  <c r="AW11" i="107"/>
  <c r="BN17" i="107"/>
  <c r="BJ17" i="107"/>
  <c r="H17" i="107" s="1"/>
  <c r="BF17" i="107" s="1"/>
  <c r="AK17" i="107"/>
  <c r="BN12" i="107"/>
  <c r="BM12" i="107"/>
  <c r="BJ12" i="107"/>
  <c r="H12" i="107" s="1"/>
  <c r="BF12" i="107" s="1"/>
  <c r="AK12" i="107"/>
  <c r="BM21" i="107"/>
  <c r="AZ9" i="107"/>
  <c r="BB19" i="107"/>
  <c r="BA19" i="107"/>
  <c r="BK19" i="107"/>
  <c r="I19" i="107" s="1"/>
  <c r="AY19" i="107"/>
  <c r="BI19" i="107"/>
  <c r="AZ19" i="107" s="1"/>
  <c r="AW19" i="107"/>
  <c r="BK14" i="107"/>
  <c r="I14" i="107" s="1"/>
  <c r="AY14" i="107"/>
  <c r="BI14" i="107"/>
  <c r="AW14" i="107"/>
  <c r="BB14" i="107"/>
  <c r="BA14" i="107"/>
  <c r="AZ14" i="107"/>
  <c r="B14" i="107"/>
  <c r="BB24" i="107"/>
  <c r="BA24" i="107"/>
  <c r="AZ24" i="107"/>
  <c r="BK24" i="107"/>
  <c r="I24" i="107" s="1"/>
  <c r="AY24" i="107"/>
  <c r="BI24" i="107"/>
  <c r="AW24" i="107"/>
  <c r="BK10" i="107"/>
  <c r="I10" i="107" s="1"/>
  <c r="AY10" i="107"/>
  <c r="BI10" i="107"/>
  <c r="AZ10" i="107" s="1"/>
  <c r="AW10" i="107"/>
  <c r="BB10" i="107"/>
  <c r="BB5" i="107" s="1"/>
  <c r="BA10" i="107"/>
  <c r="BA5" i="107" s="1"/>
  <c r="BM9" i="107"/>
  <c r="AZ17" i="107"/>
  <c r="BK25" i="107"/>
  <c r="I25" i="107" s="1"/>
  <c r="AY25" i="107"/>
  <c r="BI25" i="107"/>
  <c r="AW25" i="107"/>
  <c r="BB25" i="107"/>
  <c r="BA25" i="107"/>
  <c r="AZ25" i="107"/>
  <c r="BN20" i="107"/>
  <c r="BM20" i="107"/>
  <c r="BJ20" i="107"/>
  <c r="H20" i="107" s="1"/>
  <c r="BF20" i="107" s="1"/>
  <c r="AK20" i="107"/>
  <c r="BK22" i="107"/>
  <c r="I22" i="107" s="1"/>
  <c r="AY22" i="107"/>
  <c r="AX22" i="107"/>
  <c r="BI22" i="107"/>
  <c r="AW22" i="107"/>
  <c r="BB22" i="107"/>
  <c r="BA22" i="107"/>
  <c r="AZ22" i="107"/>
  <c r="BK18" i="107"/>
  <c r="I18" i="107" s="1"/>
  <c r="AY18" i="107"/>
  <c r="AX18" i="107"/>
  <c r="BI18" i="107"/>
  <c r="AZ18" i="107" s="1"/>
  <c r="AW18" i="107"/>
  <c r="BB18" i="107"/>
  <c r="BA18" i="107"/>
  <c r="BN13" i="107"/>
  <c r="AK13" i="107"/>
  <c r="AZ12" i="107"/>
  <c r="BB15" i="107"/>
  <c r="BA15" i="107"/>
  <c r="BK15" i="107"/>
  <c r="I15" i="107" s="1"/>
  <c r="AY15" i="107"/>
  <c r="BI15" i="107"/>
  <c r="AZ15" i="107" s="1"/>
  <c r="AW15" i="107"/>
  <c r="BN16" i="107"/>
  <c r="BM16" i="107"/>
  <c r="BJ16" i="107"/>
  <c r="H16" i="107" s="1"/>
  <c r="BF16" i="107" s="1"/>
  <c r="AK16" i="107"/>
  <c r="BM17" i="107"/>
  <c r="BN21" i="107"/>
  <c r="BJ21" i="107"/>
  <c r="H21" i="107" s="1"/>
  <c r="BF21" i="107" s="1"/>
  <c r="AK21" i="107"/>
  <c r="AP12" i="107"/>
  <c r="AK18" i="107" l="1"/>
  <c r="BN18" i="107"/>
  <c r="BM18" i="107"/>
  <c r="BJ11" i="107"/>
  <c r="H11" i="107" s="1"/>
  <c r="AK11" i="107"/>
  <c r="BN11" i="107"/>
  <c r="BM11" i="107"/>
  <c r="AM9" i="107"/>
  <c r="AT9" i="107"/>
  <c r="AR9" i="107"/>
  <c r="BJ24" i="107"/>
  <c r="H24" i="107" s="1"/>
  <c r="BF24" i="107" s="1"/>
  <c r="AK24" i="107"/>
  <c r="BN24" i="107"/>
  <c r="BM24" i="107"/>
  <c r="AM17" i="107"/>
  <c r="AX17" i="107"/>
  <c r="AT17" i="107"/>
  <c r="AR17" i="107"/>
  <c r="AV17" i="107" s="1"/>
  <c r="AR20" i="107"/>
  <c r="AV20" i="107" s="1"/>
  <c r="AM20" i="107"/>
  <c r="AT20" i="107"/>
  <c r="AX20" i="107"/>
  <c r="AR16" i="107"/>
  <c r="AV16" i="107" s="1"/>
  <c r="AM16" i="107"/>
  <c r="AT16" i="107"/>
  <c r="AX16" i="107"/>
  <c r="BJ14" i="107"/>
  <c r="H14" i="107" s="1"/>
  <c r="BF14" i="107" s="1"/>
  <c r="AK14" i="107"/>
  <c r="BM14" i="107"/>
  <c r="BN14" i="107"/>
  <c r="AM13" i="107"/>
  <c r="AP13" i="107" s="1"/>
  <c r="BG13" i="107" s="1"/>
  <c r="AT13" i="107"/>
  <c r="AR13" i="107"/>
  <c r="AV13" i="107" s="1"/>
  <c r="AZ5" i="107"/>
  <c r="AJ23" i="107"/>
  <c r="BJ15" i="107"/>
  <c r="H15" i="107" s="1"/>
  <c r="BF15" i="107" s="1"/>
  <c r="AK15" i="107"/>
  <c r="BM15" i="107"/>
  <c r="BN15" i="107"/>
  <c r="BJ10" i="107"/>
  <c r="H10" i="107" s="1"/>
  <c r="AK10" i="107"/>
  <c r="BN10" i="107"/>
  <c r="BM10" i="107"/>
  <c r="AK22" i="107"/>
  <c r="BN22" i="107"/>
  <c r="BM22" i="107"/>
  <c r="BJ19" i="107"/>
  <c r="H19" i="107" s="1"/>
  <c r="BF19" i="107" s="1"/>
  <c r="AK19" i="107"/>
  <c r="BM19" i="107"/>
  <c r="BN19" i="107"/>
  <c r="AR12" i="107"/>
  <c r="AV12" i="107" s="1"/>
  <c r="AM12" i="107"/>
  <c r="AT12" i="107"/>
  <c r="AX12" i="107"/>
  <c r="BG12" i="107" s="1"/>
  <c r="AM21" i="107"/>
  <c r="AX21" i="107"/>
  <c r="AT21" i="107"/>
  <c r="AR21" i="107"/>
  <c r="AV21" i="107" s="1"/>
  <c r="BJ25" i="107"/>
  <c r="H25" i="107" s="1"/>
  <c r="BF25" i="107" s="1"/>
  <c r="AK25" i="107"/>
  <c r="BM25" i="107"/>
  <c r="BN25" i="107"/>
  <c r="AY5" i="107"/>
  <c r="B15" i="107"/>
  <c r="AZ11" i="107"/>
  <c r="AM14" i="107" l="1"/>
  <c r="AT14" i="107"/>
  <c r="AR14" i="107"/>
  <c r="AV14" i="107" s="1"/>
  <c r="AX14" i="107"/>
  <c r="AP9" i="107"/>
  <c r="BG9" i="107" s="1"/>
  <c r="AM25" i="107"/>
  <c r="AT25" i="107"/>
  <c r="AR25" i="107"/>
  <c r="AV25" i="107" s="1"/>
  <c r="AX25" i="107"/>
  <c r="AT24" i="107"/>
  <c r="AR24" i="107"/>
  <c r="AV24" i="107" s="1"/>
  <c r="AM24" i="107"/>
  <c r="AX24" i="107"/>
  <c r="AT15" i="107"/>
  <c r="AR15" i="107"/>
  <c r="AV15" i="107" s="1"/>
  <c r="AM15" i="107"/>
  <c r="AX15" i="107"/>
  <c r="AT19" i="107"/>
  <c r="AR19" i="107"/>
  <c r="AV19" i="107" s="1"/>
  <c r="AM19" i="107"/>
  <c r="AX19" i="107"/>
  <c r="AM22" i="107"/>
  <c r="AP22" i="107" s="1"/>
  <c r="BG22" i="107" s="1"/>
  <c r="AT22" i="107"/>
  <c r="AR22" i="107"/>
  <c r="AV22" i="107" s="1"/>
  <c r="AP15" i="107"/>
  <c r="B16" i="107"/>
  <c r="AM10" i="107"/>
  <c r="AT10" i="107"/>
  <c r="AR10" i="107"/>
  <c r="AV10" i="107" s="1"/>
  <c r="AX10" i="107"/>
  <c r="AT11" i="107"/>
  <c r="AR11" i="107"/>
  <c r="AV11" i="107" s="1"/>
  <c r="AM11" i="107"/>
  <c r="AX11" i="107"/>
  <c r="BG11" i="107" s="1"/>
  <c r="AP14" i="107"/>
  <c r="BF10" i="107"/>
  <c r="AP10" i="107"/>
  <c r="BF11" i="107"/>
  <c r="AP11" i="107"/>
  <c r="AM18" i="107"/>
  <c r="AP18" i="107" s="1"/>
  <c r="BG18" i="107" s="1"/>
  <c r="AT18" i="107"/>
  <c r="AR18" i="107"/>
  <c r="AV18" i="107" s="1"/>
  <c r="AV9" i="107"/>
  <c r="AJ24" i="107"/>
  <c r="BG14" i="107" l="1"/>
  <c r="AM42" i="107"/>
  <c r="F42" i="107"/>
  <c r="U49" i="107" s="1"/>
  <c r="U50" i="107" s="1"/>
  <c r="Q7" i="107"/>
  <c r="AW5" i="107"/>
  <c r="AJ25" i="107"/>
  <c r="AI18" i="107" s="1"/>
  <c r="C18" i="107" s="1"/>
  <c r="AI13" i="107"/>
  <c r="AR42" i="107"/>
  <c r="AR46" i="107" s="1"/>
  <c r="AP16" i="107"/>
  <c r="BG16" i="107" s="1"/>
  <c r="AX5" i="107"/>
  <c r="BG10" i="107"/>
  <c r="BG15" i="107"/>
  <c r="AM7" i="107"/>
  <c r="J42" i="107" s="1"/>
  <c r="B17" i="107"/>
  <c r="U46" i="107" l="1"/>
  <c r="Q41" i="107" s="1"/>
  <c r="U45" i="107"/>
  <c r="O41" i="107" s="1"/>
  <c r="AR47" i="107"/>
  <c r="B42" i="107" s="1"/>
  <c r="AP17" i="107"/>
  <c r="BG17" i="107" s="1"/>
  <c r="AI22" i="107"/>
  <c r="C22" i="107" s="1"/>
  <c r="AI9" i="107"/>
  <c r="C9" i="107" s="1"/>
  <c r="C13" i="107"/>
  <c r="AI44" i="107"/>
  <c r="B19" i="107"/>
  <c r="AP19" i="107" l="1"/>
  <c r="BG19" i="107" s="1"/>
  <c r="B20" i="107"/>
  <c r="AP20" i="107" l="1"/>
  <c r="BG20" i="107" s="1"/>
  <c r="B21" i="107"/>
  <c r="AP21" i="107" l="1"/>
  <c r="BG21" i="107" s="1"/>
  <c r="B23" i="107"/>
  <c r="AP23" i="107" l="1"/>
  <c r="BG23" i="107" s="1"/>
  <c r="B24" i="107"/>
  <c r="AP24" i="107" l="1"/>
  <c r="BG24" i="107" s="1"/>
  <c r="B25" i="107"/>
  <c r="AP25" i="107" s="1"/>
  <c r="BG25" i="107" s="1"/>
  <c r="U50" i="106" l="1"/>
  <c r="BE46" i="106"/>
  <c r="AT46" i="106"/>
  <c r="AT47" i="106" s="1"/>
  <c r="AR47" i="106" s="1"/>
  <c r="H44" i="106"/>
  <c r="BN42" i="106"/>
  <c r="BL42" i="106"/>
  <c r="BK42" i="106"/>
  <c r="I42" i="106" s="1"/>
  <c r="BJ42" i="106"/>
  <c r="H42" i="106" s="1"/>
  <c r="BF42" i="106" s="1"/>
  <c r="BI42" i="106"/>
  <c r="AK42" i="106" s="1"/>
  <c r="AM42" i="106" s="1"/>
  <c r="BH42" i="106"/>
  <c r="BG42" i="106"/>
  <c r="BE42" i="106"/>
  <c r="BD42" i="106"/>
  <c r="BC42" i="106"/>
  <c r="BB42" i="106"/>
  <c r="BA42" i="106"/>
  <c r="AZ42" i="106"/>
  <c r="AY42" i="106"/>
  <c r="AX42" i="106"/>
  <c r="AW42" i="106"/>
  <c r="AU42" i="106"/>
  <c r="AT42" i="106"/>
  <c r="AS42" i="106"/>
  <c r="AR42" i="106"/>
  <c r="AV42" i="106" s="1"/>
  <c r="AQ42" i="106"/>
  <c r="AP42" i="106"/>
  <c r="AO42" i="106"/>
  <c r="AL42" i="106"/>
  <c r="AJ42" i="106"/>
  <c r="AI42" i="106"/>
  <c r="AH42" i="106"/>
  <c r="AN42" i="106" s="1"/>
  <c r="AG42" i="106"/>
  <c r="G42" i="106"/>
  <c r="C42" i="106"/>
  <c r="B42" i="106"/>
  <c r="BN41" i="106"/>
  <c r="BK41" i="106"/>
  <c r="I41" i="106" s="1"/>
  <c r="BJ41" i="106"/>
  <c r="BI41" i="106"/>
  <c r="BH41" i="106"/>
  <c r="G41" i="106" s="1"/>
  <c r="BG41" i="106"/>
  <c r="BE41" i="106"/>
  <c r="BD41" i="106"/>
  <c r="BC41" i="106"/>
  <c r="BB41" i="106"/>
  <c r="BA41" i="106"/>
  <c r="AZ41" i="106"/>
  <c r="AY41" i="106"/>
  <c r="AX41" i="106"/>
  <c r="AW41" i="106"/>
  <c r="AU41" i="106"/>
  <c r="AT41" i="106"/>
  <c r="AS41" i="106"/>
  <c r="AR41" i="106"/>
  <c r="AV41" i="106" s="1"/>
  <c r="AQ41" i="106"/>
  <c r="AP41" i="106"/>
  <c r="AO41" i="106"/>
  <c r="AL41" i="106"/>
  <c r="AK41" i="106"/>
  <c r="AM41" i="106" s="1"/>
  <c r="AJ41" i="106"/>
  <c r="AI41" i="106"/>
  <c r="AH41" i="106"/>
  <c r="AN41" i="106" s="1"/>
  <c r="AG41" i="106"/>
  <c r="H41" i="106"/>
  <c r="BF41" i="106" s="1"/>
  <c r="C41" i="106"/>
  <c r="B41" i="106"/>
  <c r="BN40" i="106"/>
  <c r="BK40" i="106"/>
  <c r="I40" i="106" s="1"/>
  <c r="BJ40" i="106"/>
  <c r="H40" i="106" s="1"/>
  <c r="BF40" i="106" s="1"/>
  <c r="BI40" i="106"/>
  <c r="AK40" i="106" s="1"/>
  <c r="AM40" i="106" s="1"/>
  <c r="BH40" i="106"/>
  <c r="G40" i="106" s="1"/>
  <c r="BG40" i="106"/>
  <c r="BE40" i="106"/>
  <c r="BD40" i="106"/>
  <c r="BC40" i="106"/>
  <c r="BB40" i="106"/>
  <c r="BA40" i="106"/>
  <c r="AZ40" i="106"/>
  <c r="AY40" i="106"/>
  <c r="AX40" i="106"/>
  <c r="AW40" i="106"/>
  <c r="AU40" i="106"/>
  <c r="AT40" i="106"/>
  <c r="AS40" i="106"/>
  <c r="AR40" i="106"/>
  <c r="AV40" i="106" s="1"/>
  <c r="AQ40" i="106"/>
  <c r="AP40" i="106"/>
  <c r="AO40" i="106"/>
  <c r="AL40" i="106"/>
  <c r="AJ40" i="106"/>
  <c r="AI40" i="106"/>
  <c r="AH40" i="106"/>
  <c r="AN40" i="106" s="1"/>
  <c r="AG40" i="106"/>
  <c r="C40" i="106"/>
  <c r="B40" i="106"/>
  <c r="BN39" i="106"/>
  <c r="BK39" i="106"/>
  <c r="I39" i="106" s="1"/>
  <c r="BJ39" i="106"/>
  <c r="H39" i="106" s="1"/>
  <c r="BF39" i="106" s="1"/>
  <c r="BI39" i="106"/>
  <c r="AK39" i="106" s="1"/>
  <c r="AM39" i="106" s="1"/>
  <c r="BH39" i="106"/>
  <c r="BG39" i="106"/>
  <c r="BE39" i="106"/>
  <c r="BD39" i="106"/>
  <c r="BC39" i="106"/>
  <c r="BB39" i="106"/>
  <c r="BA39" i="106"/>
  <c r="AZ39" i="106"/>
  <c r="AY39" i="106"/>
  <c r="AX39" i="106"/>
  <c r="AW39" i="106"/>
  <c r="AU39" i="106"/>
  <c r="AT39" i="106"/>
  <c r="AS39" i="106"/>
  <c r="AR39" i="106"/>
  <c r="AV39" i="106" s="1"/>
  <c r="AQ39" i="106"/>
  <c r="AP39" i="106"/>
  <c r="AO39" i="106"/>
  <c r="AL39" i="106"/>
  <c r="AJ39" i="106"/>
  <c r="AI39" i="106"/>
  <c r="AH39" i="106"/>
  <c r="AN39" i="106" s="1"/>
  <c r="AG39" i="106"/>
  <c r="G39" i="106"/>
  <c r="C39" i="106"/>
  <c r="B39" i="106"/>
  <c r="BN38" i="106"/>
  <c r="BL38" i="106"/>
  <c r="BK38" i="106"/>
  <c r="I38" i="106" s="1"/>
  <c r="BJ38" i="106"/>
  <c r="H38" i="106" s="1"/>
  <c r="BF38" i="106" s="1"/>
  <c r="BI38" i="106"/>
  <c r="AK38" i="106" s="1"/>
  <c r="AM38" i="106" s="1"/>
  <c r="BH38" i="106"/>
  <c r="BG38" i="106"/>
  <c r="BE38" i="106"/>
  <c r="BD38" i="106"/>
  <c r="BC38" i="106"/>
  <c r="BB38" i="106"/>
  <c r="BA38" i="106"/>
  <c r="AZ38" i="106"/>
  <c r="AY38" i="106"/>
  <c r="AX38" i="106"/>
  <c r="AW38" i="106"/>
  <c r="AU38" i="106"/>
  <c r="AT38" i="106"/>
  <c r="AS38" i="106"/>
  <c r="AR38" i="106"/>
  <c r="AV38" i="106" s="1"/>
  <c r="AQ38" i="106"/>
  <c r="AP38" i="106"/>
  <c r="AO38" i="106"/>
  <c r="AL38" i="106"/>
  <c r="AJ38" i="106"/>
  <c r="AI38" i="106"/>
  <c r="AH38" i="106"/>
  <c r="AN38" i="106" s="1"/>
  <c r="AG38" i="106"/>
  <c r="G38" i="106"/>
  <c r="C38" i="106"/>
  <c r="B38" i="106"/>
  <c r="BN37" i="106"/>
  <c r="BK37" i="106"/>
  <c r="I37" i="106" s="1"/>
  <c r="BJ37" i="106"/>
  <c r="H37" i="106" s="1"/>
  <c r="BF37" i="106" s="1"/>
  <c r="BI37" i="106"/>
  <c r="AK37" i="106" s="1"/>
  <c r="AM37" i="106" s="1"/>
  <c r="BH37" i="106"/>
  <c r="G37" i="106" s="1"/>
  <c r="BG37" i="106"/>
  <c r="BE37" i="106"/>
  <c r="BD37" i="106"/>
  <c r="BC37" i="106"/>
  <c r="BB37" i="106"/>
  <c r="BA37" i="106"/>
  <c r="AZ37" i="106"/>
  <c r="AY37" i="106"/>
  <c r="AX37" i="106"/>
  <c r="AW37" i="106"/>
  <c r="AU37" i="106"/>
  <c r="AT37" i="106"/>
  <c r="AS37" i="106"/>
  <c r="AR37" i="106"/>
  <c r="AV37" i="106" s="1"/>
  <c r="AQ37" i="106"/>
  <c r="AP37" i="106"/>
  <c r="AO37" i="106"/>
  <c r="AL37" i="106"/>
  <c r="AJ37" i="106"/>
  <c r="AI37" i="106"/>
  <c r="AH37" i="106"/>
  <c r="AN37" i="106" s="1"/>
  <c r="AG37" i="106"/>
  <c r="C37" i="106"/>
  <c r="B37" i="106"/>
  <c r="BN36" i="106"/>
  <c r="BK36" i="106"/>
  <c r="I36" i="106" s="1"/>
  <c r="BJ36" i="106"/>
  <c r="H36" i="106" s="1"/>
  <c r="BF36" i="106" s="1"/>
  <c r="BI36" i="106"/>
  <c r="AK36" i="106" s="1"/>
  <c r="AM36" i="106" s="1"/>
  <c r="BH36" i="106"/>
  <c r="G36" i="106" s="1"/>
  <c r="BG36" i="106"/>
  <c r="BE36" i="106"/>
  <c r="BD36" i="106"/>
  <c r="BC36" i="106"/>
  <c r="BB36" i="106"/>
  <c r="BA36" i="106"/>
  <c r="AZ36" i="106"/>
  <c r="AY36" i="106"/>
  <c r="AX36" i="106"/>
  <c r="AW36" i="106"/>
  <c r="AU36" i="106"/>
  <c r="AT36" i="106"/>
  <c r="AS36" i="106"/>
  <c r="AR36" i="106"/>
  <c r="AV36" i="106" s="1"/>
  <c r="AQ36" i="106"/>
  <c r="AP36" i="106"/>
  <c r="AO36" i="106"/>
  <c r="AL36" i="106"/>
  <c r="AJ36" i="106"/>
  <c r="AI36" i="106"/>
  <c r="AH36" i="106"/>
  <c r="AN36" i="106" s="1"/>
  <c r="AG36" i="106"/>
  <c r="C36" i="106"/>
  <c r="B36" i="106"/>
  <c r="BN35" i="106"/>
  <c r="BK35" i="106"/>
  <c r="I35" i="106" s="1"/>
  <c r="BJ35" i="106"/>
  <c r="H35" i="106" s="1"/>
  <c r="BF35" i="106" s="1"/>
  <c r="BI35" i="106"/>
  <c r="AK35" i="106" s="1"/>
  <c r="AM35" i="106" s="1"/>
  <c r="BH35" i="106"/>
  <c r="BG35" i="106"/>
  <c r="BE35" i="106"/>
  <c r="BD35" i="106"/>
  <c r="BC35" i="106"/>
  <c r="BB35" i="106"/>
  <c r="BA35" i="106"/>
  <c r="AZ35" i="106"/>
  <c r="AY35" i="106"/>
  <c r="AX35" i="106"/>
  <c r="AW35" i="106"/>
  <c r="AU35" i="106"/>
  <c r="AT35" i="106"/>
  <c r="AS35" i="106"/>
  <c r="AR35" i="106"/>
  <c r="AV35" i="106" s="1"/>
  <c r="AQ35" i="106"/>
  <c r="AP35" i="106"/>
  <c r="AO35" i="106"/>
  <c r="AL35" i="106"/>
  <c r="AJ35" i="106"/>
  <c r="AI35" i="106"/>
  <c r="AH35" i="106"/>
  <c r="AN35" i="106" s="1"/>
  <c r="AG35" i="106"/>
  <c r="G35" i="106"/>
  <c r="C35" i="106"/>
  <c r="B35" i="106"/>
  <c r="BN34" i="106"/>
  <c r="BL34" i="106"/>
  <c r="BK34" i="106"/>
  <c r="I34" i="106" s="1"/>
  <c r="BJ34" i="106"/>
  <c r="H34" i="106" s="1"/>
  <c r="BF34" i="106" s="1"/>
  <c r="BI34" i="106"/>
  <c r="AK34" i="106" s="1"/>
  <c r="AM34" i="106" s="1"/>
  <c r="BH34" i="106"/>
  <c r="BG34" i="106"/>
  <c r="BE34" i="106"/>
  <c r="BD34" i="106"/>
  <c r="BC34" i="106"/>
  <c r="BB34" i="106"/>
  <c r="BA34" i="106"/>
  <c r="AZ34" i="106"/>
  <c r="AY34" i="106"/>
  <c r="AX34" i="106"/>
  <c r="AW34" i="106"/>
  <c r="AU34" i="106"/>
  <c r="AT34" i="106"/>
  <c r="AS34" i="106"/>
  <c r="AR34" i="106"/>
  <c r="AV34" i="106" s="1"/>
  <c r="AQ34" i="106"/>
  <c r="AP34" i="106"/>
  <c r="AO34" i="106"/>
  <c r="AL34" i="106"/>
  <c r="AJ34" i="106"/>
  <c r="AI34" i="106"/>
  <c r="AH34" i="106"/>
  <c r="AN34" i="106" s="1"/>
  <c r="AG34" i="106"/>
  <c r="G34" i="106"/>
  <c r="C34" i="106"/>
  <c r="B34" i="106"/>
  <c r="BN33" i="106"/>
  <c r="BK33" i="106"/>
  <c r="I33" i="106" s="1"/>
  <c r="BJ33" i="106"/>
  <c r="H33" i="106" s="1"/>
  <c r="BF33" i="106" s="1"/>
  <c r="BI33" i="106"/>
  <c r="AK33" i="106" s="1"/>
  <c r="AM33" i="106" s="1"/>
  <c r="BH33" i="106"/>
  <c r="G33" i="106" s="1"/>
  <c r="BG33" i="106"/>
  <c r="BE33" i="106"/>
  <c r="BD33" i="106"/>
  <c r="BC33" i="106"/>
  <c r="BB33" i="106"/>
  <c r="BA33" i="106"/>
  <c r="AZ33" i="106"/>
  <c r="AY33" i="106"/>
  <c r="AX33" i="106"/>
  <c r="AW33" i="106"/>
  <c r="AU33" i="106"/>
  <c r="AT33" i="106"/>
  <c r="AS33" i="106"/>
  <c r="AR33" i="106"/>
  <c r="AV33" i="106" s="1"/>
  <c r="AQ33" i="106"/>
  <c r="AP33" i="106"/>
  <c r="AO33" i="106"/>
  <c r="AL33" i="106"/>
  <c r="AJ33" i="106"/>
  <c r="AI33" i="106"/>
  <c r="AH33" i="106"/>
  <c r="AN33" i="106" s="1"/>
  <c r="AG33" i="106"/>
  <c r="C33" i="106"/>
  <c r="B33" i="106"/>
  <c r="BU32" i="106"/>
  <c r="BT32" i="106"/>
  <c r="BS32" i="106"/>
  <c r="BR32" i="106"/>
  <c r="BQ32" i="106"/>
  <c r="BN32" i="106"/>
  <c r="BK32" i="106"/>
  <c r="I32" i="106" s="1"/>
  <c r="BJ32" i="106"/>
  <c r="H32" i="106" s="1"/>
  <c r="BF32" i="106" s="1"/>
  <c r="BI32" i="106"/>
  <c r="BM32" i="106" s="1"/>
  <c r="BH32" i="106"/>
  <c r="BL32" i="106" s="1"/>
  <c r="BG32" i="106"/>
  <c r="BE32" i="106"/>
  <c r="BD32" i="106"/>
  <c r="BC32" i="106"/>
  <c r="BB32" i="106"/>
  <c r="BA32" i="106"/>
  <c r="AZ32" i="106"/>
  <c r="AY32" i="106"/>
  <c r="AX32" i="106"/>
  <c r="AW32" i="106"/>
  <c r="AU32" i="106"/>
  <c r="AT32" i="106"/>
  <c r="AS32" i="106"/>
  <c r="AR32" i="106"/>
  <c r="AV32" i="106" s="1"/>
  <c r="AQ32" i="106"/>
  <c r="AP32" i="106"/>
  <c r="AO32" i="106"/>
  <c r="AL32" i="106"/>
  <c r="AJ32" i="106"/>
  <c r="AI32" i="106"/>
  <c r="AH32" i="106"/>
  <c r="AN32" i="106" s="1"/>
  <c r="AG32" i="106"/>
  <c r="G32" i="106"/>
  <c r="C32" i="106"/>
  <c r="B32" i="106"/>
  <c r="BU31" i="106"/>
  <c r="BT31" i="106"/>
  <c r="BS31" i="106"/>
  <c r="BR31" i="106"/>
  <c r="BQ31" i="106"/>
  <c r="BL31" i="106"/>
  <c r="BK31" i="106"/>
  <c r="I31" i="106" s="1"/>
  <c r="BI31" i="106"/>
  <c r="BH31" i="106"/>
  <c r="BE31" i="106"/>
  <c r="BD31" i="106"/>
  <c r="BC31" i="106"/>
  <c r="AY31" i="106"/>
  <c r="AW31" i="106"/>
  <c r="AU31" i="106"/>
  <c r="AS31" i="106"/>
  <c r="AQ31" i="106"/>
  <c r="AO31" i="106"/>
  <c r="AL31" i="106"/>
  <c r="AH31" i="106"/>
  <c r="AN31" i="106" s="1"/>
  <c r="AG31" i="106"/>
  <c r="G31" i="106"/>
  <c r="BB31" i="106" s="1"/>
  <c r="BU30" i="106"/>
  <c r="BT30" i="106"/>
  <c r="BS30" i="106"/>
  <c r="BR30" i="106"/>
  <c r="BQ30" i="106"/>
  <c r="BH30" i="106"/>
  <c r="BE30" i="106"/>
  <c r="BD30" i="106"/>
  <c r="BC30" i="106"/>
  <c r="AU30" i="106"/>
  <c r="AS30" i="106"/>
  <c r="AQ30" i="106"/>
  <c r="AO30" i="106"/>
  <c r="AL30" i="106"/>
  <c r="AH30" i="106"/>
  <c r="AN30" i="106" s="1"/>
  <c r="AG30" i="106"/>
  <c r="BU29" i="106"/>
  <c r="BT29" i="106"/>
  <c r="BS29" i="106"/>
  <c r="BR29" i="106"/>
  <c r="BQ29" i="106"/>
  <c r="BK29" i="106"/>
  <c r="I29" i="106" s="1"/>
  <c r="BI29" i="106"/>
  <c r="BH29" i="106"/>
  <c r="BL29" i="106" s="1"/>
  <c r="BE29" i="106"/>
  <c r="BD29" i="106"/>
  <c r="BC29" i="106"/>
  <c r="BA29" i="106"/>
  <c r="AY29" i="106"/>
  <c r="AW29" i="106"/>
  <c r="AU29" i="106"/>
  <c r="AS29" i="106"/>
  <c r="AQ29" i="106"/>
  <c r="AO29" i="106"/>
  <c r="AL29" i="106"/>
  <c r="AH29" i="106"/>
  <c r="AN29" i="106" s="1"/>
  <c r="AG29" i="106"/>
  <c r="G29" i="106"/>
  <c r="BB29" i="106" s="1"/>
  <c r="BU28" i="106"/>
  <c r="BT28" i="106"/>
  <c r="BS28" i="106"/>
  <c r="BR28" i="106"/>
  <c r="BQ28" i="106"/>
  <c r="BL28" i="106"/>
  <c r="BK28" i="106"/>
  <c r="I28" i="106" s="1"/>
  <c r="BJ28" i="106"/>
  <c r="H28" i="106" s="1"/>
  <c r="BF28" i="106" s="1"/>
  <c r="BI28" i="106"/>
  <c r="BH28" i="106"/>
  <c r="BE28" i="106"/>
  <c r="BD28" i="106"/>
  <c r="BC28" i="106"/>
  <c r="AY28" i="106"/>
  <c r="AW28" i="106"/>
  <c r="AU28" i="106"/>
  <c r="AS28" i="106"/>
  <c r="AQ28" i="106"/>
  <c r="AO28" i="106"/>
  <c r="AL28" i="106"/>
  <c r="AH28" i="106"/>
  <c r="AN28" i="106" s="1"/>
  <c r="AG28" i="106"/>
  <c r="G28" i="106"/>
  <c r="BB28" i="106" s="1"/>
  <c r="B28" i="106"/>
  <c r="BU27" i="106"/>
  <c r="BT27" i="106"/>
  <c r="BS27" i="106"/>
  <c r="BR27" i="106"/>
  <c r="BQ27" i="106"/>
  <c r="BH27" i="106"/>
  <c r="BE27" i="106"/>
  <c r="BD27" i="106"/>
  <c r="BC27" i="106"/>
  <c r="AU27" i="106"/>
  <c r="AS27" i="106"/>
  <c r="AQ27" i="106"/>
  <c r="AO27" i="106"/>
  <c r="AL27" i="106"/>
  <c r="AH27" i="106"/>
  <c r="AN27" i="106" s="1"/>
  <c r="AG27" i="106"/>
  <c r="BU26" i="106"/>
  <c r="BT26" i="106"/>
  <c r="BS26" i="106"/>
  <c r="BR26" i="106"/>
  <c r="BQ26" i="106"/>
  <c r="BK26" i="106"/>
  <c r="I26" i="106" s="1"/>
  <c r="BI26" i="106"/>
  <c r="BH26" i="106"/>
  <c r="BL26" i="106" s="1"/>
  <c r="BE26" i="106"/>
  <c r="BD26" i="106"/>
  <c r="BC26" i="106"/>
  <c r="BA26" i="106"/>
  <c r="AY26" i="106"/>
  <c r="AW26" i="106"/>
  <c r="AU26" i="106"/>
  <c r="AS26" i="106"/>
  <c r="AQ26" i="106"/>
  <c r="AO26" i="106"/>
  <c r="AL26" i="106"/>
  <c r="AH26" i="106"/>
  <c r="AN26" i="106" s="1"/>
  <c r="AG26" i="106"/>
  <c r="G26" i="106"/>
  <c r="BB26" i="106" s="1"/>
  <c r="BU25" i="106"/>
  <c r="BT25" i="106"/>
  <c r="BS25" i="106"/>
  <c r="BR25" i="106"/>
  <c r="BQ25" i="106"/>
  <c r="BL25" i="106"/>
  <c r="BK25" i="106"/>
  <c r="I25" i="106" s="1"/>
  <c r="BI25" i="106"/>
  <c r="BH25" i="106"/>
  <c r="BE25" i="106"/>
  <c r="BD25" i="106"/>
  <c r="BC25" i="106"/>
  <c r="AY25" i="106"/>
  <c r="AW25" i="106"/>
  <c r="AU25" i="106"/>
  <c r="AS25" i="106"/>
  <c r="AQ25" i="106"/>
  <c r="AO25" i="106"/>
  <c r="AN25" i="106"/>
  <c r="AL25" i="106"/>
  <c r="AH25" i="106"/>
  <c r="AG25" i="106"/>
  <c r="G25" i="106"/>
  <c r="BB25" i="106" s="1"/>
  <c r="BU24" i="106"/>
  <c r="BT24" i="106"/>
  <c r="BS24" i="106"/>
  <c r="BR24" i="106"/>
  <c r="BQ24" i="106"/>
  <c r="BJ24" i="106"/>
  <c r="H24" i="106" s="1"/>
  <c r="BF24" i="106" s="1"/>
  <c r="BH24" i="106"/>
  <c r="BE24" i="106"/>
  <c r="BD24" i="106"/>
  <c r="BC24" i="106"/>
  <c r="AU24" i="106"/>
  <c r="AS24" i="106"/>
  <c r="AQ24" i="106"/>
  <c r="AO24" i="106"/>
  <c r="AL24" i="106"/>
  <c r="AH24" i="106"/>
  <c r="AN24" i="106" s="1"/>
  <c r="AG24" i="106"/>
  <c r="B24" i="106"/>
  <c r="BH23" i="106"/>
  <c r="BE23" i="106"/>
  <c r="BD23" i="106"/>
  <c r="BC23" i="106"/>
  <c r="AU23" i="106"/>
  <c r="AS23" i="106"/>
  <c r="AQ23" i="106"/>
  <c r="AO23" i="106"/>
  <c r="AL23" i="106"/>
  <c r="AH23" i="106"/>
  <c r="AN23" i="106" s="1"/>
  <c r="AG23" i="106"/>
  <c r="BK22" i="106"/>
  <c r="I22" i="106" s="1"/>
  <c r="BI22" i="106"/>
  <c r="AK22" i="106" s="1"/>
  <c r="BH22" i="106"/>
  <c r="BL22" i="106" s="1"/>
  <c r="BE22" i="106"/>
  <c r="BD22" i="106"/>
  <c r="BC22" i="106"/>
  <c r="AY22" i="106"/>
  <c r="AW22" i="106"/>
  <c r="AU22" i="106"/>
  <c r="AS22" i="106"/>
  <c r="AQ22" i="106"/>
  <c r="AO22" i="106"/>
  <c r="AL22" i="106"/>
  <c r="AH22" i="106"/>
  <c r="AN22" i="106" s="1"/>
  <c r="AG22" i="106"/>
  <c r="G22" i="106"/>
  <c r="BB22" i="106" s="1"/>
  <c r="BL21" i="106"/>
  <c r="BH21" i="106"/>
  <c r="BE21" i="106"/>
  <c r="BD21" i="106"/>
  <c r="BC21" i="106"/>
  <c r="BB21" i="106"/>
  <c r="AU21" i="106"/>
  <c r="AS21" i="106"/>
  <c r="AQ21" i="106"/>
  <c r="AO21" i="106"/>
  <c r="AL21" i="106"/>
  <c r="AH21" i="106"/>
  <c r="AN21" i="106" s="1"/>
  <c r="AG21" i="106"/>
  <c r="G21" i="106"/>
  <c r="BH20" i="106"/>
  <c r="BE20" i="106"/>
  <c r="BD20" i="106"/>
  <c r="BC20" i="106"/>
  <c r="AU20" i="106"/>
  <c r="AS20" i="106"/>
  <c r="AQ20" i="106"/>
  <c r="AO20" i="106"/>
  <c r="AL20" i="106"/>
  <c r="AH20" i="106"/>
  <c r="AN20" i="106" s="1"/>
  <c r="AG20" i="106"/>
  <c r="BJ19" i="106"/>
  <c r="H19" i="106" s="1"/>
  <c r="BF19" i="106" s="1"/>
  <c r="BH19" i="106"/>
  <c r="BE19" i="106"/>
  <c r="BD19" i="106"/>
  <c r="BC19" i="106"/>
  <c r="AU19" i="106"/>
  <c r="AS19" i="106"/>
  <c r="AQ19" i="106"/>
  <c r="AO19" i="106"/>
  <c r="AL19" i="106"/>
  <c r="AH19" i="106"/>
  <c r="AN19" i="106" s="1"/>
  <c r="AG19" i="106"/>
  <c r="B19" i="106"/>
  <c r="BK18" i="106"/>
  <c r="I18" i="106" s="1"/>
  <c r="BI18" i="106"/>
  <c r="BH18" i="106"/>
  <c r="BL18" i="106" s="1"/>
  <c r="BE18" i="106"/>
  <c r="BD18" i="106"/>
  <c r="BC18" i="106"/>
  <c r="AY18" i="106"/>
  <c r="AW18" i="106"/>
  <c r="AU18" i="106"/>
  <c r="AS18" i="106"/>
  <c r="AQ18" i="106"/>
  <c r="AO18" i="106"/>
  <c r="AL18" i="106"/>
  <c r="AH18" i="106"/>
  <c r="AN18" i="106" s="1"/>
  <c r="AG18" i="106"/>
  <c r="G18" i="106"/>
  <c r="BA18" i="106" s="1"/>
  <c r="BL17" i="106"/>
  <c r="BH17" i="106"/>
  <c r="BE17" i="106"/>
  <c r="BD17" i="106"/>
  <c r="BC17" i="106"/>
  <c r="AU17" i="106"/>
  <c r="AS17" i="106"/>
  <c r="AQ17" i="106"/>
  <c r="AO17" i="106"/>
  <c r="AL17" i="106"/>
  <c r="AH17" i="106"/>
  <c r="AN17" i="106" s="1"/>
  <c r="AG17" i="106"/>
  <c r="G17" i="106"/>
  <c r="BB17" i="106" s="1"/>
  <c r="BH16" i="106"/>
  <c r="BE16" i="106"/>
  <c r="BD16" i="106"/>
  <c r="BC16" i="106"/>
  <c r="AU16" i="106"/>
  <c r="AS16" i="106"/>
  <c r="AQ16" i="106"/>
  <c r="AI16" i="106" s="1"/>
  <c r="C16" i="106" s="1"/>
  <c r="AO16" i="106"/>
  <c r="AL16" i="106"/>
  <c r="AH16" i="106"/>
  <c r="AN16" i="106" s="1"/>
  <c r="AG16" i="106"/>
  <c r="BJ15" i="106"/>
  <c r="H15" i="106" s="1"/>
  <c r="BF15" i="106" s="1"/>
  <c r="BH15" i="106"/>
  <c r="BE15" i="106"/>
  <c r="BD15" i="106"/>
  <c r="BD7" i="106" s="1"/>
  <c r="BC15" i="106"/>
  <c r="AU15" i="106"/>
  <c r="AS15" i="106"/>
  <c r="AQ15" i="106"/>
  <c r="AO15" i="106"/>
  <c r="AL15" i="106"/>
  <c r="AH15" i="106"/>
  <c r="AN15" i="106" s="1"/>
  <c r="AG15" i="106"/>
  <c r="B15" i="106"/>
  <c r="BH14" i="106"/>
  <c r="G14" i="106" s="1"/>
  <c r="BI14" i="106" s="1"/>
  <c r="BE14" i="106"/>
  <c r="BD14" i="106"/>
  <c r="BC14" i="106"/>
  <c r="AY14" i="106"/>
  <c r="AW14" i="106"/>
  <c r="AU14" i="106"/>
  <c r="AS14" i="106"/>
  <c r="AQ14" i="106"/>
  <c r="AO14" i="106"/>
  <c r="AL14" i="106"/>
  <c r="AH14" i="106"/>
  <c r="AN14" i="106" s="1"/>
  <c r="AG14" i="106"/>
  <c r="BL13" i="106"/>
  <c r="BH13" i="106"/>
  <c r="BE13" i="106"/>
  <c r="BD13" i="106"/>
  <c r="BC13" i="106"/>
  <c r="BB13" i="106"/>
  <c r="AU13" i="106"/>
  <c r="AS13" i="106"/>
  <c r="AQ13" i="106"/>
  <c r="AO13" i="106"/>
  <c r="AL13" i="106"/>
  <c r="AH13" i="106"/>
  <c r="AG13" i="106"/>
  <c r="G13" i="106"/>
  <c r="BH12" i="106"/>
  <c r="BL12" i="106" s="1"/>
  <c r="BE12" i="106"/>
  <c r="BD12" i="106"/>
  <c r="BC12" i="106"/>
  <c r="BC7" i="106" s="1"/>
  <c r="BA12" i="106"/>
  <c r="AU12" i="106"/>
  <c r="AS12" i="106"/>
  <c r="AQ12" i="106"/>
  <c r="AO12" i="106"/>
  <c r="AL12" i="106"/>
  <c r="AH12" i="106"/>
  <c r="AN12" i="106" s="1"/>
  <c r="AG12" i="106"/>
  <c r="G12" i="106"/>
  <c r="BJ11" i="106"/>
  <c r="H11" i="106" s="1"/>
  <c r="BF11" i="106" s="1"/>
  <c r="BH11" i="106"/>
  <c r="BE11" i="106"/>
  <c r="BD11" i="106"/>
  <c r="BC11" i="106"/>
  <c r="AU11" i="106"/>
  <c r="AS11" i="106"/>
  <c r="AQ11" i="106"/>
  <c r="AO11" i="106"/>
  <c r="AL11" i="106"/>
  <c r="AJ11" i="106"/>
  <c r="AH11" i="106"/>
  <c r="AN11" i="106" s="1"/>
  <c r="AG11" i="106"/>
  <c r="B11" i="106"/>
  <c r="AV9" i="106"/>
  <c r="BN29" i="106" l="1"/>
  <c r="BN28" i="106"/>
  <c r="AK29" i="106"/>
  <c r="AT29" i="106" s="1"/>
  <c r="BN31" i="106"/>
  <c r="BN26" i="106"/>
  <c r="BN25" i="106"/>
  <c r="AR29" i="106"/>
  <c r="AV29" i="106" s="1"/>
  <c r="BM29" i="106"/>
  <c r="BM34" i="106"/>
  <c r="BM38" i="106"/>
  <c r="AK31" i="106"/>
  <c r="AM31" i="106" s="1"/>
  <c r="BM42" i="106"/>
  <c r="BM26" i="106"/>
  <c r="BE7" i="106"/>
  <c r="AK32" i="106"/>
  <c r="AM32" i="106" s="1"/>
  <c r="AK28" i="106"/>
  <c r="AM28" i="106" s="1"/>
  <c r="AN13" i="106"/>
  <c r="AN9" i="106" s="1"/>
  <c r="AM29" i="106"/>
  <c r="AK25" i="106"/>
  <c r="AM25" i="106" s="1"/>
  <c r="AK26" i="106"/>
  <c r="AX26" i="106" s="1"/>
  <c r="BM35" i="106"/>
  <c r="BM39" i="106"/>
  <c r="BM14" i="106"/>
  <c r="BJ14" i="106"/>
  <c r="H14" i="106" s="1"/>
  <c r="BF14" i="106" s="1"/>
  <c r="AK14" i="106"/>
  <c r="AX14" i="106" s="1"/>
  <c r="G19" i="106"/>
  <c r="BL19" i="106"/>
  <c r="AT22" i="106"/>
  <c r="AR22" i="106"/>
  <c r="AV22" i="106" s="1"/>
  <c r="AI13" i="106"/>
  <c r="C13" i="106" s="1"/>
  <c r="BA21" i="106"/>
  <c r="BK21" i="106"/>
  <c r="I21" i="106" s="1"/>
  <c r="AY21" i="106"/>
  <c r="BI21" i="106"/>
  <c r="BM21" i="106" s="1"/>
  <c r="AW21" i="106"/>
  <c r="AQ44" i="106"/>
  <c r="BN18" i="106"/>
  <c r="BM18" i="106"/>
  <c r="BJ18" i="106"/>
  <c r="H18" i="106" s="1"/>
  <c r="BF18" i="106" s="1"/>
  <c r="AI20" i="106"/>
  <c r="C20" i="106" s="1"/>
  <c r="AI29" i="106"/>
  <c r="C29" i="106" s="1"/>
  <c r="AI17" i="106"/>
  <c r="C17" i="106" s="1"/>
  <c r="AM22" i="106"/>
  <c r="G11" i="106"/>
  <c r="BL11" i="106"/>
  <c r="BA17" i="106"/>
  <c r="BK17" i="106"/>
  <c r="I17" i="106" s="1"/>
  <c r="AY17" i="106"/>
  <c r="BI17" i="106"/>
  <c r="BM17" i="106" s="1"/>
  <c r="AW17" i="106"/>
  <c r="AI21" i="106"/>
  <c r="C21" i="106" s="1"/>
  <c r="AI27" i="106"/>
  <c r="C27" i="106" s="1"/>
  <c r="AP28" i="106"/>
  <c r="AI12" i="106"/>
  <c r="C12" i="106" s="1"/>
  <c r="AU44" i="106"/>
  <c r="BB14" i="106"/>
  <c r="AZ14" i="106"/>
  <c r="BA14" i="106"/>
  <c r="AI23" i="106"/>
  <c r="C23" i="106" s="1"/>
  <c r="AS44" i="106"/>
  <c r="AT44" i="106" s="1"/>
  <c r="BK12" i="106"/>
  <c r="I12" i="106" s="1"/>
  <c r="AY12" i="106"/>
  <c r="BI12" i="106"/>
  <c r="AZ12" i="106" s="1"/>
  <c r="AW12" i="106"/>
  <c r="BB12" i="106"/>
  <c r="BK14" i="106"/>
  <c r="I14" i="106" s="1"/>
  <c r="AI26" i="106"/>
  <c r="C26" i="106" s="1"/>
  <c r="AV46" i="106"/>
  <c r="AV47" i="106" s="1"/>
  <c r="BN22" i="106"/>
  <c r="BM22" i="106"/>
  <c r="BJ22" i="106"/>
  <c r="H22" i="106" s="1"/>
  <c r="BF22" i="106" s="1"/>
  <c r="AI31" i="106"/>
  <c r="C31" i="106" s="1"/>
  <c r="AI22" i="106"/>
  <c r="C22" i="106" s="1"/>
  <c r="AI18" i="106"/>
  <c r="C18" i="106" s="1"/>
  <c r="AN44" i="106"/>
  <c r="G15" i="106"/>
  <c r="BL15" i="106"/>
  <c r="AK18" i="106"/>
  <c r="AX18" i="106" s="1"/>
  <c r="AI25" i="106"/>
  <c r="C25" i="106" s="1"/>
  <c r="AJ12" i="106"/>
  <c r="AJ13" i="106" s="1"/>
  <c r="AJ14" i="106" s="1"/>
  <c r="AJ15" i="106" s="1"/>
  <c r="BA13" i="106"/>
  <c r="BK13" i="106"/>
  <c r="I13" i="106" s="1"/>
  <c r="AY13" i="106"/>
  <c r="BI13" i="106"/>
  <c r="AW13" i="106"/>
  <c r="AI14" i="106"/>
  <c r="C14" i="106" s="1"/>
  <c r="AI30" i="106"/>
  <c r="C30" i="106" s="1"/>
  <c r="BB18" i="106"/>
  <c r="B12" i="106"/>
  <c r="BL16" i="106"/>
  <c r="BL20" i="106"/>
  <c r="BL24" i="106"/>
  <c r="AR25" i="106"/>
  <c r="AV25" i="106" s="1"/>
  <c r="BL27" i="106"/>
  <c r="AR28" i="106"/>
  <c r="AV28" i="106" s="1"/>
  <c r="BL30" i="106"/>
  <c r="BL33" i="106"/>
  <c r="BL37" i="106"/>
  <c r="BL41" i="106"/>
  <c r="BM33" i="106"/>
  <c r="BM37" i="106"/>
  <c r="BM41" i="106"/>
  <c r="G16" i="106"/>
  <c r="G20" i="106"/>
  <c r="G24" i="106"/>
  <c r="AT25" i="106"/>
  <c r="BJ26" i="106"/>
  <c r="H26" i="106" s="1"/>
  <c r="BF26" i="106" s="1"/>
  <c r="G27" i="106"/>
  <c r="AT28" i="106"/>
  <c r="AX29" i="106"/>
  <c r="BJ29" i="106"/>
  <c r="H29" i="106" s="1"/>
  <c r="BF29" i="106" s="1"/>
  <c r="G30" i="106"/>
  <c r="AX22" i="106"/>
  <c r="AZ26" i="106"/>
  <c r="AZ29" i="106"/>
  <c r="BL14" i="106"/>
  <c r="AZ18" i="106"/>
  <c r="AZ22" i="106"/>
  <c r="AX25" i="106"/>
  <c r="BJ25" i="106"/>
  <c r="H25" i="106" s="1"/>
  <c r="BF25" i="106" s="1"/>
  <c r="AX28" i="106"/>
  <c r="BJ31" i="106"/>
  <c r="H31" i="106" s="1"/>
  <c r="BF31" i="106" s="1"/>
  <c r="BL35" i="106"/>
  <c r="BL39" i="106"/>
  <c r="BA22" i="106"/>
  <c r="AZ25" i="106"/>
  <c r="AZ28" i="106"/>
  <c r="AZ31" i="106"/>
  <c r="BL23" i="106"/>
  <c r="BA25" i="106"/>
  <c r="BM25" i="106"/>
  <c r="BA28" i="106"/>
  <c r="BM28" i="106"/>
  <c r="BA31" i="106"/>
  <c r="BM31" i="106"/>
  <c r="BL36" i="106"/>
  <c r="BL40" i="106"/>
  <c r="BM36" i="106"/>
  <c r="BM40" i="106"/>
  <c r="G23" i="106"/>
  <c r="BN14" i="106" l="1"/>
  <c r="AR31" i="106"/>
  <c r="AV31" i="106" s="1"/>
  <c r="AX31" i="106"/>
  <c r="AZ17" i="106"/>
  <c r="AT31" i="106"/>
  <c r="AT26" i="106"/>
  <c r="AR26" i="106"/>
  <c r="AV26" i="106" s="1"/>
  <c r="AM26" i="106"/>
  <c r="BK16" i="106"/>
  <c r="I16" i="106" s="1"/>
  <c r="AY16" i="106"/>
  <c r="BI16" i="106"/>
  <c r="AZ16" i="106" s="1"/>
  <c r="AW16" i="106"/>
  <c r="BB16" i="106"/>
  <c r="BA16" i="106"/>
  <c r="AK13" i="106"/>
  <c r="BJ13" i="106"/>
  <c r="H13" i="106" s="1"/>
  <c r="BF13" i="106" s="1"/>
  <c r="BN13" i="106"/>
  <c r="AZ13" i="106"/>
  <c r="BK24" i="106"/>
  <c r="I24" i="106" s="1"/>
  <c r="AY24" i="106"/>
  <c r="AX24" i="106"/>
  <c r="BI24" i="106"/>
  <c r="AZ24" i="106" s="1"/>
  <c r="AW24" i="106"/>
  <c r="BB24" i="106"/>
  <c r="BA24" i="106"/>
  <c r="BJ17" i="106"/>
  <c r="H17" i="106" s="1"/>
  <c r="BF17" i="106" s="1"/>
  <c r="AK17" i="106"/>
  <c r="BN17" i="106"/>
  <c r="BK30" i="106"/>
  <c r="I30" i="106" s="1"/>
  <c r="AY30" i="106"/>
  <c r="BI30" i="106"/>
  <c r="AZ30" i="106" s="1"/>
  <c r="AW30" i="106"/>
  <c r="BB30" i="106"/>
  <c r="BA30" i="106"/>
  <c r="BB23" i="106"/>
  <c r="AY23" i="106"/>
  <c r="BA23" i="106"/>
  <c r="BK23" i="106"/>
  <c r="I23" i="106" s="1"/>
  <c r="BI23" i="106"/>
  <c r="AZ23" i="106" s="1"/>
  <c r="AW23" i="106"/>
  <c r="BG28" i="106"/>
  <c r="E44" i="106"/>
  <c r="AV44" i="106"/>
  <c r="AV48" i="106" s="1"/>
  <c r="Q8" i="106"/>
  <c r="BK27" i="106"/>
  <c r="I27" i="106" s="1"/>
  <c r="AY27" i="106"/>
  <c r="BI27" i="106"/>
  <c r="AW27" i="106"/>
  <c r="BB27" i="106"/>
  <c r="BA27" i="106"/>
  <c r="BJ12" i="106"/>
  <c r="H12" i="106" s="1"/>
  <c r="BF12" i="106" s="1"/>
  <c r="BN12" i="106"/>
  <c r="AK12" i="106"/>
  <c r="BM12" i="106"/>
  <c r="BB19" i="106"/>
  <c r="AY19" i="106"/>
  <c r="BK19" i="106"/>
  <c r="I19" i="106" s="1"/>
  <c r="AX19" i="106"/>
  <c r="BI19" i="106"/>
  <c r="AZ19" i="106" s="1"/>
  <c r="AW19" i="106"/>
  <c r="BA19" i="106"/>
  <c r="AR18" i="106"/>
  <c r="AV18" i="106" s="1"/>
  <c r="AT18" i="106"/>
  <c r="AM18" i="106"/>
  <c r="BB11" i="106"/>
  <c r="BA11" i="106"/>
  <c r="BK11" i="106"/>
  <c r="I11" i="106" s="1"/>
  <c r="AY11" i="106"/>
  <c r="BI11" i="106"/>
  <c r="AZ11" i="106" s="1"/>
  <c r="AW11" i="106"/>
  <c r="AX11" i="106"/>
  <c r="AJ16" i="106"/>
  <c r="AJ17" i="106" s="1"/>
  <c r="AJ18" i="106" s="1"/>
  <c r="AJ19" i="106" s="1"/>
  <c r="BJ21" i="106"/>
  <c r="H21" i="106" s="1"/>
  <c r="BF21" i="106" s="1"/>
  <c r="AK21" i="106"/>
  <c r="AZ21" i="106"/>
  <c r="BN21" i="106"/>
  <c r="AR14" i="106"/>
  <c r="AV14" i="106" s="1"/>
  <c r="AT14" i="106"/>
  <c r="AM14" i="106"/>
  <c r="BK20" i="106"/>
  <c r="I20" i="106" s="1"/>
  <c r="AY20" i="106"/>
  <c r="BI20" i="106"/>
  <c r="AZ20" i="106" s="1"/>
  <c r="AW20" i="106"/>
  <c r="BB20" i="106"/>
  <c r="BA20" i="106"/>
  <c r="B13" i="106"/>
  <c r="BB15" i="106"/>
  <c r="BK15" i="106"/>
  <c r="I15" i="106" s="1"/>
  <c r="AX15" i="106"/>
  <c r="AY15" i="106"/>
  <c r="BI15" i="106"/>
  <c r="AW15" i="106"/>
  <c r="BA15" i="106"/>
  <c r="BM13" i="106"/>
  <c r="AT13" i="106" l="1"/>
  <c r="AM13" i="106"/>
  <c r="AR13" i="106"/>
  <c r="AV13" i="106" s="1"/>
  <c r="AX13" i="106"/>
  <c r="AJ20" i="106"/>
  <c r="AJ21" i="106" s="1"/>
  <c r="AJ22" i="106" s="1"/>
  <c r="AJ23" i="106" s="1"/>
  <c r="AJ24" i="106" s="1"/>
  <c r="AK15" i="106"/>
  <c r="BM15" i="106"/>
  <c r="BN15" i="106"/>
  <c r="AZ15" i="106"/>
  <c r="AZ7" i="106" s="1"/>
  <c r="BA7" i="106"/>
  <c r="AT21" i="106"/>
  <c r="AR21" i="106"/>
  <c r="AV21" i="106" s="1"/>
  <c r="AM21" i="106"/>
  <c r="AX21" i="106"/>
  <c r="BB7" i="106"/>
  <c r="BJ27" i="106"/>
  <c r="H27" i="106" s="1"/>
  <c r="BF27" i="106" s="1"/>
  <c r="AK27" i="106"/>
  <c r="BN27" i="106"/>
  <c r="BM27" i="106"/>
  <c r="BJ23" i="106"/>
  <c r="H23" i="106" s="1"/>
  <c r="BF23" i="106" s="1"/>
  <c r="AK23" i="106"/>
  <c r="BN23" i="106"/>
  <c r="BM23" i="106"/>
  <c r="BJ30" i="106"/>
  <c r="H30" i="106" s="1"/>
  <c r="BF30" i="106" s="1"/>
  <c r="AK30" i="106"/>
  <c r="BN30" i="106"/>
  <c r="BM30" i="106"/>
  <c r="AM12" i="106"/>
  <c r="AT12" i="106"/>
  <c r="AR12" i="106"/>
  <c r="AV12" i="106" s="1"/>
  <c r="AX12" i="106"/>
  <c r="AK24" i="106"/>
  <c r="BN24" i="106"/>
  <c r="BM24" i="106"/>
  <c r="AK16" i="106"/>
  <c r="BM16" i="106"/>
  <c r="BJ16" i="106"/>
  <c r="H16" i="106" s="1"/>
  <c r="BF16" i="106" s="1"/>
  <c r="BN16" i="106"/>
  <c r="BJ20" i="106"/>
  <c r="H20" i="106" s="1"/>
  <c r="BF20" i="106" s="1"/>
  <c r="AK20" i="106"/>
  <c r="BN20" i="106"/>
  <c r="BM20" i="106"/>
  <c r="AP13" i="106"/>
  <c r="B16" i="106"/>
  <c r="AP12" i="106"/>
  <c r="AK11" i="106"/>
  <c r="BN11" i="106"/>
  <c r="BM11" i="106"/>
  <c r="AK19" i="106"/>
  <c r="BN19" i="106"/>
  <c r="BM19" i="106"/>
  <c r="B14" i="106"/>
  <c r="AY7" i="106"/>
  <c r="AZ27" i="106"/>
  <c r="AT17" i="106"/>
  <c r="AR17" i="106"/>
  <c r="AV17" i="106" s="1"/>
  <c r="AM17" i="106"/>
  <c r="AX17" i="106"/>
  <c r="AP16" i="106" l="1"/>
  <c r="BG13" i="106"/>
  <c r="AP14" i="106"/>
  <c r="BG14" i="106" s="1"/>
  <c r="B17" i="106"/>
  <c r="AP17" i="106" s="1"/>
  <c r="AM11" i="106"/>
  <c r="AT11" i="106"/>
  <c r="AR11" i="106"/>
  <c r="B18" i="106"/>
  <c r="AP18" i="106" s="1"/>
  <c r="BG18" i="106" s="1"/>
  <c r="AM19" i="106"/>
  <c r="AP19" i="106" s="1"/>
  <c r="BG19" i="106" s="1"/>
  <c r="AR19" i="106"/>
  <c r="AV19" i="106" s="1"/>
  <c r="AT19" i="106"/>
  <c r="AM24" i="106"/>
  <c r="AP24" i="106" s="1"/>
  <c r="BG24" i="106" s="1"/>
  <c r="AT24" i="106"/>
  <c r="AR24" i="106"/>
  <c r="AV24" i="106" s="1"/>
  <c r="AM23" i="106"/>
  <c r="AR23" i="106"/>
  <c r="AV23" i="106" s="1"/>
  <c r="AT23" i="106"/>
  <c r="AX23" i="106"/>
  <c r="AM20" i="106"/>
  <c r="AT20" i="106"/>
  <c r="AR20" i="106"/>
  <c r="AV20" i="106" s="1"/>
  <c r="AX20" i="106"/>
  <c r="BG20" i="106" s="1"/>
  <c r="AM27" i="106"/>
  <c r="AT27" i="106"/>
  <c r="AR27" i="106"/>
  <c r="AV27" i="106" s="1"/>
  <c r="AX27" i="106"/>
  <c r="AM15" i="106"/>
  <c r="AP15" i="106" s="1"/>
  <c r="BG15" i="106" s="1"/>
  <c r="AR15" i="106"/>
  <c r="AV15" i="106" s="1"/>
  <c r="AT15" i="106"/>
  <c r="BG12" i="106"/>
  <c r="B20" i="106"/>
  <c r="AP20" i="106" s="1"/>
  <c r="BG17" i="106"/>
  <c r="AM30" i="106"/>
  <c r="AT30" i="106"/>
  <c r="AR30" i="106"/>
  <c r="AV30" i="106" s="1"/>
  <c r="AX30" i="106"/>
  <c r="AJ25" i="106"/>
  <c r="AM16" i="106"/>
  <c r="AT16" i="106"/>
  <c r="AR16" i="106"/>
  <c r="AV16" i="106" s="1"/>
  <c r="AX16" i="106"/>
  <c r="BG16" i="106" s="1"/>
  <c r="AM9" i="106" l="1"/>
  <c r="J44" i="106" s="1"/>
  <c r="AM44" i="106"/>
  <c r="AP11" i="106"/>
  <c r="BG11" i="106" s="1"/>
  <c r="B21" i="106"/>
  <c r="AP21" i="106" s="1"/>
  <c r="BG21" i="106" s="1"/>
  <c r="AJ26" i="106"/>
  <c r="AV11" i="106"/>
  <c r="AR44" i="106"/>
  <c r="AR48" i="106" s="1"/>
  <c r="AR49" i="106" l="1"/>
  <c r="B44" i="106" s="1"/>
  <c r="F44" i="106"/>
  <c r="U51" i="106" s="1"/>
  <c r="U52" i="106" s="1"/>
  <c r="Q9" i="106"/>
  <c r="AW7" i="106"/>
  <c r="U47" i="106" s="1"/>
  <c r="O43" i="106" s="1"/>
  <c r="AJ27" i="106"/>
  <c r="B22" i="106"/>
  <c r="AX7" i="106"/>
  <c r="U48" i="106" s="1"/>
  <c r="Q43" i="106" s="1"/>
  <c r="AJ28" i="106" l="1"/>
  <c r="AP22" i="106"/>
  <c r="BG22" i="106" s="1"/>
  <c r="B23" i="106"/>
  <c r="AP23" i="106" l="1"/>
  <c r="BG23" i="106" s="1"/>
  <c r="B25" i="106"/>
  <c r="AJ29" i="106"/>
  <c r="AJ30" i="106" l="1"/>
  <c r="AP25" i="106"/>
  <c r="BG25" i="106" s="1"/>
  <c r="B26" i="106"/>
  <c r="AP26" i="106" l="1"/>
  <c r="BG26" i="106" s="1"/>
  <c r="B27" i="106"/>
  <c r="AJ31" i="106"/>
  <c r="AI19" i="106"/>
  <c r="C19" i="106" s="1"/>
  <c r="AI11" i="106" l="1"/>
  <c r="C11" i="106" s="1"/>
  <c r="AI15" i="106"/>
  <c r="AI24" i="106"/>
  <c r="C24" i="106" s="1"/>
  <c r="AI28" i="106"/>
  <c r="C28" i="106" s="1"/>
  <c r="AP27" i="106"/>
  <c r="BG27" i="106" s="1"/>
  <c r="B29" i="106"/>
  <c r="AP29" i="106" l="1"/>
  <c r="BG29" i="106" s="1"/>
  <c r="B30" i="106"/>
  <c r="C15" i="106"/>
  <c r="AI46" i="106"/>
  <c r="AP30" i="106" l="1"/>
  <c r="BG30" i="106" s="1"/>
  <c r="B31" i="106"/>
  <c r="AP31" i="106" s="1"/>
  <c r="BG31" i="106" s="1"/>
  <c r="U48" i="105" l="1"/>
  <c r="BE44" i="105"/>
  <c r="AT44" i="105"/>
  <c r="AT45" i="105" s="1"/>
  <c r="AR45" i="105" s="1"/>
  <c r="H42" i="105"/>
  <c r="BN40" i="105"/>
  <c r="BK40" i="105"/>
  <c r="I40" i="105" s="1"/>
  <c r="BJ40" i="105"/>
  <c r="H40" i="105" s="1"/>
  <c r="BF40" i="105" s="1"/>
  <c r="BI40" i="105"/>
  <c r="AK40" i="105" s="1"/>
  <c r="AM40" i="105" s="1"/>
  <c r="BH40" i="105"/>
  <c r="G40" i="105" s="1"/>
  <c r="BG40" i="105"/>
  <c r="BE40" i="105"/>
  <c r="BD40" i="105"/>
  <c r="BC40" i="105"/>
  <c r="BB40" i="105"/>
  <c r="BA40" i="105"/>
  <c r="AZ40" i="105"/>
  <c r="AY40" i="105"/>
  <c r="AX40" i="105"/>
  <c r="AW40" i="105"/>
  <c r="AU40" i="105"/>
  <c r="AT40" i="105"/>
  <c r="AS40" i="105"/>
  <c r="AR40" i="105"/>
  <c r="AV40" i="105" s="1"/>
  <c r="AQ40" i="105"/>
  <c r="AP40" i="105"/>
  <c r="AO40" i="105"/>
  <c r="AL40" i="105"/>
  <c r="AJ40" i="105"/>
  <c r="AI40" i="105"/>
  <c r="AH40" i="105"/>
  <c r="AN40" i="105" s="1"/>
  <c r="AG40" i="105"/>
  <c r="C40" i="105"/>
  <c r="B40" i="105"/>
  <c r="BN39" i="105"/>
  <c r="BL39" i="105"/>
  <c r="BK39" i="105"/>
  <c r="I39" i="105" s="1"/>
  <c r="BJ39" i="105"/>
  <c r="H39" i="105" s="1"/>
  <c r="BF39" i="105" s="1"/>
  <c r="BI39" i="105"/>
  <c r="AK39" i="105" s="1"/>
  <c r="AM39" i="105" s="1"/>
  <c r="BH39" i="105"/>
  <c r="G39" i="105" s="1"/>
  <c r="BG39" i="105"/>
  <c r="BE39" i="105"/>
  <c r="BD39" i="105"/>
  <c r="BC39" i="105"/>
  <c r="BB39" i="105"/>
  <c r="BA39" i="105"/>
  <c r="AZ39" i="105"/>
  <c r="AY39" i="105"/>
  <c r="AX39" i="105"/>
  <c r="AW39" i="105"/>
  <c r="AU39" i="105"/>
  <c r="AT39" i="105"/>
  <c r="AS39" i="105"/>
  <c r="AR39" i="105"/>
  <c r="AV39" i="105" s="1"/>
  <c r="AQ39" i="105"/>
  <c r="AP39" i="105"/>
  <c r="AO39" i="105"/>
  <c r="AL39" i="105"/>
  <c r="AJ39" i="105"/>
  <c r="AI39" i="105"/>
  <c r="AH39" i="105"/>
  <c r="AN39" i="105" s="1"/>
  <c r="AG39" i="105"/>
  <c r="C39" i="105"/>
  <c r="B39" i="105"/>
  <c r="BN38" i="105"/>
  <c r="BL38" i="105"/>
  <c r="BK38" i="105"/>
  <c r="I38" i="105" s="1"/>
  <c r="BJ38" i="105"/>
  <c r="H38" i="105" s="1"/>
  <c r="BF38" i="105" s="1"/>
  <c r="BI38" i="105"/>
  <c r="AK38" i="105" s="1"/>
  <c r="AM38" i="105" s="1"/>
  <c r="BH38" i="105"/>
  <c r="BG38" i="105"/>
  <c r="BE38" i="105"/>
  <c r="BD38" i="105"/>
  <c r="BC38" i="105"/>
  <c r="BB38" i="105"/>
  <c r="BA38" i="105"/>
  <c r="AZ38" i="105"/>
  <c r="AY38" i="105"/>
  <c r="AX38" i="105"/>
  <c r="AW38" i="105"/>
  <c r="AU38" i="105"/>
  <c r="AT38" i="105"/>
  <c r="AS38" i="105"/>
  <c r="AR38" i="105"/>
  <c r="AV38" i="105" s="1"/>
  <c r="AQ38" i="105"/>
  <c r="AP38" i="105"/>
  <c r="AO38" i="105"/>
  <c r="AL38" i="105"/>
  <c r="AJ38" i="105"/>
  <c r="AI38" i="105"/>
  <c r="AH38" i="105"/>
  <c r="AN38" i="105" s="1"/>
  <c r="AG38" i="105"/>
  <c r="G38" i="105"/>
  <c r="C38" i="105"/>
  <c r="B38" i="105"/>
  <c r="BN37" i="105"/>
  <c r="BL37" i="105"/>
  <c r="BK37" i="105"/>
  <c r="I37" i="105" s="1"/>
  <c r="BJ37" i="105"/>
  <c r="H37" i="105" s="1"/>
  <c r="BF37" i="105" s="1"/>
  <c r="BI37" i="105"/>
  <c r="AK37" i="105" s="1"/>
  <c r="AM37" i="105" s="1"/>
  <c r="BH37" i="105"/>
  <c r="BG37" i="105"/>
  <c r="BE37" i="105"/>
  <c r="BD37" i="105"/>
  <c r="BC37" i="105"/>
  <c r="BB37" i="105"/>
  <c r="BA37" i="105"/>
  <c r="AZ37" i="105"/>
  <c r="AY37" i="105"/>
  <c r="AX37" i="105"/>
  <c r="AW37" i="105"/>
  <c r="AU37" i="105"/>
  <c r="AT37" i="105"/>
  <c r="AS37" i="105"/>
  <c r="AR37" i="105"/>
  <c r="AV37" i="105" s="1"/>
  <c r="AQ37" i="105"/>
  <c r="AP37" i="105"/>
  <c r="AO37" i="105"/>
  <c r="AL37" i="105"/>
  <c r="AJ37" i="105"/>
  <c r="AI37" i="105"/>
  <c r="AH37" i="105"/>
  <c r="AN37" i="105" s="1"/>
  <c r="AG37" i="105"/>
  <c r="G37" i="105"/>
  <c r="C37" i="105"/>
  <c r="B37" i="105"/>
  <c r="BN36" i="105"/>
  <c r="BK36" i="105"/>
  <c r="I36" i="105" s="1"/>
  <c r="BJ36" i="105"/>
  <c r="H36" i="105" s="1"/>
  <c r="BF36" i="105" s="1"/>
  <c r="BI36" i="105"/>
  <c r="AK36" i="105" s="1"/>
  <c r="AM36" i="105" s="1"/>
  <c r="BH36" i="105"/>
  <c r="G36" i="105" s="1"/>
  <c r="BG36" i="105"/>
  <c r="BE36" i="105"/>
  <c r="BD36" i="105"/>
  <c r="BC36" i="105"/>
  <c r="BB36" i="105"/>
  <c r="BA36" i="105"/>
  <c r="AZ36" i="105"/>
  <c r="AY36" i="105"/>
  <c r="AX36" i="105"/>
  <c r="AW36" i="105"/>
  <c r="AU36" i="105"/>
  <c r="AT36" i="105"/>
  <c r="AS36" i="105"/>
  <c r="AR36" i="105"/>
  <c r="AV36" i="105" s="1"/>
  <c r="AQ36" i="105"/>
  <c r="AP36" i="105"/>
  <c r="AO36" i="105"/>
  <c r="AL36" i="105"/>
  <c r="AJ36" i="105"/>
  <c r="AI36" i="105"/>
  <c r="AH36" i="105"/>
  <c r="AN36" i="105" s="1"/>
  <c r="AG36" i="105"/>
  <c r="C36" i="105"/>
  <c r="B36" i="105"/>
  <c r="BN35" i="105"/>
  <c r="BL35" i="105"/>
  <c r="BK35" i="105"/>
  <c r="I35" i="105" s="1"/>
  <c r="BJ35" i="105"/>
  <c r="H35" i="105" s="1"/>
  <c r="BF35" i="105" s="1"/>
  <c r="BI35" i="105"/>
  <c r="AK35" i="105" s="1"/>
  <c r="AM35" i="105" s="1"/>
  <c r="BH35" i="105"/>
  <c r="G35" i="105" s="1"/>
  <c r="BG35" i="105"/>
  <c r="BE35" i="105"/>
  <c r="BD35" i="105"/>
  <c r="BC35" i="105"/>
  <c r="BB35" i="105"/>
  <c r="BA35" i="105"/>
  <c r="AZ35" i="105"/>
  <c r="AY35" i="105"/>
  <c r="AX35" i="105"/>
  <c r="AW35" i="105"/>
  <c r="AU35" i="105"/>
  <c r="AT35" i="105"/>
  <c r="AS35" i="105"/>
  <c r="AR35" i="105"/>
  <c r="AV35" i="105" s="1"/>
  <c r="AQ35" i="105"/>
  <c r="AP35" i="105"/>
  <c r="AO35" i="105"/>
  <c r="AL35" i="105"/>
  <c r="AJ35" i="105"/>
  <c r="AI35" i="105"/>
  <c r="AH35" i="105"/>
  <c r="AN35" i="105" s="1"/>
  <c r="AG35" i="105"/>
  <c r="C35" i="105"/>
  <c r="B35" i="105"/>
  <c r="BN34" i="105"/>
  <c r="BL34" i="105"/>
  <c r="BK34" i="105"/>
  <c r="I34" i="105" s="1"/>
  <c r="BJ34" i="105"/>
  <c r="H34" i="105" s="1"/>
  <c r="BF34" i="105" s="1"/>
  <c r="BI34" i="105"/>
  <c r="AK34" i="105" s="1"/>
  <c r="AM34" i="105" s="1"/>
  <c r="BH34" i="105"/>
  <c r="BG34" i="105"/>
  <c r="BE34" i="105"/>
  <c r="BD34" i="105"/>
  <c r="BC34" i="105"/>
  <c r="BB34" i="105"/>
  <c r="BA34" i="105"/>
  <c r="AZ34" i="105"/>
  <c r="AY34" i="105"/>
  <c r="AX34" i="105"/>
  <c r="AW34" i="105"/>
  <c r="AU34" i="105"/>
  <c r="AT34" i="105"/>
  <c r="AS34" i="105"/>
  <c r="AR34" i="105"/>
  <c r="AV34" i="105" s="1"/>
  <c r="AQ34" i="105"/>
  <c r="AP34" i="105"/>
  <c r="AO34" i="105"/>
  <c r="AL34" i="105"/>
  <c r="AJ34" i="105"/>
  <c r="AI34" i="105"/>
  <c r="AH34" i="105"/>
  <c r="AN34" i="105" s="1"/>
  <c r="AG34" i="105"/>
  <c r="G34" i="105"/>
  <c r="C34" i="105"/>
  <c r="B34" i="105"/>
  <c r="BN33" i="105"/>
  <c r="BL33" i="105"/>
  <c r="BK33" i="105"/>
  <c r="I33" i="105" s="1"/>
  <c r="BJ33" i="105"/>
  <c r="H33" i="105" s="1"/>
  <c r="BF33" i="105" s="1"/>
  <c r="BI33" i="105"/>
  <c r="BM33" i="105" s="1"/>
  <c r="BH33" i="105"/>
  <c r="BG33" i="105"/>
  <c r="BE33" i="105"/>
  <c r="BD33" i="105"/>
  <c r="BC33" i="105"/>
  <c r="BB33" i="105"/>
  <c r="BA33" i="105"/>
  <c r="AZ33" i="105"/>
  <c r="AY33" i="105"/>
  <c r="AX33" i="105"/>
  <c r="AW33" i="105"/>
  <c r="AU33" i="105"/>
  <c r="AT33" i="105"/>
  <c r="AS33" i="105"/>
  <c r="AR33" i="105"/>
  <c r="AV33" i="105" s="1"/>
  <c r="AQ33" i="105"/>
  <c r="AP33" i="105"/>
  <c r="AO33" i="105"/>
  <c r="AL33" i="105"/>
  <c r="AJ33" i="105"/>
  <c r="AI33" i="105"/>
  <c r="AH33" i="105"/>
  <c r="AN33" i="105" s="1"/>
  <c r="AG33" i="105"/>
  <c r="G33" i="105"/>
  <c r="C33" i="105"/>
  <c r="B33" i="105"/>
  <c r="BN32" i="105"/>
  <c r="BK32" i="105"/>
  <c r="I32" i="105" s="1"/>
  <c r="BJ32" i="105"/>
  <c r="H32" i="105" s="1"/>
  <c r="BF32" i="105" s="1"/>
  <c r="BI32" i="105"/>
  <c r="AK32" i="105" s="1"/>
  <c r="AM32" i="105" s="1"/>
  <c r="BH32" i="105"/>
  <c r="G32" i="105" s="1"/>
  <c r="BG32" i="105"/>
  <c r="BE32" i="105"/>
  <c r="BD32" i="105"/>
  <c r="BC32" i="105"/>
  <c r="BB32" i="105"/>
  <c r="BA32" i="105"/>
  <c r="AZ32" i="105"/>
  <c r="AY32" i="105"/>
  <c r="AX32" i="105"/>
  <c r="AW32" i="105"/>
  <c r="AU32" i="105"/>
  <c r="AT32" i="105"/>
  <c r="AS32" i="105"/>
  <c r="AR32" i="105"/>
  <c r="AV32" i="105" s="1"/>
  <c r="AQ32" i="105"/>
  <c r="AP32" i="105"/>
  <c r="AO32" i="105"/>
  <c r="AL32" i="105"/>
  <c r="AJ32" i="105"/>
  <c r="AI32" i="105"/>
  <c r="AH32" i="105"/>
  <c r="AN32" i="105" s="1"/>
  <c r="AG32" i="105"/>
  <c r="C32" i="105"/>
  <c r="B32" i="105"/>
  <c r="BN31" i="105"/>
  <c r="BL31" i="105"/>
  <c r="BK31" i="105"/>
  <c r="I31" i="105" s="1"/>
  <c r="BJ31" i="105"/>
  <c r="H31" i="105" s="1"/>
  <c r="BF31" i="105" s="1"/>
  <c r="BI31" i="105"/>
  <c r="AK31" i="105" s="1"/>
  <c r="AM31" i="105" s="1"/>
  <c r="BH31" i="105"/>
  <c r="G31" i="105" s="1"/>
  <c r="BG31" i="105"/>
  <c r="BE31" i="105"/>
  <c r="BD31" i="105"/>
  <c r="BC31" i="105"/>
  <c r="BB31" i="105"/>
  <c r="BA31" i="105"/>
  <c r="AZ31" i="105"/>
  <c r="AY31" i="105"/>
  <c r="AX31" i="105"/>
  <c r="AW31" i="105"/>
  <c r="AU31" i="105"/>
  <c r="AT31" i="105"/>
  <c r="AS31" i="105"/>
  <c r="AR31" i="105"/>
  <c r="AV31" i="105" s="1"/>
  <c r="AQ31" i="105"/>
  <c r="AP31" i="105"/>
  <c r="AO31" i="105"/>
  <c r="AL31" i="105"/>
  <c r="AJ31" i="105"/>
  <c r="AI31" i="105"/>
  <c r="AH31" i="105"/>
  <c r="AN31" i="105" s="1"/>
  <c r="AG31" i="105"/>
  <c r="C31" i="105"/>
  <c r="B31" i="105"/>
  <c r="BU30" i="105"/>
  <c r="BT30" i="105"/>
  <c r="BS30" i="105"/>
  <c r="BR30" i="105"/>
  <c r="BQ30" i="105"/>
  <c r="BH30" i="105"/>
  <c r="BE30" i="105"/>
  <c r="BD30" i="105"/>
  <c r="BC30" i="105"/>
  <c r="AU30" i="105"/>
  <c r="AS30" i="105"/>
  <c r="AQ30" i="105"/>
  <c r="AO30" i="105"/>
  <c r="AL30" i="105"/>
  <c r="AH30" i="105"/>
  <c r="AN30" i="105" s="1"/>
  <c r="AG30" i="105"/>
  <c r="BU29" i="105"/>
  <c r="BT29" i="105"/>
  <c r="BS29" i="105"/>
  <c r="BR29" i="105"/>
  <c r="BQ29" i="105"/>
  <c r="BL29" i="105"/>
  <c r="BH29" i="105"/>
  <c r="BE29" i="105"/>
  <c r="BD29" i="105"/>
  <c r="BC29" i="105"/>
  <c r="AU29" i="105"/>
  <c r="AS29" i="105"/>
  <c r="AQ29" i="105"/>
  <c r="AO29" i="105"/>
  <c r="AL29" i="105"/>
  <c r="AH29" i="105"/>
  <c r="AN29" i="105" s="1"/>
  <c r="AG29" i="105"/>
  <c r="G29" i="105"/>
  <c r="BB29" i="105" s="1"/>
  <c r="BU28" i="105"/>
  <c r="BT28" i="105"/>
  <c r="BS28" i="105"/>
  <c r="BR28" i="105"/>
  <c r="BQ28" i="105"/>
  <c r="BL28" i="105"/>
  <c r="BH28" i="105"/>
  <c r="BE28" i="105"/>
  <c r="BD28" i="105"/>
  <c r="BC28" i="105"/>
  <c r="AU28" i="105"/>
  <c r="AS28" i="105"/>
  <c r="AQ28" i="105"/>
  <c r="AO28" i="105"/>
  <c r="AL28" i="105"/>
  <c r="AH28" i="105"/>
  <c r="AN28" i="105" s="1"/>
  <c r="AG28" i="105"/>
  <c r="BU27" i="105"/>
  <c r="BT27" i="105"/>
  <c r="BS27" i="105"/>
  <c r="BR27" i="105"/>
  <c r="BQ27" i="105"/>
  <c r="BJ27" i="105"/>
  <c r="H27" i="105" s="1"/>
  <c r="BF27" i="105" s="1"/>
  <c r="BH27" i="105"/>
  <c r="BE27" i="105"/>
  <c r="BD27" i="105"/>
  <c r="BC27" i="105"/>
  <c r="AU27" i="105"/>
  <c r="AS27" i="105"/>
  <c r="AQ27" i="105"/>
  <c r="AO27" i="105"/>
  <c r="AL27" i="105"/>
  <c r="AH27" i="105"/>
  <c r="AN27" i="105" s="1"/>
  <c r="AG27" i="105"/>
  <c r="B27" i="105"/>
  <c r="BU26" i="105"/>
  <c r="BT26" i="105"/>
  <c r="BS26" i="105"/>
  <c r="BR26" i="105"/>
  <c r="BQ26" i="105"/>
  <c r="BL26" i="105"/>
  <c r="BH26" i="105"/>
  <c r="BE26" i="105"/>
  <c r="BD26" i="105"/>
  <c r="BC26" i="105"/>
  <c r="AU26" i="105"/>
  <c r="AS26" i="105"/>
  <c r="AQ26" i="105"/>
  <c r="AO26" i="105"/>
  <c r="AL26" i="105"/>
  <c r="AH26" i="105"/>
  <c r="AN26" i="105" s="1"/>
  <c r="AG26" i="105"/>
  <c r="G26" i="105"/>
  <c r="BB26" i="105" s="1"/>
  <c r="BU25" i="105"/>
  <c r="BT25" i="105"/>
  <c r="BS25" i="105"/>
  <c r="BR25" i="105"/>
  <c r="BQ25" i="105"/>
  <c r="BL25" i="105"/>
  <c r="BH25" i="105"/>
  <c r="BE25" i="105"/>
  <c r="BD25" i="105"/>
  <c r="BC25" i="105"/>
  <c r="AU25" i="105"/>
  <c r="AS25" i="105"/>
  <c r="AQ25" i="105"/>
  <c r="AO25" i="105"/>
  <c r="AL25" i="105"/>
  <c r="AH25" i="105"/>
  <c r="AN25" i="105" s="1"/>
  <c r="AG25" i="105"/>
  <c r="BU24" i="105"/>
  <c r="BT24" i="105"/>
  <c r="BS24" i="105"/>
  <c r="BR24" i="105"/>
  <c r="BQ24" i="105"/>
  <c r="BH24" i="105"/>
  <c r="BE24" i="105"/>
  <c r="BD24" i="105"/>
  <c r="BC24" i="105"/>
  <c r="AU24" i="105"/>
  <c r="AS24" i="105"/>
  <c r="AQ24" i="105"/>
  <c r="AO24" i="105"/>
  <c r="AL24" i="105"/>
  <c r="AH24" i="105"/>
  <c r="AN24" i="105" s="1"/>
  <c r="AG24" i="105"/>
  <c r="BU23" i="105"/>
  <c r="BT23" i="105"/>
  <c r="BS23" i="105"/>
  <c r="BR23" i="105"/>
  <c r="BQ23" i="105"/>
  <c r="BL23" i="105"/>
  <c r="BJ23" i="105"/>
  <c r="H23" i="105" s="1"/>
  <c r="BF23" i="105" s="1"/>
  <c r="BH23" i="105"/>
  <c r="BE23" i="105"/>
  <c r="BD23" i="105"/>
  <c r="BC23" i="105"/>
  <c r="AU23" i="105"/>
  <c r="AS23" i="105"/>
  <c r="AQ23" i="105"/>
  <c r="AO23" i="105"/>
  <c r="AL23" i="105"/>
  <c r="AH23" i="105"/>
  <c r="AN23" i="105" s="1"/>
  <c r="AG23" i="105"/>
  <c r="G23" i="105"/>
  <c r="BB23" i="105" s="1"/>
  <c r="B23" i="105"/>
  <c r="BU22" i="105"/>
  <c r="BT22" i="105"/>
  <c r="BS22" i="105"/>
  <c r="BR22" i="105"/>
  <c r="BQ22" i="105"/>
  <c r="BH22" i="105"/>
  <c r="BL22" i="105" s="1"/>
  <c r="BE22" i="105"/>
  <c r="BD22" i="105"/>
  <c r="BC22" i="105"/>
  <c r="AU22" i="105"/>
  <c r="AS22" i="105"/>
  <c r="AQ22" i="105"/>
  <c r="AO22" i="105"/>
  <c r="AL22" i="105"/>
  <c r="AH22" i="105"/>
  <c r="AN22" i="105" s="1"/>
  <c r="AG22" i="105"/>
  <c r="BL21" i="105"/>
  <c r="BK21" i="105"/>
  <c r="I21" i="105" s="1"/>
  <c r="BH21" i="105"/>
  <c r="BE21" i="105"/>
  <c r="BD21" i="105"/>
  <c r="BC21" i="105"/>
  <c r="BA21" i="105"/>
  <c r="AY21" i="105"/>
  <c r="AU21" i="105"/>
  <c r="AS21" i="105"/>
  <c r="AQ21" i="105"/>
  <c r="AO21" i="105"/>
  <c r="AL21" i="105"/>
  <c r="AH21" i="105"/>
  <c r="AG21" i="105"/>
  <c r="G21" i="105"/>
  <c r="BB21" i="105" s="1"/>
  <c r="BL20" i="105"/>
  <c r="BH20" i="105"/>
  <c r="BE20" i="105"/>
  <c r="BD20" i="105"/>
  <c r="BC20" i="105"/>
  <c r="AU20" i="105"/>
  <c r="AS20" i="105"/>
  <c r="AQ20" i="105"/>
  <c r="AO20" i="105"/>
  <c r="AL20" i="105"/>
  <c r="AH20" i="105"/>
  <c r="AN20" i="105" s="1"/>
  <c r="AG20" i="105"/>
  <c r="G20" i="105"/>
  <c r="BB20" i="105" s="1"/>
  <c r="BH19" i="105"/>
  <c r="BE19" i="105"/>
  <c r="BD19" i="105"/>
  <c r="BC19" i="105"/>
  <c r="AU19" i="105"/>
  <c r="AS19" i="105"/>
  <c r="AQ19" i="105"/>
  <c r="AO19" i="105"/>
  <c r="AL19" i="105"/>
  <c r="AH19" i="105"/>
  <c r="AN19" i="105" s="1"/>
  <c r="AG19" i="105"/>
  <c r="BJ18" i="105"/>
  <c r="H18" i="105" s="1"/>
  <c r="BF18" i="105" s="1"/>
  <c r="BH18" i="105"/>
  <c r="BL18" i="105" s="1"/>
  <c r="BE18" i="105"/>
  <c r="BD18" i="105"/>
  <c r="BC18" i="105"/>
  <c r="AU18" i="105"/>
  <c r="AS18" i="105"/>
  <c r="AQ18" i="105"/>
  <c r="AO18" i="105"/>
  <c r="AL18" i="105"/>
  <c r="AH18" i="105"/>
  <c r="AN18" i="105" s="1"/>
  <c r="AG18" i="105"/>
  <c r="B18" i="105"/>
  <c r="BL17" i="105"/>
  <c r="BK17" i="105"/>
  <c r="I17" i="105" s="1"/>
  <c r="BH17" i="105"/>
  <c r="BE17" i="105"/>
  <c r="BD17" i="105"/>
  <c r="BC17" i="105"/>
  <c r="BA17" i="105"/>
  <c r="AY17" i="105"/>
  <c r="AU17" i="105"/>
  <c r="AS17" i="105"/>
  <c r="AQ17" i="105"/>
  <c r="AO17" i="105"/>
  <c r="AL17" i="105"/>
  <c r="AH17" i="105"/>
  <c r="AG17" i="105"/>
  <c r="G17" i="105"/>
  <c r="BB17" i="105" s="1"/>
  <c r="BL16" i="105"/>
  <c r="BH16" i="105"/>
  <c r="BE16" i="105"/>
  <c r="BD16" i="105"/>
  <c r="BC16" i="105"/>
  <c r="AU16" i="105"/>
  <c r="AS16" i="105"/>
  <c r="AQ16" i="105"/>
  <c r="AO16" i="105"/>
  <c r="AL16" i="105"/>
  <c r="AH16" i="105"/>
  <c r="AN16" i="105" s="1"/>
  <c r="AG16" i="105"/>
  <c r="G16" i="105"/>
  <c r="BB16" i="105" s="1"/>
  <c r="BH15" i="105"/>
  <c r="BE15" i="105"/>
  <c r="BD15" i="105"/>
  <c r="BC15" i="105"/>
  <c r="AU15" i="105"/>
  <c r="AS15" i="105"/>
  <c r="AQ15" i="105"/>
  <c r="AO15" i="105"/>
  <c r="AL15" i="105"/>
  <c r="AH15" i="105"/>
  <c r="AN15" i="105" s="1"/>
  <c r="AG15" i="105"/>
  <c r="BH14" i="105"/>
  <c r="BE14" i="105"/>
  <c r="BD14" i="105"/>
  <c r="BC14" i="105"/>
  <c r="AU14" i="105"/>
  <c r="AS14" i="105"/>
  <c r="AQ14" i="105"/>
  <c r="AO14" i="105"/>
  <c r="AL14" i="105"/>
  <c r="AH14" i="105"/>
  <c r="AG14" i="105"/>
  <c r="BL13" i="105"/>
  <c r="BK13" i="105"/>
  <c r="I13" i="105" s="1"/>
  <c r="BJ13" i="105"/>
  <c r="H13" i="105" s="1"/>
  <c r="BF13" i="105" s="1"/>
  <c r="BH13" i="105"/>
  <c r="BE13" i="105"/>
  <c r="BD13" i="105"/>
  <c r="BC13" i="105"/>
  <c r="BA13" i="105"/>
  <c r="AY13" i="105"/>
  <c r="AU13" i="105"/>
  <c r="AS13" i="105"/>
  <c r="AQ13" i="105"/>
  <c r="AO13" i="105"/>
  <c r="AL13" i="105"/>
  <c r="AH13" i="105"/>
  <c r="AN13" i="105" s="1"/>
  <c r="AG13" i="105"/>
  <c r="G13" i="105"/>
  <c r="B13" i="105"/>
  <c r="BL12" i="105"/>
  <c r="BH12" i="105"/>
  <c r="BE12" i="105"/>
  <c r="BD12" i="105"/>
  <c r="BC12" i="105"/>
  <c r="AU12" i="105"/>
  <c r="AS12" i="105"/>
  <c r="AQ12" i="105"/>
  <c r="AO12" i="105"/>
  <c r="AL12" i="105"/>
  <c r="AH12" i="105"/>
  <c r="AN12" i="105" s="1"/>
  <c r="AG12" i="105"/>
  <c r="G12" i="105"/>
  <c r="BB12" i="105" s="1"/>
  <c r="BH11" i="105"/>
  <c r="BE11" i="105"/>
  <c r="BD11" i="105"/>
  <c r="BD5" i="105" s="1"/>
  <c r="BC11" i="105"/>
  <c r="AU11" i="105"/>
  <c r="AS11" i="105"/>
  <c r="AQ11" i="105"/>
  <c r="AO11" i="105"/>
  <c r="AL11" i="105"/>
  <c r="AH11" i="105"/>
  <c r="AN11" i="105" s="1"/>
  <c r="AG11" i="105"/>
  <c r="BH10" i="105"/>
  <c r="BE10" i="105"/>
  <c r="BD10" i="105"/>
  <c r="BC10" i="105"/>
  <c r="AU10" i="105"/>
  <c r="AU42" i="105" s="1"/>
  <c r="AS10" i="105"/>
  <c r="AQ10" i="105"/>
  <c r="AO10" i="105"/>
  <c r="AL10" i="105"/>
  <c r="AJ10" i="105"/>
  <c r="AH10" i="105"/>
  <c r="AG10" i="105"/>
  <c r="BL9" i="105"/>
  <c r="BK9" i="105"/>
  <c r="I9" i="105" s="1"/>
  <c r="BJ9" i="105"/>
  <c r="H9" i="105" s="1"/>
  <c r="BF9" i="105" s="1"/>
  <c r="BH9" i="105"/>
  <c r="BE9" i="105"/>
  <c r="BD9" i="105"/>
  <c r="BC9" i="105"/>
  <c r="BC5" i="105" s="1"/>
  <c r="BA9" i="105"/>
  <c r="AY9" i="105"/>
  <c r="AX9" i="105"/>
  <c r="AU9" i="105"/>
  <c r="AV44" i="105" s="1"/>
  <c r="AS9" i="105"/>
  <c r="AQ9" i="105"/>
  <c r="AQ42" i="105" s="1"/>
  <c r="AO9" i="105"/>
  <c r="AL9" i="105"/>
  <c r="AJ9" i="105"/>
  <c r="AH9" i="105"/>
  <c r="AN9" i="105" s="1"/>
  <c r="AG9" i="105"/>
  <c r="G9" i="105"/>
  <c r="BI9" i="105" s="1"/>
  <c r="B9" i="105"/>
  <c r="AV7" i="105"/>
  <c r="BM38" i="105" l="1"/>
  <c r="AN10" i="105"/>
  <c r="AV45" i="105"/>
  <c r="AN21" i="105"/>
  <c r="BM37" i="105"/>
  <c r="AK33" i="105"/>
  <c r="AM33" i="105" s="1"/>
  <c r="BM34" i="105"/>
  <c r="BE5" i="105"/>
  <c r="AN14" i="105"/>
  <c r="AN17" i="105"/>
  <c r="AJ11" i="105"/>
  <c r="AJ12" i="105" s="1"/>
  <c r="AJ13" i="105" s="1"/>
  <c r="AZ9" i="105"/>
  <c r="AK9" i="105"/>
  <c r="BN9" i="105"/>
  <c r="BM9" i="105"/>
  <c r="AI29" i="105"/>
  <c r="C29" i="105" s="1"/>
  <c r="AI30" i="105"/>
  <c r="C30" i="105" s="1"/>
  <c r="AI24" i="105"/>
  <c r="C24" i="105" s="1"/>
  <c r="AI19" i="105"/>
  <c r="C19" i="105" s="1"/>
  <c r="AI28" i="105"/>
  <c r="C28" i="105" s="1"/>
  <c r="AI25" i="105"/>
  <c r="C25" i="105" s="1"/>
  <c r="AI22" i="105"/>
  <c r="C22" i="105" s="1"/>
  <c r="AI14" i="105"/>
  <c r="C14" i="105" s="1"/>
  <c r="AI10" i="105"/>
  <c r="C10" i="105" s="1"/>
  <c r="AI11" i="105"/>
  <c r="C11" i="105" s="1"/>
  <c r="AI15" i="105"/>
  <c r="C15" i="105" s="1"/>
  <c r="AI16" i="105"/>
  <c r="C16" i="105" s="1"/>
  <c r="AI12" i="105"/>
  <c r="C12" i="105" s="1"/>
  <c r="AI17" i="105"/>
  <c r="C17" i="105" s="1"/>
  <c r="AI26" i="105"/>
  <c r="C26" i="105" s="1"/>
  <c r="E42" i="105"/>
  <c r="AV42" i="105"/>
  <c r="AV46" i="105" s="1"/>
  <c r="Q6" i="105"/>
  <c r="AN42" i="105"/>
  <c r="AI20" i="105"/>
  <c r="C20" i="105" s="1"/>
  <c r="AS42" i="105"/>
  <c r="AT42" i="105" s="1"/>
  <c r="BL10" i="105"/>
  <c r="G10" i="105"/>
  <c r="BA12" i="105"/>
  <c r="BK12" i="105"/>
  <c r="I12" i="105" s="1"/>
  <c r="AY12" i="105"/>
  <c r="AW12" i="105"/>
  <c r="BI12" i="105"/>
  <c r="G14" i="105"/>
  <c r="BL14" i="105"/>
  <c r="AI21" i="105"/>
  <c r="C21" i="105" s="1"/>
  <c r="B10" i="105"/>
  <c r="BM31" i="105"/>
  <c r="BM35" i="105"/>
  <c r="BM39" i="105"/>
  <c r="G18" i="105"/>
  <c r="G22" i="105"/>
  <c r="G25" i="105"/>
  <c r="G28" i="105"/>
  <c r="BB9" i="105"/>
  <c r="BI16" i="105"/>
  <c r="BL19" i="105"/>
  <c r="BI20" i="105"/>
  <c r="AZ20" i="105" s="1"/>
  <c r="BL32" i="105"/>
  <c r="BL36" i="105"/>
  <c r="BL40" i="105"/>
  <c r="BL24" i="105"/>
  <c r="BL27" i="105"/>
  <c r="BL30" i="105"/>
  <c r="BM32" i="105"/>
  <c r="BM36" i="105"/>
  <c r="BM40" i="105"/>
  <c r="BB13" i="105"/>
  <c r="B11" i="105"/>
  <c r="BL11" i="105"/>
  <c r="BL15" i="105"/>
  <c r="AW16" i="105"/>
  <c r="AW20" i="105"/>
  <c r="G11" i="105"/>
  <c r="G15" i="105"/>
  <c r="AY16" i="105"/>
  <c r="BK16" i="105"/>
  <c r="I16" i="105" s="1"/>
  <c r="G19" i="105"/>
  <c r="AY20" i="105"/>
  <c r="BK20" i="105"/>
  <c r="I20" i="105" s="1"/>
  <c r="AW23" i="105"/>
  <c r="BI23" i="105"/>
  <c r="AW26" i="105"/>
  <c r="BI26" i="105"/>
  <c r="AW29" i="105"/>
  <c r="BI29" i="105"/>
  <c r="AZ29" i="105" s="1"/>
  <c r="AW9" i="105"/>
  <c r="AW13" i="105"/>
  <c r="BI13" i="105"/>
  <c r="AW17" i="105"/>
  <c r="BI17" i="105"/>
  <c r="AZ17" i="105" s="1"/>
  <c r="AW21" i="105"/>
  <c r="BI21" i="105"/>
  <c r="AZ21" i="105" s="1"/>
  <c r="AX23" i="105"/>
  <c r="G24" i="105"/>
  <c r="G27" i="105"/>
  <c r="G30" i="105"/>
  <c r="AX13" i="105"/>
  <c r="BA16" i="105"/>
  <c r="BA20" i="105"/>
  <c r="AY23" i="105"/>
  <c r="BK23" i="105"/>
  <c r="I23" i="105" s="1"/>
  <c r="AY26" i="105"/>
  <c r="BK26" i="105"/>
  <c r="I26" i="105" s="1"/>
  <c r="AY29" i="105"/>
  <c r="BK29" i="105"/>
  <c r="I29" i="105" s="1"/>
  <c r="BA23" i="105"/>
  <c r="BA26" i="105"/>
  <c r="BA29" i="105"/>
  <c r="AN7" i="105" l="1"/>
  <c r="AK13" i="105"/>
  <c r="BN13" i="105"/>
  <c r="BM13" i="105"/>
  <c r="BB24" i="105"/>
  <c r="BA24" i="105"/>
  <c r="BK24" i="105"/>
  <c r="I24" i="105" s="1"/>
  <c r="AY24" i="105"/>
  <c r="BI24" i="105"/>
  <c r="AZ24" i="105" s="1"/>
  <c r="AW24" i="105"/>
  <c r="BM12" i="105"/>
  <c r="BJ12" i="105"/>
  <c r="H12" i="105" s="1"/>
  <c r="BF12" i="105" s="1"/>
  <c r="AK12" i="105"/>
  <c r="BN12" i="105"/>
  <c r="BK28" i="105"/>
  <c r="I28" i="105" s="1"/>
  <c r="AY28" i="105"/>
  <c r="BI28" i="105"/>
  <c r="AZ28" i="105" s="1"/>
  <c r="AW28" i="105"/>
  <c r="BB28" i="105"/>
  <c r="BA28" i="105"/>
  <c r="BI11" i="105"/>
  <c r="AZ11" i="105" s="1"/>
  <c r="BB11" i="105"/>
  <c r="BA11" i="105"/>
  <c r="AW11" i="105"/>
  <c r="BK11" i="105"/>
  <c r="I11" i="105" s="1"/>
  <c r="AY11" i="105"/>
  <c r="BK22" i="105"/>
  <c r="I22" i="105" s="1"/>
  <c r="AY22" i="105"/>
  <c r="BI22" i="105"/>
  <c r="AZ22" i="105" s="1"/>
  <c r="AW22" i="105"/>
  <c r="BB22" i="105"/>
  <c r="BA22" i="105"/>
  <c r="AZ12" i="105"/>
  <c r="AZ13" i="105"/>
  <c r="BN17" i="105"/>
  <c r="BM17" i="105"/>
  <c r="BJ17" i="105"/>
  <c r="H17" i="105" s="1"/>
  <c r="BF17" i="105" s="1"/>
  <c r="AK17" i="105"/>
  <c r="BN26" i="105"/>
  <c r="BM26" i="105"/>
  <c r="AZ26" i="105"/>
  <c r="BJ26" i="105"/>
  <c r="H26" i="105" s="1"/>
  <c r="BF26" i="105" s="1"/>
  <c r="AK26" i="105"/>
  <c r="BN16" i="105"/>
  <c r="BM16" i="105"/>
  <c r="BJ16" i="105"/>
  <c r="H16" i="105" s="1"/>
  <c r="BF16" i="105" s="1"/>
  <c r="AK16" i="105"/>
  <c r="BK25" i="105"/>
  <c r="I25" i="105" s="1"/>
  <c r="AY25" i="105"/>
  <c r="BI25" i="105"/>
  <c r="AZ25" i="105" s="1"/>
  <c r="AW25" i="105"/>
  <c r="BB25" i="105"/>
  <c r="BA25" i="105"/>
  <c r="BK14" i="105"/>
  <c r="I14" i="105" s="1"/>
  <c r="AY14" i="105"/>
  <c r="BI14" i="105"/>
  <c r="AW14" i="105"/>
  <c r="AZ14" i="105"/>
  <c r="BB14" i="105"/>
  <c r="BA14" i="105"/>
  <c r="B12" i="105"/>
  <c r="BK18" i="105"/>
  <c r="I18" i="105" s="1"/>
  <c r="AY18" i="105"/>
  <c r="AX18" i="105"/>
  <c r="BI18" i="105"/>
  <c r="AZ18" i="105" s="1"/>
  <c r="AW18" i="105"/>
  <c r="BB18" i="105"/>
  <c r="BA18" i="105"/>
  <c r="BB30" i="105"/>
  <c r="BA30" i="105"/>
  <c r="BK30" i="105"/>
  <c r="I30" i="105" s="1"/>
  <c r="AY30" i="105"/>
  <c r="BI30" i="105"/>
  <c r="AW30" i="105"/>
  <c r="AZ16" i="105"/>
  <c r="BI10" i="105"/>
  <c r="AZ10" i="105" s="1"/>
  <c r="BK10" i="105"/>
  <c r="I10" i="105" s="1"/>
  <c r="AW10" i="105"/>
  <c r="BB10" i="105"/>
  <c r="BB5" i="105" s="1"/>
  <c r="AY10" i="105"/>
  <c r="BA10" i="105"/>
  <c r="BB19" i="105"/>
  <c r="BA19" i="105"/>
  <c r="BI19" i="105"/>
  <c r="BK19" i="105"/>
  <c r="I19" i="105" s="1"/>
  <c r="AY19" i="105"/>
  <c r="AW19" i="105"/>
  <c r="BI15" i="105"/>
  <c r="AZ15" i="105" s="1"/>
  <c r="BB15" i="105"/>
  <c r="BA15" i="105"/>
  <c r="BK15" i="105"/>
  <c r="I15" i="105" s="1"/>
  <c r="AY15" i="105"/>
  <c r="AW15" i="105"/>
  <c r="BN23" i="105"/>
  <c r="BM23" i="105"/>
  <c r="AZ23" i="105"/>
  <c r="AK23" i="105"/>
  <c r="BN20" i="105"/>
  <c r="BM20" i="105"/>
  <c r="BJ20" i="105"/>
  <c r="H20" i="105" s="1"/>
  <c r="BF20" i="105" s="1"/>
  <c r="AK20" i="105"/>
  <c r="AT9" i="105"/>
  <c r="AR9" i="105"/>
  <c r="AM9" i="105"/>
  <c r="BB27" i="105"/>
  <c r="BA27" i="105"/>
  <c r="BK27" i="105"/>
  <c r="I27" i="105" s="1"/>
  <c r="AY27" i="105"/>
  <c r="AX27" i="105"/>
  <c r="BI27" i="105"/>
  <c r="AZ27" i="105" s="1"/>
  <c r="AW27" i="105"/>
  <c r="AJ14" i="105"/>
  <c r="AJ15" i="105" s="1"/>
  <c r="AJ16" i="105" s="1"/>
  <c r="AJ17" i="105" s="1"/>
  <c r="AJ18" i="105" s="1"/>
  <c r="BN21" i="105"/>
  <c r="BM21" i="105"/>
  <c r="BJ21" i="105"/>
  <c r="H21" i="105" s="1"/>
  <c r="BF21" i="105" s="1"/>
  <c r="AK21" i="105"/>
  <c r="BN29" i="105"/>
  <c r="BM29" i="105"/>
  <c r="BJ29" i="105"/>
  <c r="H29" i="105" s="1"/>
  <c r="BF29" i="105" s="1"/>
  <c r="AK29" i="105"/>
  <c r="AY5" i="105" l="1"/>
  <c r="BJ30" i="105"/>
  <c r="H30" i="105" s="1"/>
  <c r="BF30" i="105" s="1"/>
  <c r="AK30" i="105"/>
  <c r="BN30" i="105"/>
  <c r="BM30" i="105"/>
  <c r="AM23" i="105"/>
  <c r="AP23" i="105" s="1"/>
  <c r="AR23" i="105"/>
  <c r="AV23" i="105" s="1"/>
  <c r="AT23" i="105"/>
  <c r="AV9" i="105"/>
  <c r="BJ28" i="105"/>
  <c r="H28" i="105" s="1"/>
  <c r="BF28" i="105" s="1"/>
  <c r="AK28" i="105"/>
  <c r="BN28" i="105"/>
  <c r="BM28" i="105"/>
  <c r="AM17" i="105"/>
  <c r="AT17" i="105"/>
  <c r="AR17" i="105"/>
  <c r="AV17" i="105" s="1"/>
  <c r="AX17" i="105"/>
  <c r="BG23" i="105"/>
  <c r="AK10" i="105"/>
  <c r="BJ10" i="105"/>
  <c r="H10" i="105" s="1"/>
  <c r="BN10" i="105"/>
  <c r="BM10" i="105"/>
  <c r="AM21" i="105"/>
  <c r="AT21" i="105"/>
  <c r="AR21" i="105"/>
  <c r="AV21" i="105" s="1"/>
  <c r="AX21" i="105"/>
  <c r="AM29" i="105"/>
  <c r="AT29" i="105"/>
  <c r="AR29" i="105"/>
  <c r="AV29" i="105" s="1"/>
  <c r="AX29" i="105"/>
  <c r="AR20" i="105"/>
  <c r="AV20" i="105" s="1"/>
  <c r="AM20" i="105"/>
  <c r="AT20" i="105"/>
  <c r="AX20" i="105"/>
  <c r="BJ19" i="105"/>
  <c r="H19" i="105" s="1"/>
  <c r="BF19" i="105" s="1"/>
  <c r="AK19" i="105"/>
  <c r="BM19" i="105"/>
  <c r="BN19" i="105"/>
  <c r="AP12" i="105"/>
  <c r="AM26" i="105"/>
  <c r="AR26" i="105"/>
  <c r="AV26" i="105" s="1"/>
  <c r="AT26" i="105"/>
  <c r="AX26" i="105"/>
  <c r="AJ19" i="105"/>
  <c r="AJ20" i="105" s="1"/>
  <c r="AJ21" i="105" s="1"/>
  <c r="AJ22" i="105" s="1"/>
  <c r="AJ23" i="105" s="1"/>
  <c r="AK14" i="105"/>
  <c r="BJ14" i="105"/>
  <c r="H14" i="105" s="1"/>
  <c r="BF14" i="105" s="1"/>
  <c r="BM14" i="105"/>
  <c r="BN14" i="105"/>
  <c r="BJ24" i="105"/>
  <c r="H24" i="105" s="1"/>
  <c r="BF24" i="105" s="1"/>
  <c r="AK24" i="105"/>
  <c r="BM24" i="105"/>
  <c r="BN24" i="105"/>
  <c r="AP9" i="105"/>
  <c r="BG9" i="105" s="1"/>
  <c r="AK27" i="105"/>
  <c r="BN27" i="105"/>
  <c r="BM27" i="105"/>
  <c r="AZ19" i="105"/>
  <c r="B14" i="105"/>
  <c r="AK18" i="105"/>
  <c r="BM18" i="105"/>
  <c r="BN18" i="105"/>
  <c r="BJ25" i="105"/>
  <c r="H25" i="105" s="1"/>
  <c r="BF25" i="105" s="1"/>
  <c r="AK25" i="105"/>
  <c r="BM25" i="105"/>
  <c r="BN25" i="105"/>
  <c r="BJ22" i="105"/>
  <c r="H22" i="105" s="1"/>
  <c r="BF22" i="105" s="1"/>
  <c r="AK22" i="105"/>
  <c r="BN22" i="105"/>
  <c r="BM22" i="105"/>
  <c r="BJ11" i="105"/>
  <c r="H11" i="105" s="1"/>
  <c r="AK11" i="105"/>
  <c r="BN11" i="105"/>
  <c r="BM11" i="105"/>
  <c r="AM12" i="105"/>
  <c r="AR12" i="105"/>
  <c r="AV12" i="105" s="1"/>
  <c r="AT12" i="105"/>
  <c r="AX12" i="105"/>
  <c r="BG12" i="105" s="1"/>
  <c r="AT13" i="105"/>
  <c r="AR13" i="105"/>
  <c r="AV13" i="105" s="1"/>
  <c r="AM13" i="105"/>
  <c r="AP13" i="105" s="1"/>
  <c r="BG13" i="105" s="1"/>
  <c r="BA5" i="105"/>
  <c r="AK15" i="105"/>
  <c r="BJ15" i="105"/>
  <c r="H15" i="105" s="1"/>
  <c r="BF15" i="105" s="1"/>
  <c r="BN15" i="105"/>
  <c r="BM15" i="105"/>
  <c r="AZ30" i="105"/>
  <c r="AR16" i="105"/>
  <c r="AV16" i="105" s="1"/>
  <c r="AM16" i="105"/>
  <c r="AT16" i="105"/>
  <c r="AX16" i="105"/>
  <c r="AM25" i="105" l="1"/>
  <c r="AT25" i="105"/>
  <c r="AR25" i="105"/>
  <c r="AV25" i="105" s="1"/>
  <c r="AX25" i="105"/>
  <c r="AT30" i="105"/>
  <c r="AR30" i="105"/>
  <c r="AV30" i="105" s="1"/>
  <c r="AM30" i="105"/>
  <c r="AX30" i="105"/>
  <c r="AM18" i="105"/>
  <c r="AP18" i="105" s="1"/>
  <c r="BG18" i="105" s="1"/>
  <c r="AT18" i="105"/>
  <c r="AR18" i="105"/>
  <c r="AV18" i="105" s="1"/>
  <c r="AT24" i="105"/>
  <c r="AR24" i="105"/>
  <c r="AV24" i="105" s="1"/>
  <c r="AM24" i="105"/>
  <c r="AX24" i="105"/>
  <c r="AT14" i="105"/>
  <c r="AR14" i="105"/>
  <c r="AV14" i="105" s="1"/>
  <c r="AM14" i="105"/>
  <c r="AX14" i="105"/>
  <c r="AJ24" i="105"/>
  <c r="AM28" i="105"/>
  <c r="AT28" i="105"/>
  <c r="AR28" i="105"/>
  <c r="AV28" i="105" s="1"/>
  <c r="AX28" i="105"/>
  <c r="AT27" i="105"/>
  <c r="AR27" i="105"/>
  <c r="AV27" i="105" s="1"/>
  <c r="AM27" i="105"/>
  <c r="AP27" i="105" s="1"/>
  <c r="BG27" i="105" s="1"/>
  <c r="AT19" i="105"/>
  <c r="AR19" i="105"/>
  <c r="AV19" i="105" s="1"/>
  <c r="AM19" i="105"/>
  <c r="AX19" i="105"/>
  <c r="AT15" i="105"/>
  <c r="AR15" i="105"/>
  <c r="AV15" i="105" s="1"/>
  <c r="AM15" i="105"/>
  <c r="AX15" i="105"/>
  <c r="BF10" i="105"/>
  <c r="AP10" i="105"/>
  <c r="AZ5" i="105"/>
  <c r="AT11" i="105"/>
  <c r="AR11" i="105"/>
  <c r="AV11" i="105" s="1"/>
  <c r="AM11" i="105"/>
  <c r="AX11" i="105"/>
  <c r="AT10" i="105"/>
  <c r="AR10" i="105"/>
  <c r="AM10" i="105"/>
  <c r="AX10" i="105"/>
  <c r="AP14" i="105"/>
  <c r="B15" i="105"/>
  <c r="AP15" i="105" s="1"/>
  <c r="B16" i="105"/>
  <c r="AP16" i="105" s="1"/>
  <c r="BG16" i="105" s="1"/>
  <c r="BF11" i="105"/>
  <c r="AP11" i="105"/>
  <c r="AM22" i="105"/>
  <c r="AT22" i="105"/>
  <c r="AR22" i="105"/>
  <c r="AV22" i="105" s="1"/>
  <c r="AX22" i="105"/>
  <c r="BG11" i="105" l="1"/>
  <c r="BG15" i="105"/>
  <c r="BG14" i="105"/>
  <c r="B17" i="105"/>
  <c r="B19" i="105" s="1"/>
  <c r="AM7" i="105"/>
  <c r="J42" i="105" s="1"/>
  <c r="AM42" i="105"/>
  <c r="AJ25" i="105"/>
  <c r="AX5" i="105"/>
  <c r="BG10" i="105"/>
  <c r="AV10" i="105"/>
  <c r="AR42" i="105"/>
  <c r="AR46" i="105" s="1"/>
  <c r="AP19" i="105" l="1"/>
  <c r="BG19" i="105" s="1"/>
  <c r="AJ26" i="105"/>
  <c r="U46" i="105"/>
  <c r="Q41" i="105" s="1"/>
  <c r="F42" i="105"/>
  <c r="U49" i="105" s="1"/>
  <c r="U50" i="105" s="1"/>
  <c r="Q7" i="105"/>
  <c r="AW5" i="105"/>
  <c r="U45" i="105" s="1"/>
  <c r="O41" i="105" s="1"/>
  <c r="AP17" i="105"/>
  <c r="BG17" i="105" s="1"/>
  <c r="B21" i="105"/>
  <c r="AP21" i="105" s="1"/>
  <c r="BG21" i="105" s="1"/>
  <c r="AR47" i="105"/>
  <c r="B42" i="105" s="1"/>
  <c r="B20" i="105"/>
  <c r="AP20" i="105" s="1"/>
  <c r="BG20" i="105" s="1"/>
  <c r="B22" i="105" l="1"/>
  <c r="AJ27" i="105"/>
  <c r="AP22" i="105" l="1"/>
  <c r="BG22" i="105" s="1"/>
  <c r="B24" i="105"/>
  <c r="AJ28" i="105"/>
  <c r="AP24" i="105" l="1"/>
  <c r="BG24" i="105" s="1"/>
  <c r="B25" i="105"/>
  <c r="AJ29" i="105"/>
  <c r="AP25" i="105" l="1"/>
  <c r="BG25" i="105" s="1"/>
  <c r="B26" i="105"/>
  <c r="AJ30" i="105"/>
  <c r="AI27" i="105"/>
  <c r="C27" i="105" s="1"/>
  <c r="AI23" i="105"/>
  <c r="C23" i="105" s="1"/>
  <c r="AI9" i="105" l="1"/>
  <c r="C9" i="105" s="1"/>
  <c r="AI13" i="105"/>
  <c r="AI18" i="105"/>
  <c r="C18" i="105" s="1"/>
  <c r="AP26" i="105"/>
  <c r="BG26" i="105" s="1"/>
  <c r="B28" i="105"/>
  <c r="AP28" i="105" l="1"/>
  <c r="BG28" i="105" s="1"/>
  <c r="B29" i="105"/>
  <c r="C13" i="105"/>
  <c r="AI44" i="105"/>
  <c r="AP29" i="105" l="1"/>
  <c r="BG29" i="105" s="1"/>
  <c r="B30" i="105"/>
  <c r="AP30" i="105" s="1"/>
  <c r="BG30" i="105" s="1"/>
  <c r="U48" i="104" l="1"/>
  <c r="BE44" i="104"/>
  <c r="AT44" i="104"/>
  <c r="AT45" i="104" s="1"/>
  <c r="AR45" i="104" s="1"/>
  <c r="H42" i="104"/>
  <c r="BN40" i="104"/>
  <c r="BK40" i="104"/>
  <c r="I40" i="104" s="1"/>
  <c r="BJ40" i="104"/>
  <c r="H40" i="104" s="1"/>
  <c r="BF40" i="104" s="1"/>
  <c r="BI40" i="104"/>
  <c r="AK40" i="104" s="1"/>
  <c r="AM40" i="104" s="1"/>
  <c r="BH40" i="104"/>
  <c r="BG40" i="104"/>
  <c r="BE40" i="104"/>
  <c r="BD40" i="104"/>
  <c r="BC40" i="104"/>
  <c r="BB40" i="104"/>
  <c r="BA40" i="104"/>
  <c r="AZ40" i="104"/>
  <c r="AY40" i="104"/>
  <c r="AX40" i="104"/>
  <c r="AW40" i="104"/>
  <c r="AU40" i="104"/>
  <c r="AT40" i="104"/>
  <c r="AS40" i="104"/>
  <c r="AR40" i="104"/>
  <c r="AV40" i="104" s="1"/>
  <c r="AQ40" i="104"/>
  <c r="AP40" i="104"/>
  <c r="AO40" i="104"/>
  <c r="AL40" i="104"/>
  <c r="AJ40" i="104"/>
  <c r="AI40" i="104"/>
  <c r="AH40" i="104"/>
  <c r="AN40" i="104" s="1"/>
  <c r="AG40" i="104"/>
  <c r="G40" i="104"/>
  <c r="C40" i="104"/>
  <c r="B40" i="104"/>
  <c r="BN39" i="104"/>
  <c r="BL39" i="104"/>
  <c r="BK39" i="104"/>
  <c r="I39" i="104" s="1"/>
  <c r="BJ39" i="104"/>
  <c r="H39" i="104" s="1"/>
  <c r="BF39" i="104" s="1"/>
  <c r="BI39" i="104"/>
  <c r="BM39" i="104" s="1"/>
  <c r="BH39" i="104"/>
  <c r="G39" i="104" s="1"/>
  <c r="BG39" i="104"/>
  <c r="BE39" i="104"/>
  <c r="BD39" i="104"/>
  <c r="BC39" i="104"/>
  <c r="BB39" i="104"/>
  <c r="BA39" i="104"/>
  <c r="AZ39" i="104"/>
  <c r="AY39" i="104"/>
  <c r="AX39" i="104"/>
  <c r="AW39" i="104"/>
  <c r="AU39" i="104"/>
  <c r="AT39" i="104"/>
  <c r="AS39" i="104"/>
  <c r="AR39" i="104"/>
  <c r="AV39" i="104" s="1"/>
  <c r="AQ39" i="104"/>
  <c r="AP39" i="104"/>
  <c r="AO39" i="104"/>
  <c r="AL39" i="104"/>
  <c r="AJ39" i="104"/>
  <c r="AI39" i="104"/>
  <c r="AH39" i="104"/>
  <c r="AN39" i="104" s="1"/>
  <c r="AG39" i="104"/>
  <c r="C39" i="104"/>
  <c r="B39" i="104"/>
  <c r="BN38" i="104"/>
  <c r="BK38" i="104"/>
  <c r="I38" i="104" s="1"/>
  <c r="BJ38" i="104"/>
  <c r="H38" i="104" s="1"/>
  <c r="BF38" i="104" s="1"/>
  <c r="BI38" i="104"/>
  <c r="BM38" i="104" s="1"/>
  <c r="BH38" i="104"/>
  <c r="G38" i="104" s="1"/>
  <c r="BG38" i="104"/>
  <c r="BE38" i="104"/>
  <c r="BD38" i="104"/>
  <c r="BC38" i="104"/>
  <c r="BB38" i="104"/>
  <c r="BA38" i="104"/>
  <c r="AZ38" i="104"/>
  <c r="AY38" i="104"/>
  <c r="AX38" i="104"/>
  <c r="AW38" i="104"/>
  <c r="AU38" i="104"/>
  <c r="AT38" i="104"/>
  <c r="AS38" i="104"/>
  <c r="AR38" i="104"/>
  <c r="AV38" i="104" s="1"/>
  <c r="AQ38" i="104"/>
  <c r="AP38" i="104"/>
  <c r="AO38" i="104"/>
  <c r="AL38" i="104"/>
  <c r="AJ38" i="104"/>
  <c r="AI38" i="104"/>
  <c r="AH38" i="104"/>
  <c r="AN38" i="104" s="1"/>
  <c r="AG38" i="104"/>
  <c r="C38" i="104"/>
  <c r="B38" i="104"/>
  <c r="BN37" i="104"/>
  <c r="BL37" i="104"/>
  <c r="BK37" i="104"/>
  <c r="I37" i="104" s="1"/>
  <c r="BJ37" i="104"/>
  <c r="H37" i="104" s="1"/>
  <c r="BF37" i="104" s="1"/>
  <c r="BI37" i="104"/>
  <c r="BM37" i="104" s="1"/>
  <c r="BH37" i="104"/>
  <c r="BG37" i="104"/>
  <c r="BE37" i="104"/>
  <c r="BD37" i="104"/>
  <c r="BC37" i="104"/>
  <c r="BB37" i="104"/>
  <c r="BA37" i="104"/>
  <c r="AZ37" i="104"/>
  <c r="AY37" i="104"/>
  <c r="AX37" i="104"/>
  <c r="AW37" i="104"/>
  <c r="AU37" i="104"/>
  <c r="AT37" i="104"/>
  <c r="AS37" i="104"/>
  <c r="AR37" i="104"/>
  <c r="AV37" i="104" s="1"/>
  <c r="AQ37" i="104"/>
  <c r="AP37" i="104"/>
  <c r="AO37" i="104"/>
  <c r="AL37" i="104"/>
  <c r="AJ37" i="104"/>
  <c r="AI37" i="104"/>
  <c r="AH37" i="104"/>
  <c r="AN37" i="104" s="1"/>
  <c r="AG37" i="104"/>
  <c r="G37" i="104"/>
  <c r="C37" i="104"/>
  <c r="B37" i="104"/>
  <c r="BN36" i="104"/>
  <c r="BK36" i="104"/>
  <c r="I36" i="104" s="1"/>
  <c r="BJ36" i="104"/>
  <c r="H36" i="104" s="1"/>
  <c r="BF36" i="104" s="1"/>
  <c r="BI36" i="104"/>
  <c r="AK36" i="104" s="1"/>
  <c r="AM36" i="104" s="1"/>
  <c r="BH36" i="104"/>
  <c r="BG36" i="104"/>
  <c r="BE36" i="104"/>
  <c r="BD36" i="104"/>
  <c r="BC36" i="104"/>
  <c r="BB36" i="104"/>
  <c r="BA36" i="104"/>
  <c r="AZ36" i="104"/>
  <c r="AY36" i="104"/>
  <c r="AX36" i="104"/>
  <c r="AW36" i="104"/>
  <c r="AU36" i="104"/>
  <c r="AT36" i="104"/>
  <c r="AS36" i="104"/>
  <c r="AR36" i="104"/>
  <c r="AV36" i="104" s="1"/>
  <c r="AQ36" i="104"/>
  <c r="AP36" i="104"/>
  <c r="AO36" i="104"/>
  <c r="AL36" i="104"/>
  <c r="AJ36" i="104"/>
  <c r="AI36" i="104"/>
  <c r="AH36" i="104"/>
  <c r="AN36" i="104" s="1"/>
  <c r="AG36" i="104"/>
  <c r="G36" i="104"/>
  <c r="C36" i="104"/>
  <c r="B36" i="104"/>
  <c r="BL35" i="104"/>
  <c r="BH35" i="104"/>
  <c r="BE35" i="104"/>
  <c r="BD35" i="104"/>
  <c r="BC35" i="104"/>
  <c r="AU35" i="104"/>
  <c r="AS35" i="104"/>
  <c r="AQ35" i="104"/>
  <c r="AO35" i="104"/>
  <c r="AL35" i="104"/>
  <c r="AH35" i="104"/>
  <c r="AN35" i="104" s="1"/>
  <c r="AG35" i="104"/>
  <c r="BH34" i="104"/>
  <c r="BE34" i="104"/>
  <c r="BD34" i="104"/>
  <c r="BC34" i="104"/>
  <c r="AU34" i="104"/>
  <c r="AS34" i="104"/>
  <c r="AQ34" i="104"/>
  <c r="AO34" i="104"/>
  <c r="AL34" i="104"/>
  <c r="AH34" i="104"/>
  <c r="AG34" i="104"/>
  <c r="BL33" i="104"/>
  <c r="BH33" i="104"/>
  <c r="BE33" i="104"/>
  <c r="BD33" i="104"/>
  <c r="BC33" i="104"/>
  <c r="BA33" i="104"/>
  <c r="AU33" i="104"/>
  <c r="AS33" i="104"/>
  <c r="AQ33" i="104"/>
  <c r="AO33" i="104"/>
  <c r="AL33" i="104"/>
  <c r="AH33" i="104"/>
  <c r="AN33" i="104" s="1"/>
  <c r="AG33" i="104"/>
  <c r="G33" i="104"/>
  <c r="BB33" i="104" s="1"/>
  <c r="BJ32" i="104"/>
  <c r="H32" i="104" s="1"/>
  <c r="BF32" i="104" s="1"/>
  <c r="BI32" i="104"/>
  <c r="BH32" i="104"/>
  <c r="BE32" i="104"/>
  <c r="BD32" i="104"/>
  <c r="BC32" i="104"/>
  <c r="AX32" i="104"/>
  <c r="AW32" i="104"/>
  <c r="AU32" i="104"/>
  <c r="AS32" i="104"/>
  <c r="AQ32" i="104"/>
  <c r="AO32" i="104"/>
  <c r="AL32" i="104"/>
  <c r="AH32" i="104"/>
  <c r="AN32" i="104" s="1"/>
  <c r="AG32" i="104"/>
  <c r="G32" i="104"/>
  <c r="BB32" i="104" s="1"/>
  <c r="B32" i="104"/>
  <c r="BL31" i="104"/>
  <c r="BH31" i="104"/>
  <c r="BE31" i="104"/>
  <c r="BD31" i="104"/>
  <c r="BC31" i="104"/>
  <c r="AU31" i="104"/>
  <c r="AS31" i="104"/>
  <c r="AQ31" i="104"/>
  <c r="AO31" i="104"/>
  <c r="AL31" i="104"/>
  <c r="AH31" i="104"/>
  <c r="AN31" i="104" s="1"/>
  <c r="AG31" i="104"/>
  <c r="BU30" i="104"/>
  <c r="BT30" i="104"/>
  <c r="BS30" i="104"/>
  <c r="BR30" i="104"/>
  <c r="BQ30" i="104"/>
  <c r="BH30" i="104"/>
  <c r="BE30" i="104"/>
  <c r="BD30" i="104"/>
  <c r="BC30" i="104"/>
  <c r="AU30" i="104"/>
  <c r="AS30" i="104"/>
  <c r="AQ30" i="104"/>
  <c r="AO30" i="104"/>
  <c r="AL30" i="104"/>
  <c r="AH30" i="104"/>
  <c r="AN30" i="104" s="1"/>
  <c r="AG30" i="104"/>
  <c r="BU29" i="104"/>
  <c r="BT29" i="104"/>
  <c r="BS29" i="104"/>
  <c r="BR29" i="104"/>
  <c r="BQ29" i="104"/>
  <c r="BL29" i="104"/>
  <c r="BK29" i="104"/>
  <c r="I29" i="104" s="1"/>
  <c r="BH29" i="104"/>
  <c r="BE29" i="104"/>
  <c r="BD29" i="104"/>
  <c r="BC29" i="104"/>
  <c r="AY29" i="104"/>
  <c r="AU29" i="104"/>
  <c r="AS29" i="104"/>
  <c r="AQ29" i="104"/>
  <c r="AO29" i="104"/>
  <c r="AL29" i="104"/>
  <c r="AH29" i="104"/>
  <c r="AG29" i="104"/>
  <c r="G29" i="104"/>
  <c r="BB29" i="104" s="1"/>
  <c r="BU28" i="104"/>
  <c r="BT28" i="104"/>
  <c r="BS28" i="104"/>
  <c r="BR28" i="104"/>
  <c r="BQ28" i="104"/>
  <c r="BL28" i="104"/>
  <c r="BJ28" i="104"/>
  <c r="H28" i="104" s="1"/>
  <c r="BF28" i="104" s="1"/>
  <c r="BH28" i="104"/>
  <c r="BE28" i="104"/>
  <c r="BD28" i="104"/>
  <c r="BC28" i="104"/>
  <c r="AU28" i="104"/>
  <c r="AS28" i="104"/>
  <c r="AQ28" i="104"/>
  <c r="AO28" i="104"/>
  <c r="AL28" i="104"/>
  <c r="AH28" i="104"/>
  <c r="AN28" i="104" s="1"/>
  <c r="AG28" i="104"/>
  <c r="B28" i="104"/>
  <c r="BU27" i="104"/>
  <c r="BT27" i="104"/>
  <c r="BS27" i="104"/>
  <c r="BR27" i="104"/>
  <c r="BQ27" i="104"/>
  <c r="BH27" i="104"/>
  <c r="BE27" i="104"/>
  <c r="BD27" i="104"/>
  <c r="BC27" i="104"/>
  <c r="AU27" i="104"/>
  <c r="AS27" i="104"/>
  <c r="AQ27" i="104"/>
  <c r="AO27" i="104"/>
  <c r="AL27" i="104"/>
  <c r="AH27" i="104"/>
  <c r="AN27" i="104" s="1"/>
  <c r="AG27" i="104"/>
  <c r="BU26" i="104"/>
  <c r="BT26" i="104"/>
  <c r="BS26" i="104"/>
  <c r="BR26" i="104"/>
  <c r="BQ26" i="104"/>
  <c r="BL26" i="104"/>
  <c r="BK26" i="104"/>
  <c r="I26" i="104" s="1"/>
  <c r="BH26" i="104"/>
  <c r="BE26" i="104"/>
  <c r="BD26" i="104"/>
  <c r="BC26" i="104"/>
  <c r="AY26" i="104"/>
  <c r="AU26" i="104"/>
  <c r="AS26" i="104"/>
  <c r="AQ26" i="104"/>
  <c r="AO26" i="104"/>
  <c r="AL26" i="104"/>
  <c r="AH26" i="104"/>
  <c r="AG26" i="104"/>
  <c r="G26" i="104"/>
  <c r="BB26" i="104" s="1"/>
  <c r="BU25" i="104"/>
  <c r="BT25" i="104"/>
  <c r="BS25" i="104"/>
  <c r="BR25" i="104"/>
  <c r="BQ25" i="104"/>
  <c r="BL25" i="104"/>
  <c r="BH25" i="104"/>
  <c r="BE25" i="104"/>
  <c r="BD25" i="104"/>
  <c r="BC25" i="104"/>
  <c r="AU25" i="104"/>
  <c r="AS25" i="104"/>
  <c r="AQ25" i="104"/>
  <c r="AO25" i="104"/>
  <c r="AL25" i="104"/>
  <c r="AH25" i="104"/>
  <c r="AN25" i="104" s="1"/>
  <c r="AG25" i="104"/>
  <c r="BU24" i="104"/>
  <c r="BT24" i="104"/>
  <c r="BS24" i="104"/>
  <c r="BR24" i="104"/>
  <c r="BQ24" i="104"/>
  <c r="BH24" i="104"/>
  <c r="BE24" i="104"/>
  <c r="BD24" i="104"/>
  <c r="BC24" i="104"/>
  <c r="AU24" i="104"/>
  <c r="AS24" i="104"/>
  <c r="AQ24" i="104"/>
  <c r="AO24" i="104"/>
  <c r="AL24" i="104"/>
  <c r="AH24" i="104"/>
  <c r="AN24" i="104" s="1"/>
  <c r="AG24" i="104"/>
  <c r="BU23" i="104"/>
  <c r="BT23" i="104"/>
  <c r="BS23" i="104"/>
  <c r="BR23" i="104"/>
  <c r="BQ23" i="104"/>
  <c r="BL23" i="104"/>
  <c r="BK23" i="104"/>
  <c r="I23" i="104" s="1"/>
  <c r="BJ23" i="104"/>
  <c r="H23" i="104" s="1"/>
  <c r="BF23" i="104" s="1"/>
  <c r="BH23" i="104"/>
  <c r="BE23" i="104"/>
  <c r="BD23" i="104"/>
  <c r="BC23" i="104"/>
  <c r="AY23" i="104"/>
  <c r="AX23" i="104"/>
  <c r="AU23" i="104"/>
  <c r="AS23" i="104"/>
  <c r="AQ23" i="104"/>
  <c r="AO23" i="104"/>
  <c r="AL23" i="104"/>
  <c r="AH23" i="104"/>
  <c r="AN23" i="104" s="1"/>
  <c r="AG23" i="104"/>
  <c r="G23" i="104"/>
  <c r="BB23" i="104" s="1"/>
  <c r="B23" i="104"/>
  <c r="BU22" i="104"/>
  <c r="BT22" i="104"/>
  <c r="BS22" i="104"/>
  <c r="BR22" i="104"/>
  <c r="BQ22" i="104"/>
  <c r="BL22" i="104"/>
  <c r="BH22" i="104"/>
  <c r="BE22" i="104"/>
  <c r="BD22" i="104"/>
  <c r="BC22" i="104"/>
  <c r="AU22" i="104"/>
  <c r="AS22" i="104"/>
  <c r="AQ22" i="104"/>
  <c r="AO22" i="104"/>
  <c r="AL22" i="104"/>
  <c r="AH22" i="104"/>
  <c r="AN22" i="104" s="1"/>
  <c r="AG22" i="104"/>
  <c r="BL21" i="104"/>
  <c r="BH21" i="104"/>
  <c r="BE21" i="104"/>
  <c r="BD21" i="104"/>
  <c r="BC21" i="104"/>
  <c r="AU21" i="104"/>
  <c r="AS21" i="104"/>
  <c r="AQ21" i="104"/>
  <c r="AO21" i="104"/>
  <c r="AL21" i="104"/>
  <c r="AH21" i="104"/>
  <c r="AG21" i="104"/>
  <c r="BL20" i="104"/>
  <c r="BH20" i="104"/>
  <c r="BE20" i="104"/>
  <c r="BD20" i="104"/>
  <c r="BC20" i="104"/>
  <c r="BA20" i="104"/>
  <c r="AU20" i="104"/>
  <c r="AS20" i="104"/>
  <c r="AQ20" i="104"/>
  <c r="AO20" i="104"/>
  <c r="AL20" i="104"/>
  <c r="AH20" i="104"/>
  <c r="AN20" i="104" s="1"/>
  <c r="AG20" i="104"/>
  <c r="G20" i="104"/>
  <c r="BB20" i="104" s="1"/>
  <c r="BI19" i="104"/>
  <c r="AK19" i="104" s="1"/>
  <c r="AT19" i="104" s="1"/>
  <c r="BH19" i="104"/>
  <c r="BE19" i="104"/>
  <c r="BD19" i="104"/>
  <c r="BC19" i="104"/>
  <c r="AW19" i="104"/>
  <c r="AU19" i="104"/>
  <c r="AS19" i="104"/>
  <c r="AQ19" i="104"/>
  <c r="AO19" i="104"/>
  <c r="AL19" i="104"/>
  <c r="AH19" i="104"/>
  <c r="AN19" i="104" s="1"/>
  <c r="AG19" i="104"/>
  <c r="G19" i="104"/>
  <c r="BB19" i="104" s="1"/>
  <c r="BL18" i="104"/>
  <c r="BJ18" i="104"/>
  <c r="H18" i="104" s="1"/>
  <c r="BF18" i="104" s="1"/>
  <c r="BH18" i="104"/>
  <c r="BE18" i="104"/>
  <c r="BD18" i="104"/>
  <c r="BC18" i="104"/>
  <c r="AU18" i="104"/>
  <c r="AS18" i="104"/>
  <c r="AQ18" i="104"/>
  <c r="AO18" i="104"/>
  <c r="AL18" i="104"/>
  <c r="AH18" i="104"/>
  <c r="AN18" i="104" s="1"/>
  <c r="AG18" i="104"/>
  <c r="B18" i="104"/>
  <c r="BL17" i="104"/>
  <c r="BH17" i="104"/>
  <c r="BE17" i="104"/>
  <c r="BD17" i="104"/>
  <c r="BC17" i="104"/>
  <c r="AU17" i="104"/>
  <c r="AS17" i="104"/>
  <c r="AQ17" i="104"/>
  <c r="AO17" i="104"/>
  <c r="AL17" i="104"/>
  <c r="AH17" i="104"/>
  <c r="AG17" i="104"/>
  <c r="BL16" i="104"/>
  <c r="BH16" i="104"/>
  <c r="BE16" i="104"/>
  <c r="BD16" i="104"/>
  <c r="BC16" i="104"/>
  <c r="BA16" i="104"/>
  <c r="AU16" i="104"/>
  <c r="AS16" i="104"/>
  <c r="AQ16" i="104"/>
  <c r="AO16" i="104"/>
  <c r="AL16" i="104"/>
  <c r="AH16" i="104"/>
  <c r="AN16" i="104" s="1"/>
  <c r="AG16" i="104"/>
  <c r="G16" i="104"/>
  <c r="BB16" i="104" s="1"/>
  <c r="BI15" i="104"/>
  <c r="AK15" i="104" s="1"/>
  <c r="AT15" i="104" s="1"/>
  <c r="BH15" i="104"/>
  <c r="BE15" i="104"/>
  <c r="BD15" i="104"/>
  <c r="BC15" i="104"/>
  <c r="AW15" i="104"/>
  <c r="AU15" i="104"/>
  <c r="AS15" i="104"/>
  <c r="AQ15" i="104"/>
  <c r="AO15" i="104"/>
  <c r="AL15" i="104"/>
  <c r="AH15" i="104"/>
  <c r="AN15" i="104" s="1"/>
  <c r="AG15" i="104"/>
  <c r="G15" i="104"/>
  <c r="BB15" i="104" s="1"/>
  <c r="BL14" i="104"/>
  <c r="BH14" i="104"/>
  <c r="BE14" i="104"/>
  <c r="BD14" i="104"/>
  <c r="BC14" i="104"/>
  <c r="AU14" i="104"/>
  <c r="AS14" i="104"/>
  <c r="AQ14" i="104"/>
  <c r="AO14" i="104"/>
  <c r="AL14" i="104"/>
  <c r="AH14" i="104"/>
  <c r="AN14" i="104" s="1"/>
  <c r="AG14" i="104"/>
  <c r="BL13" i="104"/>
  <c r="BJ13" i="104"/>
  <c r="BH13" i="104"/>
  <c r="BE13" i="104"/>
  <c r="BD13" i="104"/>
  <c r="BC13" i="104"/>
  <c r="AU13" i="104"/>
  <c r="AS13" i="104"/>
  <c r="AQ13" i="104"/>
  <c r="AO13" i="104"/>
  <c r="AL13" i="104"/>
  <c r="AH13" i="104"/>
  <c r="AN13" i="104" s="1"/>
  <c r="AG13" i="104"/>
  <c r="H13" i="104"/>
  <c r="BF13" i="104" s="1"/>
  <c r="B13" i="104"/>
  <c r="BL12" i="104"/>
  <c r="BH12" i="104"/>
  <c r="BE12" i="104"/>
  <c r="BD12" i="104"/>
  <c r="BC12" i="104"/>
  <c r="BA12" i="104"/>
  <c r="AU12" i="104"/>
  <c r="AS12" i="104"/>
  <c r="AQ12" i="104"/>
  <c r="AO12" i="104"/>
  <c r="AL12" i="104"/>
  <c r="AH12" i="104"/>
  <c r="AN12" i="104" s="1"/>
  <c r="AG12" i="104"/>
  <c r="G12" i="104"/>
  <c r="BB12" i="104" s="1"/>
  <c r="BI11" i="104"/>
  <c r="BH11" i="104"/>
  <c r="BE11" i="104"/>
  <c r="BD11" i="104"/>
  <c r="BC11" i="104"/>
  <c r="AW11" i="104"/>
  <c r="AU11" i="104"/>
  <c r="AS11" i="104"/>
  <c r="AQ11" i="104"/>
  <c r="AO11" i="104"/>
  <c r="AL11" i="104"/>
  <c r="AH11" i="104"/>
  <c r="AN11" i="104" s="1"/>
  <c r="AG11" i="104"/>
  <c r="G11" i="104"/>
  <c r="BB11" i="104" s="1"/>
  <c r="BL10" i="104"/>
  <c r="BH10" i="104"/>
  <c r="BE10" i="104"/>
  <c r="BD10" i="104"/>
  <c r="BC10" i="104"/>
  <c r="AU10" i="104"/>
  <c r="AU42" i="104" s="1"/>
  <c r="AS10" i="104"/>
  <c r="AQ10" i="104"/>
  <c r="AO10" i="104"/>
  <c r="AL10" i="104"/>
  <c r="AJ10" i="104"/>
  <c r="AJ11" i="104" s="1"/>
  <c r="AJ12" i="104" s="1"/>
  <c r="AJ13" i="104" s="1"/>
  <c r="AH10" i="104"/>
  <c r="AN10" i="104" s="1"/>
  <c r="AG10" i="104"/>
  <c r="B10" i="104"/>
  <c r="BL9" i="104"/>
  <c r="BJ9" i="104"/>
  <c r="H9" i="104" s="1"/>
  <c r="BF9" i="104" s="1"/>
  <c r="BH9" i="104"/>
  <c r="BE9" i="104"/>
  <c r="BD9" i="104"/>
  <c r="BD5" i="104" s="1"/>
  <c r="BC9" i="104"/>
  <c r="AU9" i="104"/>
  <c r="AS9" i="104"/>
  <c r="AS42" i="104" s="1"/>
  <c r="AT42" i="104" s="1"/>
  <c r="AQ9" i="104"/>
  <c r="AQ42" i="104" s="1"/>
  <c r="AO9" i="104"/>
  <c r="AL9" i="104"/>
  <c r="AJ9" i="104"/>
  <c r="AH9" i="104"/>
  <c r="AN9" i="104" s="1"/>
  <c r="AG9" i="104"/>
  <c r="B9" i="104"/>
  <c r="AV7" i="104"/>
  <c r="AN21" i="104" l="1"/>
  <c r="BM32" i="104"/>
  <c r="AK38" i="104"/>
  <c r="AM38" i="104" s="1"/>
  <c r="BM11" i="104"/>
  <c r="AN26" i="104"/>
  <c r="AN34" i="104"/>
  <c r="AK39" i="104"/>
  <c r="AM39" i="104" s="1"/>
  <c r="BM36" i="104"/>
  <c r="AN17" i="104"/>
  <c r="AN29" i="104"/>
  <c r="AK37" i="104"/>
  <c r="AM37" i="104" s="1"/>
  <c r="BM19" i="104"/>
  <c r="BM40" i="104"/>
  <c r="BE5" i="104"/>
  <c r="BM15" i="104"/>
  <c r="E42" i="104"/>
  <c r="AV42" i="104"/>
  <c r="Q6" i="104"/>
  <c r="AI15" i="104"/>
  <c r="C15" i="104" s="1"/>
  <c r="AI27" i="104"/>
  <c r="C27" i="104" s="1"/>
  <c r="AI21" i="104"/>
  <c r="C21" i="104" s="1"/>
  <c r="AI34" i="104"/>
  <c r="C34" i="104" s="1"/>
  <c r="AI11" i="104"/>
  <c r="C11" i="104" s="1"/>
  <c r="AI17" i="104"/>
  <c r="C17" i="104" s="1"/>
  <c r="AI29" i="104"/>
  <c r="C29" i="104" s="1"/>
  <c r="AJ14" i="104"/>
  <c r="AJ15" i="104" s="1"/>
  <c r="AJ16" i="104" s="1"/>
  <c r="AJ17" i="104" s="1"/>
  <c r="AJ18" i="104" s="1"/>
  <c r="AI24" i="104"/>
  <c r="C24" i="104" s="1"/>
  <c r="AI26" i="104"/>
  <c r="C26" i="104" s="1"/>
  <c r="BC5" i="104"/>
  <c r="BJ11" i="104"/>
  <c r="H11" i="104" s="1"/>
  <c r="BF11" i="104" s="1"/>
  <c r="AI19" i="104"/>
  <c r="C19" i="104" s="1"/>
  <c r="AK11" i="104"/>
  <c r="AI35" i="104"/>
  <c r="C35" i="104" s="1"/>
  <c r="AI31" i="104"/>
  <c r="C31" i="104" s="1"/>
  <c r="AI25" i="104"/>
  <c r="C25" i="104" s="1"/>
  <c r="AI22" i="104"/>
  <c r="C22" i="104" s="1"/>
  <c r="AI14" i="104"/>
  <c r="C14" i="104" s="1"/>
  <c r="AI10" i="104"/>
  <c r="C10" i="104" s="1"/>
  <c r="AI33" i="104"/>
  <c r="C33" i="104" s="1"/>
  <c r="AI20" i="104"/>
  <c r="C20" i="104" s="1"/>
  <c r="AI16" i="104"/>
  <c r="C16" i="104" s="1"/>
  <c r="AI12" i="104"/>
  <c r="C12" i="104" s="1"/>
  <c r="AV44" i="104"/>
  <c r="AV45" i="104" s="1"/>
  <c r="AI30" i="104"/>
  <c r="C30" i="104" s="1"/>
  <c r="AK32" i="104"/>
  <c r="AX15" i="104"/>
  <c r="BJ15" i="104"/>
  <c r="H15" i="104" s="1"/>
  <c r="BF15" i="104" s="1"/>
  <c r="AX19" i="104"/>
  <c r="BJ19" i="104"/>
  <c r="H19" i="104" s="1"/>
  <c r="BF19" i="104" s="1"/>
  <c r="G10" i="104"/>
  <c r="AY11" i="104"/>
  <c r="BK11" i="104"/>
  <c r="I11" i="104" s="1"/>
  <c r="G14" i="104"/>
  <c r="AM15" i="104"/>
  <c r="AY15" i="104"/>
  <c r="BK15" i="104"/>
  <c r="I15" i="104" s="1"/>
  <c r="G18" i="104"/>
  <c r="AM19" i="104"/>
  <c r="AY19" i="104"/>
  <c r="BK19" i="104"/>
  <c r="I19" i="104" s="1"/>
  <c r="G22" i="104"/>
  <c r="G25" i="104"/>
  <c r="G28" i="104"/>
  <c r="G31" i="104"/>
  <c r="AY32" i="104"/>
  <c r="BK32" i="104"/>
  <c r="I32" i="104" s="1"/>
  <c r="G35" i="104"/>
  <c r="B11" i="104"/>
  <c r="AZ11" i="104"/>
  <c r="BL11" i="104"/>
  <c r="AW12" i="104"/>
  <c r="BI12" i="104"/>
  <c r="AZ15" i="104"/>
  <c r="BL15" i="104"/>
  <c r="AW16" i="104"/>
  <c r="BI16" i="104"/>
  <c r="AZ19" i="104"/>
  <c r="BL19" i="104"/>
  <c r="AW20" i="104"/>
  <c r="BI20" i="104"/>
  <c r="AZ32" i="104"/>
  <c r="BL32" i="104"/>
  <c r="AW33" i="104"/>
  <c r="BI33" i="104"/>
  <c r="BL36" i="104"/>
  <c r="BL40" i="104"/>
  <c r="BA11" i="104"/>
  <c r="BA15" i="104"/>
  <c r="BA19" i="104"/>
  <c r="BL24" i="104"/>
  <c r="BL27" i="104"/>
  <c r="BL30" i="104"/>
  <c r="BA32" i="104"/>
  <c r="AY12" i="104"/>
  <c r="BK12" i="104"/>
  <c r="I12" i="104" s="1"/>
  <c r="AY16" i="104"/>
  <c r="BK16" i="104"/>
  <c r="I16" i="104" s="1"/>
  <c r="AY20" i="104"/>
  <c r="BK20" i="104"/>
  <c r="I20" i="104" s="1"/>
  <c r="AW23" i="104"/>
  <c r="BI23" i="104"/>
  <c r="AZ23" i="104" s="1"/>
  <c r="AW26" i="104"/>
  <c r="BI26" i="104"/>
  <c r="AW29" i="104"/>
  <c r="BI29" i="104"/>
  <c r="AZ29" i="104" s="1"/>
  <c r="AY33" i="104"/>
  <c r="BK33" i="104"/>
  <c r="I33" i="104" s="1"/>
  <c r="G24" i="104"/>
  <c r="G27" i="104"/>
  <c r="G30" i="104"/>
  <c r="AR15" i="104"/>
  <c r="AV15" i="104" s="1"/>
  <c r="AR19" i="104"/>
  <c r="AV19" i="104" s="1"/>
  <c r="BA23" i="104"/>
  <c r="BA26" i="104"/>
  <c r="BA29" i="104"/>
  <c r="BL34" i="104"/>
  <c r="BL38" i="104"/>
  <c r="G9" i="104"/>
  <c r="G13" i="104"/>
  <c r="G17" i="104"/>
  <c r="G21" i="104"/>
  <c r="G34" i="104"/>
  <c r="AN42" i="104" l="1"/>
  <c r="AN7" i="104"/>
  <c r="BN15" i="104"/>
  <c r="BN23" i="104"/>
  <c r="BM23" i="104"/>
  <c r="AK23" i="104"/>
  <c r="BB24" i="104"/>
  <c r="BA24" i="104"/>
  <c r="BK24" i="104"/>
  <c r="I24" i="104" s="1"/>
  <c r="AY24" i="104"/>
  <c r="BI24" i="104"/>
  <c r="AW24" i="104"/>
  <c r="BK25" i="104"/>
  <c r="I25" i="104" s="1"/>
  <c r="AY25" i="104"/>
  <c r="BI25" i="104"/>
  <c r="AZ25" i="104" s="1"/>
  <c r="AW25" i="104"/>
  <c r="BB25" i="104"/>
  <c r="BA25" i="104"/>
  <c r="BB34" i="104"/>
  <c r="BA34" i="104"/>
  <c r="BK34" i="104"/>
  <c r="I34" i="104" s="1"/>
  <c r="AY34" i="104"/>
  <c r="BI34" i="104"/>
  <c r="AZ34" i="104" s="1"/>
  <c r="AW34" i="104"/>
  <c r="BK22" i="104"/>
  <c r="I22" i="104" s="1"/>
  <c r="AY22" i="104"/>
  <c r="BI22" i="104"/>
  <c r="AZ22" i="104" s="1"/>
  <c r="AW22" i="104"/>
  <c r="BB22" i="104"/>
  <c r="BA22" i="104"/>
  <c r="BB13" i="104"/>
  <c r="BA13" i="104"/>
  <c r="BK13" i="104"/>
  <c r="I13" i="104" s="1"/>
  <c r="AY13" i="104"/>
  <c r="AX13" i="104"/>
  <c r="BI13" i="104"/>
  <c r="AZ13" i="104" s="1"/>
  <c r="AW13" i="104"/>
  <c r="BN20" i="104"/>
  <c r="BM20" i="104"/>
  <c r="AZ20" i="104"/>
  <c r="BJ20" i="104"/>
  <c r="H20" i="104" s="1"/>
  <c r="BF20" i="104" s="1"/>
  <c r="AK20" i="104"/>
  <c r="BN26" i="104"/>
  <c r="BM26" i="104"/>
  <c r="BJ26" i="104"/>
  <c r="H26" i="104" s="1"/>
  <c r="BF26" i="104" s="1"/>
  <c r="AK26" i="104"/>
  <c r="AT11" i="104"/>
  <c r="AR11" i="104"/>
  <c r="AV11" i="104" s="1"/>
  <c r="AM11" i="104"/>
  <c r="AX11" i="104"/>
  <c r="BB30" i="104"/>
  <c r="BA30" i="104"/>
  <c r="BK30" i="104"/>
  <c r="I30" i="104" s="1"/>
  <c r="AY30" i="104"/>
  <c r="BI30" i="104"/>
  <c r="AZ30" i="104" s="1"/>
  <c r="AW30" i="104"/>
  <c r="BN33" i="104"/>
  <c r="BM33" i="104"/>
  <c r="AZ33" i="104"/>
  <c r="BJ33" i="104"/>
  <c r="H33" i="104" s="1"/>
  <c r="BF33" i="104" s="1"/>
  <c r="AK33" i="104"/>
  <c r="BK10" i="104"/>
  <c r="I10" i="104" s="1"/>
  <c r="AY10" i="104"/>
  <c r="BI10" i="104"/>
  <c r="AZ10" i="104" s="1"/>
  <c r="AW10" i="104"/>
  <c r="BB10" i="104"/>
  <c r="BA10" i="104"/>
  <c r="BN12" i="104"/>
  <c r="BM12" i="104"/>
  <c r="AZ12" i="104"/>
  <c r="BJ12" i="104"/>
  <c r="H12" i="104" s="1"/>
  <c r="BF12" i="104" s="1"/>
  <c r="AK12" i="104"/>
  <c r="BN11" i="104"/>
  <c r="BB9" i="104"/>
  <c r="BA9" i="104"/>
  <c r="BK9" i="104"/>
  <c r="I9" i="104" s="1"/>
  <c r="AY9" i="104"/>
  <c r="AX9" i="104"/>
  <c r="BI9" i="104"/>
  <c r="AZ9" i="104" s="1"/>
  <c r="AW9" i="104"/>
  <c r="AZ26" i="104"/>
  <c r="BN29" i="104"/>
  <c r="BM29" i="104"/>
  <c r="BJ29" i="104"/>
  <c r="H29" i="104" s="1"/>
  <c r="BF29" i="104" s="1"/>
  <c r="AK29" i="104"/>
  <c r="BK18" i="104"/>
  <c r="I18" i="104" s="1"/>
  <c r="AY18" i="104"/>
  <c r="AX18" i="104"/>
  <c r="BI18" i="104"/>
  <c r="AW18" i="104"/>
  <c r="BB18" i="104"/>
  <c r="BA18" i="104"/>
  <c r="AZ18" i="104"/>
  <c r="AT32" i="104"/>
  <c r="AR32" i="104"/>
  <c r="AV32" i="104" s="1"/>
  <c r="AM32" i="104"/>
  <c r="AP32" i="104" s="1"/>
  <c r="BG32" i="104" s="1"/>
  <c r="BN19" i="104"/>
  <c r="BB27" i="104"/>
  <c r="BA27" i="104"/>
  <c r="BK27" i="104"/>
  <c r="I27" i="104" s="1"/>
  <c r="AY27" i="104"/>
  <c r="BI27" i="104"/>
  <c r="AZ27" i="104" s="1"/>
  <c r="AW27" i="104"/>
  <c r="BK28" i="104"/>
  <c r="I28" i="104" s="1"/>
  <c r="AY28" i="104"/>
  <c r="AX28" i="104"/>
  <c r="BI28" i="104"/>
  <c r="AZ28" i="104" s="1"/>
  <c r="AW28" i="104"/>
  <c r="BB28" i="104"/>
  <c r="BA28" i="104"/>
  <c r="BB21" i="104"/>
  <c r="BA21" i="104"/>
  <c r="BK21" i="104"/>
  <c r="I21" i="104" s="1"/>
  <c r="AY21" i="104"/>
  <c r="BI21" i="104"/>
  <c r="AZ21" i="104" s="1"/>
  <c r="AW21" i="104"/>
  <c r="BB17" i="104"/>
  <c r="BA17" i="104"/>
  <c r="BK17" i="104"/>
  <c r="I17" i="104" s="1"/>
  <c r="AY17" i="104"/>
  <c r="BI17" i="104"/>
  <c r="AW17" i="104"/>
  <c r="AP11" i="104"/>
  <c r="B12" i="104"/>
  <c r="BN32" i="104"/>
  <c r="BK35" i="104"/>
  <c r="I35" i="104" s="1"/>
  <c r="AY35" i="104"/>
  <c r="BI35" i="104"/>
  <c r="AZ35" i="104" s="1"/>
  <c r="AW35" i="104"/>
  <c r="BB35" i="104"/>
  <c r="BA35" i="104"/>
  <c r="BK31" i="104"/>
  <c r="I31" i="104" s="1"/>
  <c r="AY31" i="104"/>
  <c r="BI31" i="104"/>
  <c r="AW31" i="104"/>
  <c r="AZ31" i="104"/>
  <c r="BB31" i="104"/>
  <c r="BA31" i="104"/>
  <c r="BN16" i="104"/>
  <c r="BM16" i="104"/>
  <c r="AZ16" i="104"/>
  <c r="BJ16" i="104"/>
  <c r="H16" i="104" s="1"/>
  <c r="BF16" i="104" s="1"/>
  <c r="AK16" i="104"/>
  <c r="BK14" i="104"/>
  <c r="I14" i="104" s="1"/>
  <c r="AY14" i="104"/>
  <c r="BI14" i="104"/>
  <c r="AW14" i="104"/>
  <c r="AZ14" i="104"/>
  <c r="BB14" i="104"/>
  <c r="BA14" i="104"/>
  <c r="AV46" i="104"/>
  <c r="AJ19" i="104"/>
  <c r="BG11" i="104" l="1"/>
  <c r="BM17" i="104"/>
  <c r="BJ17" i="104"/>
  <c r="H17" i="104" s="1"/>
  <c r="BF17" i="104" s="1"/>
  <c r="AK17" i="104"/>
  <c r="BN17" i="104"/>
  <c r="AR12" i="104"/>
  <c r="AV12" i="104" s="1"/>
  <c r="AM12" i="104"/>
  <c r="AT12" i="104"/>
  <c r="AX12" i="104"/>
  <c r="BJ35" i="104"/>
  <c r="H35" i="104" s="1"/>
  <c r="BF35" i="104" s="1"/>
  <c r="AK35" i="104"/>
  <c r="BM35" i="104"/>
  <c r="BN35" i="104"/>
  <c r="BJ14" i="104"/>
  <c r="H14" i="104" s="1"/>
  <c r="BF14" i="104" s="1"/>
  <c r="AK14" i="104"/>
  <c r="BM14" i="104"/>
  <c r="BN14" i="104"/>
  <c r="AZ17" i="104"/>
  <c r="BJ24" i="104"/>
  <c r="H24" i="104" s="1"/>
  <c r="BF24" i="104" s="1"/>
  <c r="AK24" i="104"/>
  <c r="BM24" i="104"/>
  <c r="BN24" i="104"/>
  <c r="BJ31" i="104"/>
  <c r="H31" i="104" s="1"/>
  <c r="BF31" i="104" s="1"/>
  <c r="AK31" i="104"/>
  <c r="BM31" i="104"/>
  <c r="BN31" i="104"/>
  <c r="BJ22" i="104"/>
  <c r="H22" i="104" s="1"/>
  <c r="BF22" i="104" s="1"/>
  <c r="AK22" i="104"/>
  <c r="BM22" i="104"/>
  <c r="BN22" i="104"/>
  <c r="AK18" i="104"/>
  <c r="BM18" i="104"/>
  <c r="BN18" i="104"/>
  <c r="AY5" i="104"/>
  <c r="AM26" i="104"/>
  <c r="AX26" i="104"/>
  <c r="AT26" i="104"/>
  <c r="AR26" i="104"/>
  <c r="AV26" i="104" s="1"/>
  <c r="BM13" i="104"/>
  <c r="AK13" i="104"/>
  <c r="BN13" i="104"/>
  <c r="AR33" i="104"/>
  <c r="AV33" i="104" s="1"/>
  <c r="AM33" i="104"/>
  <c r="AT33" i="104"/>
  <c r="AX33" i="104"/>
  <c r="BM9" i="104"/>
  <c r="AK9" i="104"/>
  <c r="BN9" i="104"/>
  <c r="AR16" i="104"/>
  <c r="AV16" i="104" s="1"/>
  <c r="AM16" i="104"/>
  <c r="AT16" i="104"/>
  <c r="AX16" i="104"/>
  <c r="BM21" i="104"/>
  <c r="BJ21" i="104"/>
  <c r="H21" i="104" s="1"/>
  <c r="BF21" i="104" s="1"/>
  <c r="AK21" i="104"/>
  <c r="BN21" i="104"/>
  <c r="AK28" i="104"/>
  <c r="BM28" i="104"/>
  <c r="BN28" i="104"/>
  <c r="BA5" i="104"/>
  <c r="BJ30" i="104"/>
  <c r="H30" i="104" s="1"/>
  <c r="BF30" i="104" s="1"/>
  <c r="AK30" i="104"/>
  <c r="BN30" i="104"/>
  <c r="BM30" i="104"/>
  <c r="AZ24" i="104"/>
  <c r="AM29" i="104"/>
  <c r="AX29" i="104"/>
  <c r="AR29" i="104"/>
  <c r="AV29" i="104" s="1"/>
  <c r="AT29" i="104"/>
  <c r="BB5" i="104"/>
  <c r="BJ25" i="104"/>
  <c r="H25" i="104" s="1"/>
  <c r="BF25" i="104" s="1"/>
  <c r="AK25" i="104"/>
  <c r="BM25" i="104"/>
  <c r="BN25" i="104"/>
  <c r="BM34" i="104"/>
  <c r="BJ34" i="104"/>
  <c r="H34" i="104" s="1"/>
  <c r="BF34" i="104" s="1"/>
  <c r="AK34" i="104"/>
  <c r="BN34" i="104"/>
  <c r="AM23" i="104"/>
  <c r="AP23" i="104" s="1"/>
  <c r="BG23" i="104" s="1"/>
  <c r="AR23" i="104"/>
  <c r="AV23" i="104" s="1"/>
  <c r="AT23" i="104"/>
  <c r="AJ20" i="104"/>
  <c r="BJ10" i="104"/>
  <c r="H10" i="104" s="1"/>
  <c r="AK10" i="104"/>
  <c r="BM10" i="104"/>
  <c r="BN10" i="104"/>
  <c r="AR20" i="104"/>
  <c r="AV20" i="104" s="1"/>
  <c r="AM20" i="104"/>
  <c r="AT20" i="104"/>
  <c r="AX20" i="104"/>
  <c r="BJ27" i="104"/>
  <c r="H27" i="104" s="1"/>
  <c r="BF27" i="104" s="1"/>
  <c r="AK27" i="104"/>
  <c r="BM27" i="104"/>
  <c r="BN27" i="104"/>
  <c r="AP12" i="104"/>
  <c r="BG12" i="104" s="1"/>
  <c r="B14" i="104"/>
  <c r="AP14" i="104" l="1"/>
  <c r="AM9" i="104"/>
  <c r="AT9" i="104"/>
  <c r="AR9" i="104"/>
  <c r="AM22" i="104"/>
  <c r="AT22" i="104"/>
  <c r="AR22" i="104"/>
  <c r="AV22" i="104" s="1"/>
  <c r="AX22" i="104"/>
  <c r="BF10" i="104"/>
  <c r="AP10" i="104"/>
  <c r="AT30" i="104"/>
  <c r="AR30" i="104"/>
  <c r="AV30" i="104" s="1"/>
  <c r="AM30" i="104"/>
  <c r="AX30" i="104"/>
  <c r="AM31" i="104"/>
  <c r="AT31" i="104"/>
  <c r="AR31" i="104"/>
  <c r="AV31" i="104" s="1"/>
  <c r="AX31" i="104"/>
  <c r="AM21" i="104"/>
  <c r="AT21" i="104"/>
  <c r="AR21" i="104"/>
  <c r="AV21" i="104" s="1"/>
  <c r="AX21" i="104"/>
  <c r="B16" i="104"/>
  <c r="AP16" i="104" s="1"/>
  <c r="BG16" i="104" s="1"/>
  <c r="AM25" i="104"/>
  <c r="AT25" i="104"/>
  <c r="AR25" i="104"/>
  <c r="AV25" i="104" s="1"/>
  <c r="AX25" i="104"/>
  <c r="AM18" i="104"/>
  <c r="AP18" i="104" s="1"/>
  <c r="BG18" i="104" s="1"/>
  <c r="AT18" i="104"/>
  <c r="AR18" i="104"/>
  <c r="AV18" i="104" s="1"/>
  <c r="B15" i="104"/>
  <c r="AM10" i="104"/>
  <c r="AT10" i="104"/>
  <c r="AR10" i="104"/>
  <c r="AV10" i="104" s="1"/>
  <c r="AX10" i="104"/>
  <c r="AM17" i="104"/>
  <c r="AT17" i="104"/>
  <c r="AR17" i="104"/>
  <c r="AV17" i="104" s="1"/>
  <c r="AX17" i="104"/>
  <c r="AJ21" i="104"/>
  <c r="AM35" i="104"/>
  <c r="AT35" i="104"/>
  <c r="AR35" i="104"/>
  <c r="AV35" i="104" s="1"/>
  <c r="AX35" i="104"/>
  <c r="AM13" i="104"/>
  <c r="AP13" i="104" s="1"/>
  <c r="BG13" i="104" s="1"/>
  <c r="AT13" i="104"/>
  <c r="AR13" i="104"/>
  <c r="AV13" i="104" s="1"/>
  <c r="AT24" i="104"/>
  <c r="AR24" i="104"/>
  <c r="AV24" i="104" s="1"/>
  <c r="AM24" i="104"/>
  <c r="AX24" i="104"/>
  <c r="AT27" i="104"/>
  <c r="AR27" i="104"/>
  <c r="AV27" i="104" s="1"/>
  <c r="AM27" i="104"/>
  <c r="AX27" i="104"/>
  <c r="AM28" i="104"/>
  <c r="AP28" i="104" s="1"/>
  <c r="BG28" i="104" s="1"/>
  <c r="AT28" i="104"/>
  <c r="AR28" i="104"/>
  <c r="AV28" i="104" s="1"/>
  <c r="AM34" i="104"/>
  <c r="AT34" i="104"/>
  <c r="AR34" i="104"/>
  <c r="AV34" i="104" s="1"/>
  <c r="AX34" i="104"/>
  <c r="AM14" i="104"/>
  <c r="AT14" i="104"/>
  <c r="AR14" i="104"/>
  <c r="AV14" i="104" s="1"/>
  <c r="AX14" i="104"/>
  <c r="BG14" i="104" s="1"/>
  <c r="AZ5" i="104"/>
  <c r="AP15" i="104" l="1"/>
  <c r="BG15" i="104" s="1"/>
  <c r="AV9" i="104"/>
  <c r="AR42" i="104"/>
  <c r="AR46" i="104" s="1"/>
  <c r="B19" i="104"/>
  <c r="AP19" i="104" s="1"/>
  <c r="BG19" i="104" s="1"/>
  <c r="AM7" i="104"/>
  <c r="J42" i="104" s="1"/>
  <c r="AM42" i="104"/>
  <c r="AP9" i="104"/>
  <c r="BG9" i="104" s="1"/>
  <c r="AJ22" i="104"/>
  <c r="BG10" i="104"/>
  <c r="AX5" i="104"/>
  <c r="B17" i="104"/>
  <c r="U46" i="104" l="1"/>
  <c r="Q41" i="104" s="1"/>
  <c r="AJ23" i="104"/>
  <c r="F42" i="104"/>
  <c r="U49" i="104" s="1"/>
  <c r="U50" i="104" s="1"/>
  <c r="Q7" i="104"/>
  <c r="AW5" i="104"/>
  <c r="U45" i="104" s="1"/>
  <c r="O41" i="104" s="1"/>
  <c r="AP17" i="104"/>
  <c r="BG17" i="104" s="1"/>
  <c r="B21" i="104"/>
  <c r="AP21" i="104" s="1"/>
  <c r="BG21" i="104" s="1"/>
  <c r="AR47" i="104"/>
  <c r="B42" i="104" s="1"/>
  <c r="B20" i="104"/>
  <c r="AP20" i="104" s="1"/>
  <c r="BG20" i="104" s="1"/>
  <c r="AJ24" i="104" l="1"/>
  <c r="B22" i="104"/>
  <c r="AP22" i="104" l="1"/>
  <c r="BG22" i="104" s="1"/>
  <c r="B24" i="104"/>
  <c r="AJ25" i="104"/>
  <c r="AJ26" i="104" l="1"/>
  <c r="AP24" i="104"/>
  <c r="BG24" i="104" s="1"/>
  <c r="B25" i="104"/>
  <c r="AP25" i="104" l="1"/>
  <c r="BG25" i="104" s="1"/>
  <c r="B26" i="104"/>
  <c r="AJ27" i="104"/>
  <c r="AJ28" i="104" s="1"/>
  <c r="AJ29" i="104" l="1"/>
  <c r="AP26" i="104"/>
  <c r="BG26" i="104" s="1"/>
  <c r="B27" i="104"/>
  <c r="AP27" i="104" l="1"/>
  <c r="BG27" i="104" s="1"/>
  <c r="B29" i="104"/>
  <c r="AJ30" i="104"/>
  <c r="AJ31" i="104" l="1"/>
  <c r="AP29" i="104"/>
  <c r="BG29" i="104" s="1"/>
  <c r="B30" i="104"/>
  <c r="AP30" i="104" l="1"/>
  <c r="BG30" i="104" s="1"/>
  <c r="B31" i="104"/>
  <c r="AJ32" i="104"/>
  <c r="AJ33" i="104" l="1"/>
  <c r="AJ34" i="104" s="1"/>
  <c r="AJ35" i="104" s="1"/>
  <c r="AI28" i="104"/>
  <c r="C28" i="104" s="1"/>
  <c r="AP31" i="104"/>
  <c r="BG31" i="104" s="1"/>
  <c r="B33" i="104"/>
  <c r="AP33" i="104" l="1"/>
  <c r="BG33" i="104" s="1"/>
  <c r="B34" i="104"/>
  <c r="AI13" i="104"/>
  <c r="AI9" i="104"/>
  <c r="C9" i="104" s="1"/>
  <c r="AI18" i="104"/>
  <c r="C18" i="104" s="1"/>
  <c r="AI23" i="104"/>
  <c r="C23" i="104" s="1"/>
  <c r="AI32" i="104"/>
  <c r="C32" i="104" s="1"/>
  <c r="C13" i="104" l="1"/>
  <c r="AI44" i="104"/>
  <c r="AP34" i="104"/>
  <c r="BG34" i="104" s="1"/>
  <c r="B35" i="104"/>
  <c r="AP35" i="104" s="1"/>
  <c r="BG35" i="104" s="1"/>
  <c r="U48" i="103" l="1"/>
  <c r="BE44" i="103"/>
  <c r="AT44" i="103"/>
  <c r="AT45" i="103" s="1"/>
  <c r="AR45" i="103" s="1"/>
  <c r="H42" i="103"/>
  <c r="BN40" i="103"/>
  <c r="BK40" i="103"/>
  <c r="I40" i="103" s="1"/>
  <c r="BJ40" i="103"/>
  <c r="H40" i="103" s="1"/>
  <c r="BF40" i="103" s="1"/>
  <c r="BI40" i="103"/>
  <c r="AK40" i="103" s="1"/>
  <c r="AM40" i="103" s="1"/>
  <c r="BH40" i="103"/>
  <c r="G40" i="103" s="1"/>
  <c r="BG40" i="103"/>
  <c r="BE40" i="103"/>
  <c r="BD40" i="103"/>
  <c r="BC40" i="103"/>
  <c r="BB40" i="103"/>
  <c r="BA40" i="103"/>
  <c r="AZ40" i="103"/>
  <c r="AY40" i="103"/>
  <c r="AX40" i="103"/>
  <c r="AW40" i="103"/>
  <c r="AU40" i="103"/>
  <c r="AT40" i="103"/>
  <c r="AS40" i="103"/>
  <c r="AR40" i="103"/>
  <c r="AV40" i="103" s="1"/>
  <c r="AQ40" i="103"/>
  <c r="AP40" i="103"/>
  <c r="AO40" i="103"/>
  <c r="AL40" i="103"/>
  <c r="AJ40" i="103"/>
  <c r="AI40" i="103"/>
  <c r="AH40" i="103"/>
  <c r="AN40" i="103" s="1"/>
  <c r="AG40" i="103"/>
  <c r="C40" i="103"/>
  <c r="B40" i="103"/>
  <c r="BN39" i="103"/>
  <c r="BL39" i="103"/>
  <c r="BK39" i="103"/>
  <c r="I39" i="103" s="1"/>
  <c r="BJ39" i="103"/>
  <c r="H39" i="103" s="1"/>
  <c r="BF39" i="103" s="1"/>
  <c r="BI39" i="103"/>
  <c r="BM39" i="103" s="1"/>
  <c r="BH39" i="103"/>
  <c r="G39" i="103" s="1"/>
  <c r="BG39" i="103"/>
  <c r="BE39" i="103"/>
  <c r="BD39" i="103"/>
  <c r="BC39" i="103"/>
  <c r="BB39" i="103"/>
  <c r="BA39" i="103"/>
  <c r="AZ39" i="103"/>
  <c r="AY39" i="103"/>
  <c r="AX39" i="103"/>
  <c r="AW39" i="103"/>
  <c r="AU39" i="103"/>
  <c r="AT39" i="103"/>
  <c r="AS39" i="103"/>
  <c r="AR39" i="103"/>
  <c r="AV39" i="103" s="1"/>
  <c r="AQ39" i="103"/>
  <c r="AP39" i="103"/>
  <c r="AO39" i="103"/>
  <c r="AL39" i="103"/>
  <c r="AJ39" i="103"/>
  <c r="AI39" i="103"/>
  <c r="AH39" i="103"/>
  <c r="AN39" i="103" s="1"/>
  <c r="AG39" i="103"/>
  <c r="C39" i="103"/>
  <c r="B39" i="103"/>
  <c r="BN38" i="103"/>
  <c r="BL38" i="103"/>
  <c r="BK38" i="103"/>
  <c r="BJ38" i="103"/>
  <c r="H38" i="103" s="1"/>
  <c r="BF38" i="103" s="1"/>
  <c r="BI38" i="103"/>
  <c r="AK38" i="103" s="1"/>
  <c r="AM38" i="103" s="1"/>
  <c r="BH38" i="103"/>
  <c r="BG38" i="103"/>
  <c r="BE38" i="103"/>
  <c r="BD38" i="103"/>
  <c r="BC38" i="103"/>
  <c r="BB38" i="103"/>
  <c r="BA38" i="103"/>
  <c r="AZ38" i="103"/>
  <c r="AY38" i="103"/>
  <c r="AX38" i="103"/>
  <c r="AW38" i="103"/>
  <c r="AU38" i="103"/>
  <c r="AT38" i="103"/>
  <c r="AS38" i="103"/>
  <c r="AR38" i="103"/>
  <c r="AV38" i="103" s="1"/>
  <c r="AQ38" i="103"/>
  <c r="AP38" i="103"/>
  <c r="AO38" i="103"/>
  <c r="AL38" i="103"/>
  <c r="AJ38" i="103"/>
  <c r="AI38" i="103"/>
  <c r="AH38" i="103"/>
  <c r="AN38" i="103" s="1"/>
  <c r="AG38" i="103"/>
  <c r="I38" i="103"/>
  <c r="G38" i="103"/>
  <c r="C38" i="103"/>
  <c r="B38" i="103"/>
  <c r="BN37" i="103"/>
  <c r="BL37" i="103"/>
  <c r="BK37" i="103"/>
  <c r="I37" i="103" s="1"/>
  <c r="BJ37" i="103"/>
  <c r="H37" i="103" s="1"/>
  <c r="BF37" i="103" s="1"/>
  <c r="BI37" i="103"/>
  <c r="AK37" i="103" s="1"/>
  <c r="AM37" i="103" s="1"/>
  <c r="BH37" i="103"/>
  <c r="BG37" i="103"/>
  <c r="BE37" i="103"/>
  <c r="BD37" i="103"/>
  <c r="BC37" i="103"/>
  <c r="BB37" i="103"/>
  <c r="BA37" i="103"/>
  <c r="AZ37" i="103"/>
  <c r="AY37" i="103"/>
  <c r="AX37" i="103"/>
  <c r="AW37" i="103"/>
  <c r="AU37" i="103"/>
  <c r="AT37" i="103"/>
  <c r="AS37" i="103"/>
  <c r="AR37" i="103"/>
  <c r="AV37" i="103" s="1"/>
  <c r="AQ37" i="103"/>
  <c r="AP37" i="103"/>
  <c r="AO37" i="103"/>
  <c r="AL37" i="103"/>
  <c r="AJ37" i="103"/>
  <c r="AI37" i="103"/>
  <c r="AH37" i="103"/>
  <c r="AN37" i="103" s="1"/>
  <c r="AG37" i="103"/>
  <c r="G37" i="103"/>
  <c r="C37" i="103"/>
  <c r="B37" i="103"/>
  <c r="BN36" i="103"/>
  <c r="BK36" i="103"/>
  <c r="I36" i="103" s="1"/>
  <c r="BJ36" i="103"/>
  <c r="H36" i="103" s="1"/>
  <c r="BF36" i="103" s="1"/>
  <c r="BI36" i="103"/>
  <c r="AK36" i="103" s="1"/>
  <c r="AM36" i="103" s="1"/>
  <c r="BH36" i="103"/>
  <c r="G36" i="103" s="1"/>
  <c r="BG36" i="103"/>
  <c r="BE36" i="103"/>
  <c r="BD36" i="103"/>
  <c r="BC36" i="103"/>
  <c r="BB36" i="103"/>
  <c r="BA36" i="103"/>
  <c r="AZ36" i="103"/>
  <c r="AY36" i="103"/>
  <c r="AX36" i="103"/>
  <c r="AW36" i="103"/>
  <c r="AU36" i="103"/>
  <c r="AT36" i="103"/>
  <c r="AS36" i="103"/>
  <c r="AR36" i="103"/>
  <c r="AV36" i="103" s="1"/>
  <c r="AQ36" i="103"/>
  <c r="AP36" i="103"/>
  <c r="AO36" i="103"/>
  <c r="AL36" i="103"/>
  <c r="AJ36" i="103"/>
  <c r="AI36" i="103"/>
  <c r="AH36" i="103"/>
  <c r="AN36" i="103" s="1"/>
  <c r="AG36" i="103"/>
  <c r="C36" i="103"/>
  <c r="B36" i="103"/>
  <c r="BN35" i="103"/>
  <c r="BL35" i="103"/>
  <c r="BK35" i="103"/>
  <c r="I35" i="103" s="1"/>
  <c r="BJ35" i="103"/>
  <c r="H35" i="103" s="1"/>
  <c r="BF35" i="103" s="1"/>
  <c r="BI35" i="103"/>
  <c r="BM35" i="103" s="1"/>
  <c r="BH35" i="103"/>
  <c r="G35" i="103" s="1"/>
  <c r="BG35" i="103"/>
  <c r="BE35" i="103"/>
  <c r="BD35" i="103"/>
  <c r="BC35" i="103"/>
  <c r="BB35" i="103"/>
  <c r="BA35" i="103"/>
  <c r="AZ35" i="103"/>
  <c r="AY35" i="103"/>
  <c r="AX35" i="103"/>
  <c r="AW35" i="103"/>
  <c r="AU35" i="103"/>
  <c r="AT35" i="103"/>
  <c r="AS35" i="103"/>
  <c r="AR35" i="103"/>
  <c r="AV35" i="103" s="1"/>
  <c r="AQ35" i="103"/>
  <c r="AP35" i="103"/>
  <c r="AO35" i="103"/>
  <c r="AL35" i="103"/>
  <c r="AJ35" i="103"/>
  <c r="AI35" i="103"/>
  <c r="AH35" i="103"/>
  <c r="AN35" i="103" s="1"/>
  <c r="AG35" i="103"/>
  <c r="C35" i="103"/>
  <c r="B35" i="103"/>
  <c r="BN34" i="103"/>
  <c r="BL34" i="103"/>
  <c r="BK34" i="103"/>
  <c r="I34" i="103" s="1"/>
  <c r="BJ34" i="103"/>
  <c r="H34" i="103" s="1"/>
  <c r="BF34" i="103" s="1"/>
  <c r="BI34" i="103"/>
  <c r="BM34" i="103" s="1"/>
  <c r="BH34" i="103"/>
  <c r="BG34" i="103"/>
  <c r="BE34" i="103"/>
  <c r="BD34" i="103"/>
  <c r="BC34" i="103"/>
  <c r="BB34" i="103"/>
  <c r="BA34" i="103"/>
  <c r="AZ34" i="103"/>
  <c r="AY34" i="103"/>
  <c r="AX34" i="103"/>
  <c r="AW34" i="103"/>
  <c r="AU34" i="103"/>
  <c r="AT34" i="103"/>
  <c r="AS34" i="103"/>
  <c r="AR34" i="103"/>
  <c r="AV34" i="103" s="1"/>
  <c r="AQ34" i="103"/>
  <c r="AP34" i="103"/>
  <c r="AO34" i="103"/>
  <c r="AL34" i="103"/>
  <c r="AJ34" i="103"/>
  <c r="AI34" i="103"/>
  <c r="AH34" i="103"/>
  <c r="AN34" i="103" s="1"/>
  <c r="AG34" i="103"/>
  <c r="G34" i="103"/>
  <c r="C34" i="103"/>
  <c r="B34" i="103"/>
  <c r="BN33" i="103"/>
  <c r="BL33" i="103"/>
  <c r="BK33" i="103"/>
  <c r="I33" i="103" s="1"/>
  <c r="BJ33" i="103"/>
  <c r="H33" i="103" s="1"/>
  <c r="BF33" i="103" s="1"/>
  <c r="BI33" i="103"/>
  <c r="BM33" i="103" s="1"/>
  <c r="BH33" i="103"/>
  <c r="BG33" i="103"/>
  <c r="BE33" i="103"/>
  <c r="BD33" i="103"/>
  <c r="BC33" i="103"/>
  <c r="BB33" i="103"/>
  <c r="BA33" i="103"/>
  <c r="AZ33" i="103"/>
  <c r="AY33" i="103"/>
  <c r="AX33" i="103"/>
  <c r="AW33" i="103"/>
  <c r="AU33" i="103"/>
  <c r="AT33" i="103"/>
  <c r="AS33" i="103"/>
  <c r="AR33" i="103"/>
  <c r="AV33" i="103" s="1"/>
  <c r="AQ33" i="103"/>
  <c r="AP33" i="103"/>
  <c r="AO33" i="103"/>
  <c r="AL33" i="103"/>
  <c r="AJ33" i="103"/>
  <c r="AI33" i="103"/>
  <c r="AH33" i="103"/>
  <c r="AN33" i="103" s="1"/>
  <c r="AG33" i="103"/>
  <c r="G33" i="103"/>
  <c r="C33" i="103"/>
  <c r="B33" i="103"/>
  <c r="BH32" i="103"/>
  <c r="BE32" i="103"/>
  <c r="BD32" i="103"/>
  <c r="BC32" i="103"/>
  <c r="AU32" i="103"/>
  <c r="AS32" i="103"/>
  <c r="AQ32" i="103"/>
  <c r="AO32" i="103"/>
  <c r="AL32" i="103"/>
  <c r="AH32" i="103"/>
  <c r="AN32" i="103" s="1"/>
  <c r="AG32" i="103"/>
  <c r="BL31" i="103"/>
  <c r="BH31" i="103"/>
  <c r="BE31" i="103"/>
  <c r="BD31" i="103"/>
  <c r="BC31" i="103"/>
  <c r="AU31" i="103"/>
  <c r="AS31" i="103"/>
  <c r="AQ31" i="103"/>
  <c r="AO31" i="103"/>
  <c r="AL31" i="103"/>
  <c r="AH31" i="103"/>
  <c r="AN31" i="103" s="1"/>
  <c r="AG31" i="103"/>
  <c r="BU30" i="103"/>
  <c r="BT30" i="103"/>
  <c r="BS30" i="103"/>
  <c r="BR30" i="103"/>
  <c r="BQ30" i="103"/>
  <c r="BH30" i="103"/>
  <c r="BE30" i="103"/>
  <c r="BD30" i="103"/>
  <c r="BC30" i="103"/>
  <c r="AU30" i="103"/>
  <c r="AS30" i="103"/>
  <c r="AQ30" i="103"/>
  <c r="AI30" i="103" s="1"/>
  <c r="C30" i="103" s="1"/>
  <c r="AO30" i="103"/>
  <c r="AL30" i="103"/>
  <c r="AH30" i="103"/>
  <c r="AN30" i="103" s="1"/>
  <c r="AG30" i="103"/>
  <c r="BU29" i="103"/>
  <c r="BT29" i="103"/>
  <c r="BS29" i="103"/>
  <c r="BR29" i="103"/>
  <c r="BQ29" i="103"/>
  <c r="BL29" i="103"/>
  <c r="BJ29" i="103"/>
  <c r="H29" i="103" s="1"/>
  <c r="BF29" i="103" s="1"/>
  <c r="BH29" i="103"/>
  <c r="BE29" i="103"/>
  <c r="BD29" i="103"/>
  <c r="BC29" i="103"/>
  <c r="AU29" i="103"/>
  <c r="AS29" i="103"/>
  <c r="AQ29" i="103"/>
  <c r="AO29" i="103"/>
  <c r="AL29" i="103"/>
  <c r="AH29" i="103"/>
  <c r="AN29" i="103" s="1"/>
  <c r="AG29" i="103"/>
  <c r="G29" i="103"/>
  <c r="BB29" i="103" s="1"/>
  <c r="B29" i="103"/>
  <c r="BU28" i="103"/>
  <c r="BT28" i="103"/>
  <c r="BS28" i="103"/>
  <c r="BR28" i="103"/>
  <c r="BQ28" i="103"/>
  <c r="BL28" i="103"/>
  <c r="BH28" i="103"/>
  <c r="BE28" i="103"/>
  <c r="BD28" i="103"/>
  <c r="BC28" i="103"/>
  <c r="AU28" i="103"/>
  <c r="AS28" i="103"/>
  <c r="AQ28" i="103"/>
  <c r="AO28" i="103"/>
  <c r="AL28" i="103"/>
  <c r="AH28" i="103"/>
  <c r="AN28" i="103" s="1"/>
  <c r="AG28" i="103"/>
  <c r="BU27" i="103"/>
  <c r="BT27" i="103"/>
  <c r="BS27" i="103"/>
  <c r="BR27" i="103"/>
  <c r="BQ27" i="103"/>
  <c r="BH27" i="103"/>
  <c r="BE27" i="103"/>
  <c r="BD27" i="103"/>
  <c r="BC27" i="103"/>
  <c r="AU27" i="103"/>
  <c r="AS27" i="103"/>
  <c r="AQ27" i="103"/>
  <c r="AI27" i="103" s="1"/>
  <c r="C27" i="103" s="1"/>
  <c r="AO27" i="103"/>
  <c r="AL27" i="103"/>
  <c r="AH27" i="103"/>
  <c r="AN27" i="103" s="1"/>
  <c r="AG27" i="103"/>
  <c r="BU26" i="103"/>
  <c r="BT26" i="103"/>
  <c r="BS26" i="103"/>
  <c r="BR26" i="103"/>
  <c r="BQ26" i="103"/>
  <c r="BL26" i="103"/>
  <c r="BH26" i="103"/>
  <c r="BE26" i="103"/>
  <c r="BD26" i="103"/>
  <c r="BC26" i="103"/>
  <c r="AU26" i="103"/>
  <c r="AS26" i="103"/>
  <c r="AQ26" i="103"/>
  <c r="AI26" i="103" s="1"/>
  <c r="C26" i="103" s="1"/>
  <c r="AO26" i="103"/>
  <c r="AL26" i="103"/>
  <c r="AH26" i="103"/>
  <c r="AN26" i="103" s="1"/>
  <c r="AG26" i="103"/>
  <c r="G26" i="103"/>
  <c r="BB26" i="103" s="1"/>
  <c r="BU25" i="103"/>
  <c r="BT25" i="103"/>
  <c r="BS25" i="103"/>
  <c r="BR25" i="103"/>
  <c r="BQ25" i="103"/>
  <c r="BL25" i="103"/>
  <c r="BJ25" i="103"/>
  <c r="H25" i="103" s="1"/>
  <c r="BF25" i="103" s="1"/>
  <c r="BH25" i="103"/>
  <c r="BE25" i="103"/>
  <c r="BD25" i="103"/>
  <c r="BC25" i="103"/>
  <c r="AU25" i="103"/>
  <c r="AS25" i="103"/>
  <c r="AQ25" i="103"/>
  <c r="AO25" i="103"/>
  <c r="AL25" i="103"/>
  <c r="AH25" i="103"/>
  <c r="AN25" i="103" s="1"/>
  <c r="AG25" i="103"/>
  <c r="B25" i="103"/>
  <c r="BU24" i="103"/>
  <c r="BT24" i="103"/>
  <c r="BS24" i="103"/>
  <c r="BR24" i="103"/>
  <c r="BQ24" i="103"/>
  <c r="BH24" i="103"/>
  <c r="BE24" i="103"/>
  <c r="BD24" i="103"/>
  <c r="BC24" i="103"/>
  <c r="AU24" i="103"/>
  <c r="AS24" i="103"/>
  <c r="AQ24" i="103"/>
  <c r="AI24" i="103" s="1"/>
  <c r="C24" i="103" s="1"/>
  <c r="AO24" i="103"/>
  <c r="AL24" i="103"/>
  <c r="AH24" i="103"/>
  <c r="AN24" i="103" s="1"/>
  <c r="AG24" i="103"/>
  <c r="BU23" i="103"/>
  <c r="BT23" i="103"/>
  <c r="BS23" i="103"/>
  <c r="BR23" i="103"/>
  <c r="BQ23" i="103"/>
  <c r="BL23" i="103"/>
  <c r="BH23" i="103"/>
  <c r="BE23" i="103"/>
  <c r="BD23" i="103"/>
  <c r="BC23" i="103"/>
  <c r="AU23" i="103"/>
  <c r="AS23" i="103"/>
  <c r="AQ23" i="103"/>
  <c r="AI23" i="103" s="1"/>
  <c r="C23" i="103" s="1"/>
  <c r="AO23" i="103"/>
  <c r="AL23" i="103"/>
  <c r="AH23" i="103"/>
  <c r="AN23" i="103" s="1"/>
  <c r="AG23" i="103"/>
  <c r="G23" i="103"/>
  <c r="BB23" i="103" s="1"/>
  <c r="BU22" i="103"/>
  <c r="BT22" i="103"/>
  <c r="BS22" i="103"/>
  <c r="BR22" i="103"/>
  <c r="BQ22" i="103"/>
  <c r="BL22" i="103"/>
  <c r="BH22" i="103"/>
  <c r="BE22" i="103"/>
  <c r="BD22" i="103"/>
  <c r="BC22" i="103"/>
  <c r="AU22" i="103"/>
  <c r="AS22" i="103"/>
  <c r="AQ22" i="103"/>
  <c r="AO22" i="103"/>
  <c r="AL22" i="103"/>
  <c r="AH22" i="103"/>
  <c r="AN22" i="103" s="1"/>
  <c r="AG22" i="103"/>
  <c r="BL21" i="103"/>
  <c r="BK21" i="103"/>
  <c r="I21" i="103" s="1"/>
  <c r="BJ21" i="103"/>
  <c r="H21" i="103" s="1"/>
  <c r="BF21" i="103" s="1"/>
  <c r="BI21" i="103"/>
  <c r="BM21" i="103" s="1"/>
  <c r="BH21" i="103"/>
  <c r="BE21" i="103"/>
  <c r="BD21" i="103"/>
  <c r="BC21" i="103"/>
  <c r="BA21" i="103"/>
  <c r="AY21" i="103"/>
  <c r="AX21" i="103"/>
  <c r="AW21" i="103"/>
  <c r="AU21" i="103"/>
  <c r="AS21" i="103"/>
  <c r="AQ21" i="103"/>
  <c r="AO21" i="103"/>
  <c r="AL21" i="103"/>
  <c r="AH21" i="103"/>
  <c r="AN21" i="103" s="1"/>
  <c r="AG21" i="103"/>
  <c r="G21" i="103"/>
  <c r="BB21" i="103" s="1"/>
  <c r="B21" i="103"/>
  <c r="BL20" i="103"/>
  <c r="BH20" i="103"/>
  <c r="BE20" i="103"/>
  <c r="BD20" i="103"/>
  <c r="BC20" i="103"/>
  <c r="AU20" i="103"/>
  <c r="AS20" i="103"/>
  <c r="AQ20" i="103"/>
  <c r="AO20" i="103"/>
  <c r="AL20" i="103"/>
  <c r="AH20" i="103"/>
  <c r="AN20" i="103" s="1"/>
  <c r="AG20" i="103"/>
  <c r="G20" i="103"/>
  <c r="BB20" i="103" s="1"/>
  <c r="BH19" i="103"/>
  <c r="BE19" i="103"/>
  <c r="BD19" i="103"/>
  <c r="BC19" i="103"/>
  <c r="AU19" i="103"/>
  <c r="AS19" i="103"/>
  <c r="AQ19" i="103"/>
  <c r="AO19" i="103"/>
  <c r="AL19" i="103"/>
  <c r="AH19" i="103"/>
  <c r="AN19" i="103" s="1"/>
  <c r="AG19" i="103"/>
  <c r="BL18" i="103"/>
  <c r="BH18" i="103"/>
  <c r="BE18" i="103"/>
  <c r="BD18" i="103"/>
  <c r="BC18" i="103"/>
  <c r="AU18" i="103"/>
  <c r="AS18" i="103"/>
  <c r="AQ18" i="103"/>
  <c r="AO18" i="103"/>
  <c r="AL18" i="103"/>
  <c r="AH18" i="103"/>
  <c r="AN18" i="103" s="1"/>
  <c r="AG18" i="103"/>
  <c r="BL17" i="103"/>
  <c r="BK17" i="103"/>
  <c r="I17" i="103" s="1"/>
  <c r="BI17" i="103"/>
  <c r="BM17" i="103" s="1"/>
  <c r="BH17" i="103"/>
  <c r="BE17" i="103"/>
  <c r="BD17" i="103"/>
  <c r="BC17" i="103"/>
  <c r="BA17" i="103"/>
  <c r="AY17" i="103"/>
  <c r="AW17" i="103"/>
  <c r="AU17" i="103"/>
  <c r="AS17" i="103"/>
  <c r="AQ17" i="103"/>
  <c r="AI17" i="103" s="1"/>
  <c r="C17" i="103" s="1"/>
  <c r="AO17" i="103"/>
  <c r="AL17" i="103"/>
  <c r="AH17" i="103"/>
  <c r="AG17" i="103"/>
  <c r="G17" i="103"/>
  <c r="BB17" i="103" s="1"/>
  <c r="BL16" i="103"/>
  <c r="BH16" i="103"/>
  <c r="BE16" i="103"/>
  <c r="BD16" i="103"/>
  <c r="BC16" i="103"/>
  <c r="BA16" i="103"/>
  <c r="AU16" i="103"/>
  <c r="AS16" i="103"/>
  <c r="AQ16" i="103"/>
  <c r="AO16" i="103"/>
  <c r="AL16" i="103"/>
  <c r="AH16" i="103"/>
  <c r="AN16" i="103" s="1"/>
  <c r="AG16" i="103"/>
  <c r="G16" i="103"/>
  <c r="BB16" i="103" s="1"/>
  <c r="BH15" i="103"/>
  <c r="BE15" i="103"/>
  <c r="BD15" i="103"/>
  <c r="BC15" i="103"/>
  <c r="AU15" i="103"/>
  <c r="AS15" i="103"/>
  <c r="AQ15" i="103"/>
  <c r="AO15" i="103"/>
  <c r="AL15" i="103"/>
  <c r="AH15" i="103"/>
  <c r="AN15" i="103" s="1"/>
  <c r="AG15" i="103"/>
  <c r="BL14" i="103"/>
  <c r="BH14" i="103"/>
  <c r="BE14" i="103"/>
  <c r="BD14" i="103"/>
  <c r="BC14" i="103"/>
  <c r="AU14" i="103"/>
  <c r="AS14" i="103"/>
  <c r="AQ14" i="103"/>
  <c r="AO14" i="103"/>
  <c r="AL14" i="103"/>
  <c r="AH14" i="103"/>
  <c r="AN14" i="103" s="1"/>
  <c r="AG14" i="103"/>
  <c r="BL13" i="103"/>
  <c r="BK13" i="103"/>
  <c r="I13" i="103" s="1"/>
  <c r="BI13" i="103"/>
  <c r="AZ13" i="103" s="1"/>
  <c r="BH13" i="103"/>
  <c r="BE13" i="103"/>
  <c r="BD13" i="103"/>
  <c r="BC13" i="103"/>
  <c r="BA13" i="103"/>
  <c r="AY13" i="103"/>
  <c r="AW13" i="103"/>
  <c r="AU13" i="103"/>
  <c r="AS13" i="103"/>
  <c r="AQ13" i="103"/>
  <c r="AO13" i="103"/>
  <c r="AL13" i="103"/>
  <c r="AH13" i="103"/>
  <c r="AG13" i="103"/>
  <c r="G13" i="103"/>
  <c r="BB13" i="103" s="1"/>
  <c r="BL12" i="103"/>
  <c r="BH12" i="103"/>
  <c r="BE12" i="103"/>
  <c r="BD12" i="103"/>
  <c r="BC12" i="103"/>
  <c r="BA12" i="103"/>
  <c r="AU12" i="103"/>
  <c r="AS12" i="103"/>
  <c r="AQ12" i="103"/>
  <c r="AO12" i="103"/>
  <c r="AL12" i="103"/>
  <c r="AH12" i="103"/>
  <c r="AN12" i="103" s="1"/>
  <c r="AG12" i="103"/>
  <c r="G12" i="103"/>
  <c r="BB12" i="103" s="1"/>
  <c r="BH11" i="103"/>
  <c r="BE11" i="103"/>
  <c r="BD11" i="103"/>
  <c r="BC11" i="103"/>
  <c r="AU11" i="103"/>
  <c r="AS11" i="103"/>
  <c r="AQ11" i="103"/>
  <c r="AO11" i="103"/>
  <c r="AL11" i="103"/>
  <c r="AH11" i="103"/>
  <c r="AN11" i="103" s="1"/>
  <c r="AG11" i="103"/>
  <c r="BL10" i="103"/>
  <c r="BH10" i="103"/>
  <c r="BE10" i="103"/>
  <c r="BD10" i="103"/>
  <c r="BC10" i="103"/>
  <c r="AU10" i="103"/>
  <c r="AU42" i="103" s="1"/>
  <c r="AS10" i="103"/>
  <c r="AQ10" i="103"/>
  <c r="AO10" i="103"/>
  <c r="AL10" i="103"/>
  <c r="AJ10" i="103"/>
  <c r="AJ11" i="103" s="1"/>
  <c r="AJ12" i="103" s="1"/>
  <c r="AJ13" i="103" s="1"/>
  <c r="AJ14" i="103" s="1"/>
  <c r="AJ15" i="103" s="1"/>
  <c r="AJ16" i="103" s="1"/>
  <c r="AJ17" i="103" s="1"/>
  <c r="AJ18" i="103" s="1"/>
  <c r="AJ19" i="103" s="1"/>
  <c r="AJ20" i="103" s="1"/>
  <c r="AJ21" i="103" s="1"/>
  <c r="AH10" i="103"/>
  <c r="AN10" i="103" s="1"/>
  <c r="AG10" i="103"/>
  <c r="B10" i="103"/>
  <c r="BL9" i="103"/>
  <c r="BK9" i="103"/>
  <c r="I9" i="103" s="1"/>
  <c r="BJ9" i="103"/>
  <c r="H9" i="103" s="1"/>
  <c r="BF9" i="103" s="1"/>
  <c r="BI9" i="103"/>
  <c r="AZ9" i="103" s="1"/>
  <c r="BH9" i="103"/>
  <c r="BE9" i="103"/>
  <c r="BD9" i="103"/>
  <c r="BD5" i="103" s="1"/>
  <c r="BC9" i="103"/>
  <c r="BC5" i="103" s="1"/>
  <c r="BA9" i="103"/>
  <c r="AY9" i="103"/>
  <c r="AX9" i="103"/>
  <c r="AW9" i="103"/>
  <c r="AU9" i="103"/>
  <c r="AV44" i="103" s="1"/>
  <c r="AS9" i="103"/>
  <c r="AS42" i="103" s="1"/>
  <c r="AT42" i="103" s="1"/>
  <c r="AQ9" i="103"/>
  <c r="AQ42" i="103" s="1"/>
  <c r="AO9" i="103"/>
  <c r="AL9" i="103"/>
  <c r="AJ9" i="103"/>
  <c r="AH9" i="103"/>
  <c r="AN9" i="103" s="1"/>
  <c r="AG9" i="103"/>
  <c r="G9" i="103"/>
  <c r="BB9" i="103" s="1"/>
  <c r="B9" i="103"/>
  <c r="AV7" i="103"/>
  <c r="AV45" i="103" l="1"/>
  <c r="BM13" i="103"/>
  <c r="BM37" i="103"/>
  <c r="BM9" i="103"/>
  <c r="AZ17" i="103"/>
  <c r="AK17" i="103"/>
  <c r="AT17" i="103" s="1"/>
  <c r="AK35" i="103"/>
  <c r="AM35" i="103" s="1"/>
  <c r="BM38" i="103"/>
  <c r="BJ17" i="103"/>
  <c r="H17" i="103" s="1"/>
  <c r="BF17" i="103" s="1"/>
  <c r="AK13" i="103"/>
  <c r="AT13" i="103" s="1"/>
  <c r="BN21" i="103"/>
  <c r="AR17" i="103"/>
  <c r="AV17" i="103" s="1"/>
  <c r="AK33" i="103"/>
  <c r="AM33" i="103" s="1"/>
  <c r="BN17" i="103"/>
  <c r="AK21" i="103"/>
  <c r="AZ21" i="103"/>
  <c r="BN9" i="103"/>
  <c r="AK34" i="103"/>
  <c r="AM34" i="103" s="1"/>
  <c r="AN13" i="103"/>
  <c r="BE5" i="103"/>
  <c r="AK39" i="103"/>
  <c r="AM39" i="103" s="1"/>
  <c r="BN13" i="103"/>
  <c r="AK9" i="103"/>
  <c r="BJ13" i="103"/>
  <c r="H13" i="103" s="1"/>
  <c r="BF13" i="103" s="1"/>
  <c r="AN17" i="103"/>
  <c r="AJ22" i="103"/>
  <c r="AJ23" i="103" s="1"/>
  <c r="AJ24" i="103" s="1"/>
  <c r="AJ25" i="103" s="1"/>
  <c r="E42" i="103"/>
  <c r="AV42" i="103"/>
  <c r="AV46" i="103" s="1"/>
  <c r="Q6" i="103"/>
  <c r="AI13" i="103"/>
  <c r="C13" i="103" s="1"/>
  <c r="AI32" i="103"/>
  <c r="C32" i="103" s="1"/>
  <c r="AI19" i="103"/>
  <c r="C19" i="103" s="1"/>
  <c r="AI15" i="103"/>
  <c r="C15" i="103" s="1"/>
  <c r="AI11" i="103"/>
  <c r="C11" i="103" s="1"/>
  <c r="AI31" i="103"/>
  <c r="C31" i="103" s="1"/>
  <c r="AI28" i="103"/>
  <c r="C28" i="103" s="1"/>
  <c r="AI22" i="103"/>
  <c r="C22" i="103" s="1"/>
  <c r="AI18" i="103"/>
  <c r="C18" i="103" s="1"/>
  <c r="AI14" i="103"/>
  <c r="C14" i="103" s="1"/>
  <c r="AI10" i="103"/>
  <c r="C10" i="103" s="1"/>
  <c r="AI20" i="103"/>
  <c r="C20" i="103" s="1"/>
  <c r="AI16" i="103"/>
  <c r="C16" i="103" s="1"/>
  <c r="AI12" i="103"/>
  <c r="C12" i="103" s="1"/>
  <c r="G10" i="103"/>
  <c r="G14" i="103"/>
  <c r="G18" i="103"/>
  <c r="G22" i="103"/>
  <c r="G25" i="103"/>
  <c r="G28" i="103"/>
  <c r="G31" i="103"/>
  <c r="B11" i="103"/>
  <c r="BL11" i="103"/>
  <c r="AW12" i="103"/>
  <c r="BI12" i="103"/>
  <c r="AZ12" i="103" s="1"/>
  <c r="BL15" i="103"/>
  <c r="AW16" i="103"/>
  <c r="BI16" i="103"/>
  <c r="BL19" i="103"/>
  <c r="AW20" i="103"/>
  <c r="BI20" i="103"/>
  <c r="BL32" i="103"/>
  <c r="BL36" i="103"/>
  <c r="BL40" i="103"/>
  <c r="BL24" i="103"/>
  <c r="BL27" i="103"/>
  <c r="BL30" i="103"/>
  <c r="BM36" i="103"/>
  <c r="BM40" i="103"/>
  <c r="G11" i="103"/>
  <c r="AY12" i="103"/>
  <c r="BK12" i="103"/>
  <c r="I12" i="103" s="1"/>
  <c r="G15" i="103"/>
  <c r="AY16" i="103"/>
  <c r="BK16" i="103"/>
  <c r="I16" i="103" s="1"/>
  <c r="G19" i="103"/>
  <c r="AY20" i="103"/>
  <c r="BK20" i="103"/>
  <c r="I20" i="103" s="1"/>
  <c r="AW23" i="103"/>
  <c r="BI23" i="103"/>
  <c r="AZ23" i="103" s="1"/>
  <c r="AW26" i="103"/>
  <c r="BI26" i="103"/>
  <c r="AZ26" i="103" s="1"/>
  <c r="AW29" i="103"/>
  <c r="BI29" i="103"/>
  <c r="AZ29" i="103" s="1"/>
  <c r="G32" i="103"/>
  <c r="B12" i="103"/>
  <c r="G24" i="103"/>
  <c r="G27" i="103"/>
  <c r="AX29" i="103"/>
  <c r="G30" i="103"/>
  <c r="BA20" i="103"/>
  <c r="AY23" i="103"/>
  <c r="BK23" i="103"/>
  <c r="I23" i="103" s="1"/>
  <c r="AY26" i="103"/>
  <c r="BK26" i="103"/>
  <c r="I26" i="103" s="1"/>
  <c r="AY29" i="103"/>
  <c r="BK29" i="103"/>
  <c r="I29" i="103" s="1"/>
  <c r="BA23" i="103"/>
  <c r="BA26" i="103"/>
  <c r="BA29" i="103"/>
  <c r="AM13" i="103" l="1"/>
  <c r="AX13" i="103"/>
  <c r="AR13" i="103"/>
  <c r="AV13" i="103" s="1"/>
  <c r="AX17" i="103"/>
  <c r="AM17" i="103"/>
  <c r="AN42" i="103"/>
  <c r="AN7" i="103"/>
  <c r="AT21" i="103"/>
  <c r="AR21" i="103"/>
  <c r="AV21" i="103" s="1"/>
  <c r="AM21" i="103"/>
  <c r="AP21" i="103" s="1"/>
  <c r="BG21" i="103" s="1"/>
  <c r="AT9" i="103"/>
  <c r="AM9" i="103"/>
  <c r="AP9" i="103" s="1"/>
  <c r="BG9" i="103" s="1"/>
  <c r="AR9" i="103"/>
  <c r="AV9" i="103" s="1"/>
  <c r="BN12" i="103"/>
  <c r="BM12" i="103"/>
  <c r="BJ12" i="103"/>
  <c r="H12" i="103" s="1"/>
  <c r="BF12" i="103" s="1"/>
  <c r="AK12" i="103"/>
  <c r="BB30" i="103"/>
  <c r="BA30" i="103"/>
  <c r="BK30" i="103"/>
  <c r="I30" i="103" s="1"/>
  <c r="AY30" i="103"/>
  <c r="BI30" i="103"/>
  <c r="AZ30" i="103" s="1"/>
  <c r="AW30" i="103"/>
  <c r="AW32" i="103"/>
  <c r="BI32" i="103"/>
  <c r="AZ32" i="103" s="1"/>
  <c r="BB32" i="103"/>
  <c r="BA32" i="103"/>
  <c r="BK32" i="103"/>
  <c r="I32" i="103" s="1"/>
  <c r="AY32" i="103"/>
  <c r="BB27" i="103"/>
  <c r="BA27" i="103"/>
  <c r="BK27" i="103"/>
  <c r="I27" i="103" s="1"/>
  <c r="AY27" i="103"/>
  <c r="BI27" i="103"/>
  <c r="AZ27" i="103" s="1"/>
  <c r="AW27" i="103"/>
  <c r="BK10" i="103"/>
  <c r="I10" i="103" s="1"/>
  <c r="AY10" i="103"/>
  <c r="BI10" i="103"/>
  <c r="AW10" i="103"/>
  <c r="AZ10" i="103"/>
  <c r="BB10" i="103"/>
  <c r="BA10" i="103"/>
  <c r="BI19" i="103"/>
  <c r="BB19" i="103"/>
  <c r="BA19" i="103"/>
  <c r="AW19" i="103"/>
  <c r="BK19" i="103"/>
  <c r="I19" i="103" s="1"/>
  <c r="AY19" i="103"/>
  <c r="BN29" i="103"/>
  <c r="BM29" i="103"/>
  <c r="AK29" i="103"/>
  <c r="BB15" i="103"/>
  <c r="BA15" i="103"/>
  <c r="AW15" i="103"/>
  <c r="BK15" i="103"/>
  <c r="I15" i="103" s="1"/>
  <c r="AY15" i="103"/>
  <c r="BI15" i="103"/>
  <c r="BN20" i="103"/>
  <c r="BM20" i="103"/>
  <c r="BJ20" i="103"/>
  <c r="H20" i="103" s="1"/>
  <c r="BF20" i="103" s="1"/>
  <c r="AK20" i="103"/>
  <c r="BK31" i="103"/>
  <c r="I31" i="103" s="1"/>
  <c r="AY31" i="103"/>
  <c r="BI31" i="103"/>
  <c r="AZ31" i="103" s="1"/>
  <c r="AW31" i="103"/>
  <c r="BB31" i="103"/>
  <c r="BA31" i="103"/>
  <c r="BB24" i="103"/>
  <c r="BA24" i="103"/>
  <c r="BK24" i="103"/>
  <c r="I24" i="103" s="1"/>
  <c r="AY24" i="103"/>
  <c r="BI24" i="103"/>
  <c r="AW24" i="103"/>
  <c r="BK28" i="103"/>
  <c r="I28" i="103" s="1"/>
  <c r="AY28" i="103"/>
  <c r="BI28" i="103"/>
  <c r="AZ28" i="103" s="1"/>
  <c r="AW28" i="103"/>
  <c r="BB28" i="103"/>
  <c r="BA28" i="103"/>
  <c r="AZ20" i="103"/>
  <c r="BK22" i="103"/>
  <c r="I22" i="103" s="1"/>
  <c r="AY22" i="103"/>
  <c r="BI22" i="103"/>
  <c r="AZ22" i="103" s="1"/>
  <c r="AW22" i="103"/>
  <c r="BB22" i="103"/>
  <c r="BA22" i="103"/>
  <c r="BN16" i="103"/>
  <c r="BM16" i="103"/>
  <c r="BJ16" i="103"/>
  <c r="H16" i="103" s="1"/>
  <c r="BF16" i="103" s="1"/>
  <c r="AK16" i="103"/>
  <c r="BK18" i="103"/>
  <c r="I18" i="103" s="1"/>
  <c r="AY18" i="103"/>
  <c r="BI18" i="103"/>
  <c r="AZ18" i="103" s="1"/>
  <c r="AW18" i="103"/>
  <c r="BB18" i="103"/>
  <c r="BA18" i="103"/>
  <c r="BN23" i="103"/>
  <c r="BM23" i="103"/>
  <c r="BJ23" i="103"/>
  <c r="H23" i="103" s="1"/>
  <c r="BF23" i="103" s="1"/>
  <c r="AK23" i="103"/>
  <c r="BK14" i="103"/>
  <c r="I14" i="103" s="1"/>
  <c r="AY14" i="103"/>
  <c r="BI14" i="103"/>
  <c r="AW14" i="103"/>
  <c r="AZ14" i="103"/>
  <c r="BB14" i="103"/>
  <c r="BA14" i="103"/>
  <c r="AJ26" i="103"/>
  <c r="BN26" i="103"/>
  <c r="BM26" i="103"/>
  <c r="BJ26" i="103"/>
  <c r="H26" i="103" s="1"/>
  <c r="BF26" i="103" s="1"/>
  <c r="AK26" i="103"/>
  <c r="BK25" i="103"/>
  <c r="I25" i="103" s="1"/>
  <c r="AY25" i="103"/>
  <c r="AX25" i="103"/>
  <c r="BI25" i="103"/>
  <c r="AZ25" i="103" s="1"/>
  <c r="AW25" i="103"/>
  <c r="BB25" i="103"/>
  <c r="BA25" i="103"/>
  <c r="BI11" i="103"/>
  <c r="BB11" i="103"/>
  <c r="AW11" i="103"/>
  <c r="BA11" i="103"/>
  <c r="BK11" i="103"/>
  <c r="I11" i="103" s="1"/>
  <c r="AY11" i="103"/>
  <c r="B13" i="103"/>
  <c r="B14" i="103" s="1"/>
  <c r="AZ16" i="103"/>
  <c r="AP12" i="103" l="1"/>
  <c r="AK15" i="103"/>
  <c r="BJ15" i="103"/>
  <c r="H15" i="103" s="1"/>
  <c r="BF15" i="103" s="1"/>
  <c r="BM15" i="103"/>
  <c r="BN15" i="103"/>
  <c r="BA5" i="103"/>
  <c r="BB5" i="103"/>
  <c r="AK11" i="103"/>
  <c r="BJ11" i="103"/>
  <c r="H11" i="103" s="1"/>
  <c r="BM11" i="103"/>
  <c r="BN11" i="103"/>
  <c r="AK19" i="103"/>
  <c r="BJ19" i="103"/>
  <c r="H19" i="103" s="1"/>
  <c r="BF19" i="103" s="1"/>
  <c r="BM19" i="103"/>
  <c r="BN19" i="103"/>
  <c r="BJ24" i="103"/>
  <c r="H24" i="103" s="1"/>
  <c r="BF24" i="103" s="1"/>
  <c r="AK24" i="103"/>
  <c r="BN24" i="103"/>
  <c r="BM24" i="103"/>
  <c r="AJ27" i="103"/>
  <c r="AJ28" i="103" s="1"/>
  <c r="AJ29" i="103" s="1"/>
  <c r="AZ24" i="103"/>
  <c r="AK25" i="103"/>
  <c r="BM25" i="103"/>
  <c r="BN25" i="103"/>
  <c r="BJ14" i="103"/>
  <c r="H14" i="103" s="1"/>
  <c r="BF14" i="103" s="1"/>
  <c r="AK14" i="103"/>
  <c r="BM14" i="103"/>
  <c r="BN14" i="103"/>
  <c r="BJ28" i="103"/>
  <c r="H28" i="103" s="1"/>
  <c r="BF28" i="103" s="1"/>
  <c r="AK28" i="103"/>
  <c r="BM28" i="103"/>
  <c r="BN28" i="103"/>
  <c r="AM29" i="103"/>
  <c r="AP29" i="103" s="1"/>
  <c r="BG29" i="103" s="1"/>
  <c r="AR29" i="103"/>
  <c r="AV29" i="103" s="1"/>
  <c r="AT29" i="103"/>
  <c r="BJ27" i="103"/>
  <c r="H27" i="103" s="1"/>
  <c r="BF27" i="103" s="1"/>
  <c r="AK27" i="103"/>
  <c r="BM27" i="103"/>
  <c r="BN27" i="103"/>
  <c r="AM26" i="103"/>
  <c r="AT26" i="103"/>
  <c r="AR26" i="103"/>
  <c r="AV26" i="103" s="1"/>
  <c r="AX26" i="103"/>
  <c r="AR16" i="103"/>
  <c r="AV16" i="103" s="1"/>
  <c r="AM16" i="103"/>
  <c r="AT16" i="103"/>
  <c r="AX16" i="103"/>
  <c r="AP13" i="103"/>
  <c r="BG13" i="103" s="1"/>
  <c r="B15" i="103"/>
  <c r="AY5" i="103"/>
  <c r="AZ11" i="103"/>
  <c r="BJ18" i="103"/>
  <c r="H18" i="103" s="1"/>
  <c r="BF18" i="103" s="1"/>
  <c r="AK18" i="103"/>
  <c r="BM18" i="103"/>
  <c r="BN18" i="103"/>
  <c r="AK32" i="103"/>
  <c r="BJ32" i="103"/>
  <c r="H32" i="103" s="1"/>
  <c r="BF32" i="103" s="1"/>
  <c r="BM32" i="103"/>
  <c r="BN32" i="103"/>
  <c r="AZ15" i="103"/>
  <c r="BJ30" i="103"/>
  <c r="H30" i="103" s="1"/>
  <c r="BF30" i="103" s="1"/>
  <c r="AK30" i="103"/>
  <c r="BN30" i="103"/>
  <c r="BM30" i="103"/>
  <c r="AZ19" i="103"/>
  <c r="BJ10" i="103"/>
  <c r="H10" i="103" s="1"/>
  <c r="AK10" i="103"/>
  <c r="BM10" i="103"/>
  <c r="BN10" i="103"/>
  <c r="AR12" i="103"/>
  <c r="AV12" i="103" s="1"/>
  <c r="AT12" i="103"/>
  <c r="AM12" i="103"/>
  <c r="AX12" i="103"/>
  <c r="BG12" i="103" s="1"/>
  <c r="AR23" i="103"/>
  <c r="AV23" i="103" s="1"/>
  <c r="AM23" i="103"/>
  <c r="AT23" i="103"/>
  <c r="AX23" i="103"/>
  <c r="AR20" i="103"/>
  <c r="AV20" i="103" s="1"/>
  <c r="AT20" i="103"/>
  <c r="AM20" i="103"/>
  <c r="AX20" i="103"/>
  <c r="BJ22" i="103"/>
  <c r="H22" i="103" s="1"/>
  <c r="BF22" i="103" s="1"/>
  <c r="AK22" i="103"/>
  <c r="BM22" i="103"/>
  <c r="BN22" i="103"/>
  <c r="BJ31" i="103"/>
  <c r="H31" i="103" s="1"/>
  <c r="BF31" i="103" s="1"/>
  <c r="AK31" i="103"/>
  <c r="BM31" i="103"/>
  <c r="BN31" i="103"/>
  <c r="AZ5" i="103" l="1"/>
  <c r="AP15" i="103"/>
  <c r="AT32" i="103"/>
  <c r="AR32" i="103"/>
  <c r="AV32" i="103" s="1"/>
  <c r="AM32" i="103"/>
  <c r="AX32" i="103"/>
  <c r="AT27" i="103"/>
  <c r="AR27" i="103"/>
  <c r="AV27" i="103" s="1"/>
  <c r="AM27" i="103"/>
  <c r="AX27" i="103"/>
  <c r="AM18" i="103"/>
  <c r="AT18" i="103"/>
  <c r="AR18" i="103"/>
  <c r="AV18" i="103" s="1"/>
  <c r="AX18" i="103"/>
  <c r="AM10" i="103"/>
  <c r="AT10" i="103"/>
  <c r="AR10" i="103"/>
  <c r="AX10" i="103"/>
  <c r="AT19" i="103"/>
  <c r="AR19" i="103"/>
  <c r="AV19" i="103" s="1"/>
  <c r="AM19" i="103"/>
  <c r="AX19" i="103"/>
  <c r="AJ30" i="103"/>
  <c r="AM14" i="103"/>
  <c r="AT14" i="103"/>
  <c r="AR14" i="103"/>
  <c r="AV14" i="103" s="1"/>
  <c r="AX14" i="103"/>
  <c r="AM31" i="103"/>
  <c r="AT31" i="103"/>
  <c r="AR31" i="103"/>
  <c r="AV31" i="103" s="1"/>
  <c r="AX31" i="103"/>
  <c r="BF10" i="103"/>
  <c r="AP10" i="103"/>
  <c r="AM28" i="103"/>
  <c r="AT28" i="103"/>
  <c r="AR28" i="103"/>
  <c r="AV28" i="103" s="1"/>
  <c r="AX28" i="103"/>
  <c r="AM22" i="103"/>
  <c r="AT22" i="103"/>
  <c r="AR22" i="103"/>
  <c r="AV22" i="103" s="1"/>
  <c r="AX22" i="103"/>
  <c r="AT11" i="103"/>
  <c r="AR11" i="103"/>
  <c r="AV11" i="103" s="1"/>
  <c r="AM11" i="103"/>
  <c r="AX11" i="103"/>
  <c r="AT24" i="103"/>
  <c r="AR24" i="103"/>
  <c r="AV24" i="103" s="1"/>
  <c r="AM24" i="103"/>
  <c r="AX24" i="103"/>
  <c r="AT30" i="103"/>
  <c r="AR30" i="103"/>
  <c r="AV30" i="103" s="1"/>
  <c r="AM30" i="103"/>
  <c r="AX30" i="103"/>
  <c r="BF11" i="103"/>
  <c r="AP11" i="103"/>
  <c r="B16" i="103"/>
  <c r="AT15" i="103"/>
  <c r="AR15" i="103"/>
  <c r="AV15" i="103" s="1"/>
  <c r="AM15" i="103"/>
  <c r="AX15" i="103"/>
  <c r="BG15" i="103" s="1"/>
  <c r="AM25" i="103"/>
  <c r="AP25" i="103" s="1"/>
  <c r="BG25" i="103" s="1"/>
  <c r="AT25" i="103"/>
  <c r="AR25" i="103"/>
  <c r="AV25" i="103" s="1"/>
  <c r="AP14" i="103"/>
  <c r="BG11" i="103" l="1"/>
  <c r="BG14" i="103"/>
  <c r="BG10" i="103"/>
  <c r="AP16" i="103"/>
  <c r="BG16" i="103" s="1"/>
  <c r="AJ31" i="103"/>
  <c r="AV10" i="103"/>
  <c r="AR42" i="103"/>
  <c r="AR46" i="103" s="1"/>
  <c r="B17" i="103"/>
  <c r="AM42" i="103"/>
  <c r="AX5" i="103" s="1"/>
  <c r="AM7" i="103"/>
  <c r="J42" i="103" s="1"/>
  <c r="F42" i="103" l="1"/>
  <c r="U49" i="103" s="1"/>
  <c r="U50" i="103" s="1"/>
  <c r="Q7" i="103"/>
  <c r="AW5" i="103"/>
  <c r="U45" i="103" s="1"/>
  <c r="O41" i="103" s="1"/>
  <c r="AJ32" i="103"/>
  <c r="AI29" i="103"/>
  <c r="C29" i="103" s="1"/>
  <c r="AP17" i="103"/>
  <c r="BG17" i="103" s="1"/>
  <c r="B18" i="103"/>
  <c r="U46" i="103"/>
  <c r="Q41" i="103" s="1"/>
  <c r="AR47" i="103"/>
  <c r="B42" i="103" s="1"/>
  <c r="AP18" i="103" l="1"/>
  <c r="BG18" i="103" s="1"/>
  <c r="B19" i="103"/>
  <c r="AI25" i="103"/>
  <c r="C25" i="103" s="1"/>
  <c r="AI21" i="103"/>
  <c r="AI9" i="103"/>
  <c r="C9" i="103" s="1"/>
  <c r="C21" i="103" l="1"/>
  <c r="AI44" i="103"/>
  <c r="AP19" i="103"/>
  <c r="BG19" i="103" s="1"/>
  <c r="B20" i="103"/>
  <c r="AP20" i="103" l="1"/>
  <c r="BG20" i="103" s="1"/>
  <c r="B22" i="103"/>
  <c r="AP22" i="103" l="1"/>
  <c r="BG22" i="103" s="1"/>
  <c r="B23" i="103"/>
  <c r="AP23" i="103" l="1"/>
  <c r="BG23" i="103" s="1"/>
  <c r="B24" i="103"/>
  <c r="AP24" i="103" l="1"/>
  <c r="BG24" i="103" s="1"/>
  <c r="B26" i="103"/>
  <c r="AP26" i="103" l="1"/>
  <c r="BG26" i="103" s="1"/>
  <c r="B27" i="103"/>
  <c r="AP27" i="103" l="1"/>
  <c r="BG27" i="103" s="1"/>
  <c r="B28" i="103"/>
  <c r="AP28" i="103" l="1"/>
  <c r="BG28" i="103" s="1"/>
  <c r="B30" i="103"/>
  <c r="AP30" i="103" l="1"/>
  <c r="BG30" i="103" s="1"/>
  <c r="B31" i="103"/>
  <c r="AP31" i="103" l="1"/>
  <c r="BG31" i="103" s="1"/>
  <c r="B32" i="103"/>
  <c r="AP32" i="103" s="1"/>
  <c r="BG32" i="103" s="1"/>
  <c r="U48" i="102" l="1"/>
  <c r="BE43" i="102"/>
  <c r="AT43" i="102"/>
  <c r="AT44" i="102" s="1"/>
  <c r="BN39" i="102"/>
  <c r="BK39" i="102"/>
  <c r="I39" i="102" s="1"/>
  <c r="BJ39" i="102"/>
  <c r="H39" i="102" s="1"/>
  <c r="BF39" i="102" s="1"/>
  <c r="BI39" i="102"/>
  <c r="AK39" i="102" s="1"/>
  <c r="AM39" i="102" s="1"/>
  <c r="BH39" i="102"/>
  <c r="G39" i="102" s="1"/>
  <c r="BG39" i="102"/>
  <c r="BE39" i="102"/>
  <c r="BD39" i="102"/>
  <c r="BC39" i="102"/>
  <c r="BB39" i="102"/>
  <c r="BA39" i="102"/>
  <c r="AZ39" i="102"/>
  <c r="AY39" i="102"/>
  <c r="AX39" i="102"/>
  <c r="AW39" i="102"/>
  <c r="AU39" i="102"/>
  <c r="AT39" i="102"/>
  <c r="AS39" i="102"/>
  <c r="AR39" i="102"/>
  <c r="AV39" i="102" s="1"/>
  <c r="AQ39" i="102"/>
  <c r="AP39" i="102"/>
  <c r="AO39" i="102"/>
  <c r="AL39" i="102"/>
  <c r="AJ39" i="102"/>
  <c r="AI39" i="102"/>
  <c r="AH39" i="102"/>
  <c r="AN39" i="102" s="1"/>
  <c r="AG39" i="102"/>
  <c r="C39" i="102"/>
  <c r="B39" i="102"/>
  <c r="BN38" i="102"/>
  <c r="BM38" i="102"/>
  <c r="BL38" i="102"/>
  <c r="BK38" i="102"/>
  <c r="I38" i="102" s="1"/>
  <c r="BJ38" i="102"/>
  <c r="H38" i="102" s="1"/>
  <c r="BF38" i="102" s="1"/>
  <c r="BI38" i="102"/>
  <c r="BH38" i="102"/>
  <c r="BG38" i="102"/>
  <c r="BE38" i="102"/>
  <c r="BD38" i="102"/>
  <c r="BC38" i="102"/>
  <c r="BB38" i="102"/>
  <c r="BA38" i="102"/>
  <c r="AZ38" i="102"/>
  <c r="AY38" i="102"/>
  <c r="AX38" i="102"/>
  <c r="AW38" i="102"/>
  <c r="AU38" i="102"/>
  <c r="AT38" i="102"/>
  <c r="AS38" i="102"/>
  <c r="AR38" i="102"/>
  <c r="AV38" i="102" s="1"/>
  <c r="AQ38" i="102"/>
  <c r="AP38" i="102"/>
  <c r="AO38" i="102"/>
  <c r="AN38" i="102"/>
  <c r="AL38" i="102"/>
  <c r="AK38" i="102"/>
  <c r="AM38" i="102" s="1"/>
  <c r="AJ38" i="102"/>
  <c r="AI38" i="102"/>
  <c r="AH38" i="102"/>
  <c r="AG38" i="102"/>
  <c r="G38" i="102"/>
  <c r="C38" i="102"/>
  <c r="B38" i="102"/>
  <c r="BN37" i="102"/>
  <c r="BK37" i="102"/>
  <c r="I37" i="102" s="1"/>
  <c r="BJ37" i="102"/>
  <c r="H37" i="102" s="1"/>
  <c r="BF37" i="102" s="1"/>
  <c r="BI37" i="102"/>
  <c r="AK37" i="102" s="1"/>
  <c r="AM37" i="102" s="1"/>
  <c r="BH37" i="102"/>
  <c r="BL37" i="102" s="1"/>
  <c r="BG37" i="102"/>
  <c r="BE37" i="102"/>
  <c r="BD37" i="102"/>
  <c r="BC37" i="102"/>
  <c r="BB37" i="102"/>
  <c r="BA37" i="102"/>
  <c r="AZ37" i="102"/>
  <c r="AY37" i="102"/>
  <c r="AX37" i="102"/>
  <c r="AW37" i="102"/>
  <c r="AU37" i="102"/>
  <c r="AT37" i="102"/>
  <c r="AS37" i="102"/>
  <c r="AR37" i="102"/>
  <c r="AV37" i="102" s="1"/>
  <c r="AQ37" i="102"/>
  <c r="AP37" i="102"/>
  <c r="AO37" i="102"/>
  <c r="AL37" i="102"/>
  <c r="AJ37" i="102"/>
  <c r="AI37" i="102"/>
  <c r="AH37" i="102"/>
  <c r="AN37" i="102" s="1"/>
  <c r="AG37" i="102"/>
  <c r="G37" i="102"/>
  <c r="C37" i="102"/>
  <c r="B37" i="102"/>
  <c r="BN36" i="102"/>
  <c r="BK36" i="102"/>
  <c r="BJ36" i="102"/>
  <c r="H36" i="102" s="1"/>
  <c r="BF36" i="102" s="1"/>
  <c r="BI36" i="102"/>
  <c r="AK36" i="102" s="1"/>
  <c r="AM36" i="102" s="1"/>
  <c r="BH36" i="102"/>
  <c r="G36" i="102" s="1"/>
  <c r="BG36" i="102"/>
  <c r="BE36" i="102"/>
  <c r="BD36" i="102"/>
  <c r="BC36" i="102"/>
  <c r="BB36" i="102"/>
  <c r="BA36" i="102"/>
  <c r="AZ36" i="102"/>
  <c r="AY36" i="102"/>
  <c r="AX36" i="102"/>
  <c r="AW36" i="102"/>
  <c r="AU36" i="102"/>
  <c r="AT36" i="102"/>
  <c r="AS36" i="102"/>
  <c r="AR36" i="102"/>
  <c r="AV36" i="102" s="1"/>
  <c r="AQ36" i="102"/>
  <c r="AP36" i="102"/>
  <c r="AO36" i="102"/>
  <c r="AL36" i="102"/>
  <c r="AJ36" i="102"/>
  <c r="AI36" i="102"/>
  <c r="AH36" i="102"/>
  <c r="AN36" i="102" s="1"/>
  <c r="AG36" i="102"/>
  <c r="I36" i="102"/>
  <c r="C36" i="102"/>
  <c r="B36" i="102"/>
  <c r="BN35" i="102"/>
  <c r="BK35" i="102"/>
  <c r="I35" i="102" s="1"/>
  <c r="BJ35" i="102"/>
  <c r="H35" i="102" s="1"/>
  <c r="BF35" i="102" s="1"/>
  <c r="BI35" i="102"/>
  <c r="AK35" i="102" s="1"/>
  <c r="AM35" i="102" s="1"/>
  <c r="BH35" i="102"/>
  <c r="G35" i="102" s="1"/>
  <c r="BG35" i="102"/>
  <c r="BE35" i="102"/>
  <c r="BD35" i="102"/>
  <c r="BC35" i="102"/>
  <c r="BB35" i="102"/>
  <c r="BA35" i="102"/>
  <c r="AZ35" i="102"/>
  <c r="AY35" i="102"/>
  <c r="AX35" i="102"/>
  <c r="AW35" i="102"/>
  <c r="AU35" i="102"/>
  <c r="AT35" i="102"/>
  <c r="AS35" i="102"/>
  <c r="AR35" i="102"/>
  <c r="AV35" i="102" s="1"/>
  <c r="AQ35" i="102"/>
  <c r="AP35" i="102"/>
  <c r="AO35" i="102"/>
  <c r="AL35" i="102"/>
  <c r="AJ35" i="102"/>
  <c r="AI35" i="102"/>
  <c r="AH35" i="102"/>
  <c r="AN35" i="102" s="1"/>
  <c r="AG35" i="102"/>
  <c r="C35" i="102"/>
  <c r="B35" i="102"/>
  <c r="BL34" i="102"/>
  <c r="BK34" i="102"/>
  <c r="I34" i="102" s="1"/>
  <c r="BH34" i="102"/>
  <c r="BE34" i="102"/>
  <c r="BD34" i="102"/>
  <c r="BC34" i="102"/>
  <c r="BA34" i="102"/>
  <c r="AY34" i="102"/>
  <c r="AU34" i="102"/>
  <c r="AS34" i="102"/>
  <c r="AQ34" i="102"/>
  <c r="AO34" i="102"/>
  <c r="AL34" i="102"/>
  <c r="AH34" i="102"/>
  <c r="AG34" i="102"/>
  <c r="G34" i="102"/>
  <c r="BI34" i="102" s="1"/>
  <c r="AZ34" i="102" s="1"/>
  <c r="BN33" i="102"/>
  <c r="BM33" i="102"/>
  <c r="BH33" i="102"/>
  <c r="BL33" i="102" s="1"/>
  <c r="BE33" i="102"/>
  <c r="BD33" i="102"/>
  <c r="BC33" i="102"/>
  <c r="BA33" i="102"/>
  <c r="AU33" i="102"/>
  <c r="AS33" i="102"/>
  <c r="AQ33" i="102"/>
  <c r="AO33" i="102"/>
  <c r="AL33" i="102"/>
  <c r="AH33" i="102"/>
  <c r="AG33" i="102"/>
  <c r="G33" i="102"/>
  <c r="BB33" i="102" s="1"/>
  <c r="BH32" i="102"/>
  <c r="BE32" i="102"/>
  <c r="BD32" i="102"/>
  <c r="BC32" i="102"/>
  <c r="AU32" i="102"/>
  <c r="AS32" i="102"/>
  <c r="AQ32" i="102"/>
  <c r="AO32" i="102"/>
  <c r="AL32" i="102"/>
  <c r="AH32" i="102"/>
  <c r="AG32" i="102"/>
  <c r="BH31" i="102"/>
  <c r="BE31" i="102"/>
  <c r="BD31" i="102"/>
  <c r="BC31" i="102"/>
  <c r="AU31" i="102"/>
  <c r="AS31" i="102"/>
  <c r="AQ31" i="102"/>
  <c r="AO31" i="102"/>
  <c r="AL31" i="102"/>
  <c r="AH31" i="102"/>
  <c r="AG31" i="102"/>
  <c r="BL30" i="102"/>
  <c r="BK30" i="102"/>
  <c r="I30" i="102" s="1"/>
  <c r="BH30" i="102"/>
  <c r="BE30" i="102"/>
  <c r="BD30" i="102"/>
  <c r="BC30" i="102"/>
  <c r="BA30" i="102"/>
  <c r="AY30" i="102"/>
  <c r="AU30" i="102"/>
  <c r="AS30" i="102"/>
  <c r="AQ30" i="102"/>
  <c r="AO30" i="102"/>
  <c r="AL30" i="102"/>
  <c r="AH30" i="102"/>
  <c r="AG30" i="102"/>
  <c r="G30" i="102"/>
  <c r="BI30" i="102" s="1"/>
  <c r="AZ30" i="102" s="1"/>
  <c r="BU29" i="102"/>
  <c r="BT29" i="102"/>
  <c r="BS29" i="102"/>
  <c r="BR29" i="102"/>
  <c r="BQ29" i="102"/>
  <c r="BH29" i="102"/>
  <c r="BE29" i="102"/>
  <c r="BD29" i="102"/>
  <c r="BC29" i="102"/>
  <c r="AU29" i="102"/>
  <c r="AS29" i="102"/>
  <c r="AQ29" i="102"/>
  <c r="AO29" i="102"/>
  <c r="AL29" i="102"/>
  <c r="AH29" i="102"/>
  <c r="AG29" i="102"/>
  <c r="BU28" i="102"/>
  <c r="BT28" i="102"/>
  <c r="BS28" i="102"/>
  <c r="BR28" i="102"/>
  <c r="BQ28" i="102"/>
  <c r="BH28" i="102"/>
  <c r="BE28" i="102"/>
  <c r="BD28" i="102"/>
  <c r="BC28" i="102"/>
  <c r="AU28" i="102"/>
  <c r="AS28" i="102"/>
  <c r="AQ28" i="102"/>
  <c r="AO28" i="102"/>
  <c r="AL28" i="102"/>
  <c r="AH28" i="102"/>
  <c r="AN28" i="102" s="1"/>
  <c r="AG28" i="102"/>
  <c r="G28" i="102"/>
  <c r="BB28" i="102" s="1"/>
  <c r="BU27" i="102"/>
  <c r="BT27" i="102"/>
  <c r="BS27" i="102"/>
  <c r="BR27" i="102"/>
  <c r="BQ27" i="102"/>
  <c r="BL27" i="102"/>
  <c r="BK27" i="102"/>
  <c r="I27" i="102" s="1"/>
  <c r="BH27" i="102"/>
  <c r="BE27" i="102"/>
  <c r="BD27" i="102"/>
  <c r="BC27" i="102"/>
  <c r="BA27" i="102"/>
  <c r="AY27" i="102"/>
  <c r="AU27" i="102"/>
  <c r="AS27" i="102"/>
  <c r="AQ27" i="102"/>
  <c r="AO27" i="102"/>
  <c r="AL27" i="102"/>
  <c r="AH27" i="102"/>
  <c r="AN27" i="102" s="1"/>
  <c r="AG27" i="102"/>
  <c r="G27" i="102"/>
  <c r="BI27" i="102" s="1"/>
  <c r="AZ27" i="102" s="1"/>
  <c r="BU26" i="102"/>
  <c r="BT26" i="102"/>
  <c r="BS26" i="102"/>
  <c r="BR26" i="102"/>
  <c r="BQ26" i="102"/>
  <c r="BH26" i="102"/>
  <c r="BE26" i="102"/>
  <c r="BD26" i="102"/>
  <c r="BC26" i="102"/>
  <c r="AU26" i="102"/>
  <c r="AS26" i="102"/>
  <c r="AQ26" i="102"/>
  <c r="AO26" i="102"/>
  <c r="AL26" i="102"/>
  <c r="AH26" i="102"/>
  <c r="AN26" i="102" s="1"/>
  <c r="AG26" i="102"/>
  <c r="BU25" i="102"/>
  <c r="BT25" i="102"/>
  <c r="BS25" i="102"/>
  <c r="BR25" i="102"/>
  <c r="BQ25" i="102"/>
  <c r="BH25" i="102"/>
  <c r="BE25" i="102"/>
  <c r="BD25" i="102"/>
  <c r="BC25" i="102"/>
  <c r="AU25" i="102"/>
  <c r="AS25" i="102"/>
  <c r="AQ25" i="102"/>
  <c r="AO25" i="102"/>
  <c r="AL25" i="102"/>
  <c r="AH25" i="102"/>
  <c r="AG25" i="102"/>
  <c r="G25" i="102"/>
  <c r="BB25" i="102" s="1"/>
  <c r="BU24" i="102"/>
  <c r="BT24" i="102"/>
  <c r="BS24" i="102"/>
  <c r="BR24" i="102"/>
  <c r="BQ24" i="102"/>
  <c r="BL24" i="102"/>
  <c r="BK24" i="102"/>
  <c r="I24" i="102" s="1"/>
  <c r="BH24" i="102"/>
  <c r="BE24" i="102"/>
  <c r="BD24" i="102"/>
  <c r="BC24" i="102"/>
  <c r="BA24" i="102"/>
  <c r="AY24" i="102"/>
  <c r="AU24" i="102"/>
  <c r="AS24" i="102"/>
  <c r="AQ24" i="102"/>
  <c r="AO24" i="102"/>
  <c r="AL24" i="102"/>
  <c r="AH24" i="102"/>
  <c r="AG24" i="102"/>
  <c r="G24" i="102"/>
  <c r="BI24" i="102" s="1"/>
  <c r="BU23" i="102"/>
  <c r="BT23" i="102"/>
  <c r="BS23" i="102"/>
  <c r="BR23" i="102"/>
  <c r="BQ23" i="102"/>
  <c r="BH23" i="102"/>
  <c r="BE23" i="102"/>
  <c r="BD23" i="102"/>
  <c r="BC23" i="102"/>
  <c r="AU23" i="102"/>
  <c r="AS23" i="102"/>
  <c r="AQ23" i="102"/>
  <c r="AO23" i="102"/>
  <c r="AL23" i="102"/>
  <c r="AH23" i="102"/>
  <c r="AN23" i="102" s="1"/>
  <c r="AG23" i="102"/>
  <c r="BU22" i="102"/>
  <c r="BT22" i="102"/>
  <c r="BS22" i="102"/>
  <c r="BR22" i="102"/>
  <c r="BQ22" i="102"/>
  <c r="BH22" i="102"/>
  <c r="BE22" i="102"/>
  <c r="BD22" i="102"/>
  <c r="BC22" i="102"/>
  <c r="AU22" i="102"/>
  <c r="AS22" i="102"/>
  <c r="AQ22" i="102"/>
  <c r="AO22" i="102"/>
  <c r="AL22" i="102"/>
  <c r="AH22" i="102"/>
  <c r="AG22" i="102"/>
  <c r="G22" i="102"/>
  <c r="BB22" i="102" s="1"/>
  <c r="BU21" i="102"/>
  <c r="BT21" i="102"/>
  <c r="BS21" i="102"/>
  <c r="BR21" i="102"/>
  <c r="BQ21" i="102"/>
  <c r="BL21" i="102"/>
  <c r="BK21" i="102"/>
  <c r="I21" i="102" s="1"/>
  <c r="BH21" i="102"/>
  <c r="BE21" i="102"/>
  <c r="BD21" i="102"/>
  <c r="BC21" i="102"/>
  <c r="BA21" i="102"/>
  <c r="AY21" i="102"/>
  <c r="AU21" i="102"/>
  <c r="AS21" i="102"/>
  <c r="AQ21" i="102"/>
  <c r="AO21" i="102"/>
  <c r="AL21" i="102"/>
  <c r="AH21" i="102"/>
  <c r="AN21" i="102" s="1"/>
  <c r="AG21" i="102"/>
  <c r="G21" i="102"/>
  <c r="BI21" i="102" s="1"/>
  <c r="BH20" i="102"/>
  <c r="BL20" i="102" s="1"/>
  <c r="BE20" i="102"/>
  <c r="BD20" i="102"/>
  <c r="BC20" i="102"/>
  <c r="BA20" i="102"/>
  <c r="AU20" i="102"/>
  <c r="AS20" i="102"/>
  <c r="AQ20" i="102"/>
  <c r="AO20" i="102"/>
  <c r="AL20" i="102"/>
  <c r="AH20" i="102"/>
  <c r="AG20" i="102"/>
  <c r="G20" i="102"/>
  <c r="BB20" i="102" s="1"/>
  <c r="BJ19" i="102"/>
  <c r="H19" i="102" s="1"/>
  <c r="BF19" i="102" s="1"/>
  <c r="BH19" i="102"/>
  <c r="BE19" i="102"/>
  <c r="BD19" i="102"/>
  <c r="BC19" i="102"/>
  <c r="AU19" i="102"/>
  <c r="AS19" i="102"/>
  <c r="AQ19" i="102"/>
  <c r="AO19" i="102"/>
  <c r="AL19" i="102"/>
  <c r="AH19" i="102"/>
  <c r="AN19" i="102" s="1"/>
  <c r="AG19" i="102"/>
  <c r="B19" i="102"/>
  <c r="BH18" i="102"/>
  <c r="BE18" i="102"/>
  <c r="BD18" i="102"/>
  <c r="BC18" i="102"/>
  <c r="AU18" i="102"/>
  <c r="AS18" i="102"/>
  <c r="AQ18" i="102"/>
  <c r="AO18" i="102"/>
  <c r="AL18" i="102"/>
  <c r="AH18" i="102"/>
  <c r="AG18" i="102"/>
  <c r="BL17" i="102"/>
  <c r="BK17" i="102"/>
  <c r="I17" i="102" s="1"/>
  <c r="BH17" i="102"/>
  <c r="BE17" i="102"/>
  <c r="BD17" i="102"/>
  <c r="BC17" i="102"/>
  <c r="BA17" i="102"/>
  <c r="AY17" i="102"/>
  <c r="AU17" i="102"/>
  <c r="AS17" i="102"/>
  <c r="AQ17" i="102"/>
  <c r="AO17" i="102"/>
  <c r="AL17" i="102"/>
  <c r="AH17" i="102"/>
  <c r="AG17" i="102"/>
  <c r="G17" i="102"/>
  <c r="BI17" i="102" s="1"/>
  <c r="AZ17" i="102" s="1"/>
  <c r="BH16" i="102"/>
  <c r="BL16" i="102" s="1"/>
  <c r="BE16" i="102"/>
  <c r="BD16" i="102"/>
  <c r="BC16" i="102"/>
  <c r="BA16" i="102"/>
  <c r="AU16" i="102"/>
  <c r="AS16" i="102"/>
  <c r="AQ16" i="102"/>
  <c r="AO16" i="102"/>
  <c r="AL16" i="102"/>
  <c r="AH16" i="102"/>
  <c r="AN16" i="102" s="1"/>
  <c r="AG16" i="102"/>
  <c r="G16" i="102"/>
  <c r="BB16" i="102" s="1"/>
  <c r="BJ15" i="102"/>
  <c r="H15" i="102" s="1"/>
  <c r="BF15" i="102" s="1"/>
  <c r="BH15" i="102"/>
  <c r="BE15" i="102"/>
  <c r="BD15" i="102"/>
  <c r="BC15" i="102"/>
  <c r="AU15" i="102"/>
  <c r="AS15" i="102"/>
  <c r="AQ15" i="102"/>
  <c r="AO15" i="102"/>
  <c r="AL15" i="102"/>
  <c r="AH15" i="102"/>
  <c r="AN15" i="102" s="1"/>
  <c r="AG15" i="102"/>
  <c r="B15" i="102"/>
  <c r="BJ14" i="102"/>
  <c r="H14" i="102" s="1"/>
  <c r="BF14" i="102" s="1"/>
  <c r="BH14" i="102"/>
  <c r="BE14" i="102"/>
  <c r="BD14" i="102"/>
  <c r="BC14" i="102"/>
  <c r="AU14" i="102"/>
  <c r="AS14" i="102"/>
  <c r="AQ14" i="102"/>
  <c r="AO14" i="102"/>
  <c r="AL14" i="102"/>
  <c r="AH14" i="102"/>
  <c r="AN14" i="102" s="1"/>
  <c r="AG14" i="102"/>
  <c r="B14" i="102"/>
  <c r="BL13" i="102"/>
  <c r="BH13" i="102"/>
  <c r="BE13" i="102"/>
  <c r="BD13" i="102"/>
  <c r="BC13" i="102"/>
  <c r="BA13" i="102"/>
  <c r="AY13" i="102"/>
  <c r="AX13" i="102"/>
  <c r="AU13" i="102"/>
  <c r="AS13" i="102"/>
  <c r="AQ13" i="102"/>
  <c r="AL13" i="102"/>
  <c r="AH13" i="102"/>
  <c r="AN13" i="102" s="1"/>
  <c r="AG13" i="102"/>
  <c r="BK13" i="102" s="1"/>
  <c r="I13" i="102" s="1"/>
  <c r="G13" i="102"/>
  <c r="BH12" i="102"/>
  <c r="BL12" i="102" s="1"/>
  <c r="BE12" i="102"/>
  <c r="BD12" i="102"/>
  <c r="BC12" i="102"/>
  <c r="BA12" i="102"/>
  <c r="AU12" i="102"/>
  <c r="AS12" i="102"/>
  <c r="AQ12" i="102"/>
  <c r="AL12" i="102"/>
  <c r="AH12" i="102"/>
  <c r="AG12" i="102"/>
  <c r="G12" i="102"/>
  <c r="BB12" i="102" s="1"/>
  <c r="BH11" i="102"/>
  <c r="BE11" i="102"/>
  <c r="BD11" i="102"/>
  <c r="BC11" i="102"/>
  <c r="AU11" i="102"/>
  <c r="AS11" i="102"/>
  <c r="AQ11" i="102"/>
  <c r="AL11" i="102"/>
  <c r="AH11" i="102"/>
  <c r="AN11" i="102" s="1"/>
  <c r="AG11" i="102"/>
  <c r="BH10" i="102"/>
  <c r="BE10" i="102"/>
  <c r="BD10" i="102"/>
  <c r="BC10" i="102"/>
  <c r="AU10" i="102"/>
  <c r="AS10" i="102"/>
  <c r="AQ10" i="102"/>
  <c r="AL10" i="102"/>
  <c r="AH10" i="102"/>
  <c r="AG10" i="102"/>
  <c r="BL9" i="102"/>
  <c r="BH9" i="102"/>
  <c r="BE9" i="102"/>
  <c r="BD9" i="102"/>
  <c r="BC9" i="102"/>
  <c r="BA9" i="102"/>
  <c r="AY9" i="102"/>
  <c r="AX9" i="102"/>
  <c r="AU9" i="102"/>
  <c r="AS9" i="102"/>
  <c r="AQ9" i="102"/>
  <c r="AL9" i="102"/>
  <c r="AH9" i="102"/>
  <c r="AG9" i="102"/>
  <c r="BK9" i="102" s="1"/>
  <c r="G9" i="102"/>
  <c r="B9" i="102"/>
  <c r="BJ8" i="102"/>
  <c r="H8" i="102" s="1"/>
  <c r="BF8" i="102" s="1"/>
  <c r="BH8" i="102"/>
  <c r="BL8" i="102" s="1"/>
  <c r="BE8" i="102"/>
  <c r="BD8" i="102"/>
  <c r="BC8" i="102"/>
  <c r="BA8" i="102"/>
  <c r="AU8" i="102"/>
  <c r="AS8" i="102"/>
  <c r="AQ8" i="102"/>
  <c r="AL8" i="102"/>
  <c r="AJ8" i="102"/>
  <c r="AH8" i="102"/>
  <c r="AN8" i="102" s="1"/>
  <c r="AG8" i="102"/>
  <c r="G8" i="102"/>
  <c r="BB8" i="102" s="1"/>
  <c r="B8" i="102"/>
  <c r="AV6" i="102"/>
  <c r="AN12" i="102" l="1"/>
  <c r="AN25" i="102"/>
  <c r="AN29" i="102"/>
  <c r="AN30" i="102"/>
  <c r="AN17" i="102"/>
  <c r="AI12" i="102"/>
  <c r="C12" i="102" s="1"/>
  <c r="AU41" i="102"/>
  <c r="Q5" i="102" s="1"/>
  <c r="AN24" i="102"/>
  <c r="AI9" i="102"/>
  <c r="C9" i="102" s="1"/>
  <c r="AV43" i="102"/>
  <c r="AV44" i="102" s="1"/>
  <c r="AI33" i="102" s="1"/>
  <c r="C33" i="102" s="1"/>
  <c r="AN32" i="102"/>
  <c r="AN33" i="102"/>
  <c r="AI13" i="102"/>
  <c r="C13" i="102" s="1"/>
  <c r="BC4" i="102"/>
  <c r="AN22" i="102"/>
  <c r="AS41" i="102"/>
  <c r="AN20" i="102"/>
  <c r="AN34" i="102"/>
  <c r="BI13" i="102"/>
  <c r="AZ13" i="102" s="1"/>
  <c r="AO13" i="102"/>
  <c r="BM37" i="102"/>
  <c r="I9" i="102"/>
  <c r="AO9" i="102"/>
  <c r="AN10" i="102"/>
  <c r="AN18" i="102"/>
  <c r="BI9" i="102"/>
  <c r="BN9" i="102" s="1"/>
  <c r="BE4" i="102"/>
  <c r="AN9" i="102"/>
  <c r="AN31" i="102"/>
  <c r="BJ21" i="102"/>
  <c r="H21" i="102" s="1"/>
  <c r="BF21" i="102" s="1"/>
  <c r="AK21" i="102"/>
  <c r="BM21" i="102"/>
  <c r="BN21" i="102"/>
  <c r="BJ24" i="102"/>
  <c r="H24" i="102" s="1"/>
  <c r="BF24" i="102" s="1"/>
  <c r="AK24" i="102"/>
  <c r="BM24" i="102"/>
  <c r="BN24" i="102"/>
  <c r="BJ27" i="102"/>
  <c r="H27" i="102" s="1"/>
  <c r="BF27" i="102" s="1"/>
  <c r="AK27" i="102"/>
  <c r="BM27" i="102"/>
  <c r="BN27" i="102"/>
  <c r="B10" i="102"/>
  <c r="BJ13" i="102"/>
  <c r="H13" i="102" s="1"/>
  <c r="BF13" i="102" s="1"/>
  <c r="AK13" i="102"/>
  <c r="BM13" i="102"/>
  <c r="BN13" i="102"/>
  <c r="AI17" i="102"/>
  <c r="C17" i="102" s="1"/>
  <c r="AI20" i="102"/>
  <c r="C20" i="102" s="1"/>
  <c r="BJ30" i="102"/>
  <c r="H30" i="102" s="1"/>
  <c r="BF30" i="102" s="1"/>
  <c r="AK30" i="102"/>
  <c r="BM30" i="102"/>
  <c r="BN30" i="102"/>
  <c r="AK9" i="102"/>
  <c r="AI22" i="102"/>
  <c r="C22" i="102" s="1"/>
  <c r="BJ34" i="102"/>
  <c r="H34" i="102" s="1"/>
  <c r="BF34" i="102" s="1"/>
  <c r="AK34" i="102"/>
  <c r="BM34" i="102"/>
  <c r="BN34" i="102"/>
  <c r="AQ41" i="102"/>
  <c r="AI21" i="102"/>
  <c r="C21" i="102" s="1"/>
  <c r="G23" i="102"/>
  <c r="BL23" i="102"/>
  <c r="AI25" i="102"/>
  <c r="C25" i="102" s="1"/>
  <c r="AI24" i="102"/>
  <c r="C24" i="102" s="1"/>
  <c r="G26" i="102"/>
  <c r="BL26" i="102"/>
  <c r="AI28" i="102"/>
  <c r="C28" i="102" s="1"/>
  <c r="G29" i="102"/>
  <c r="BL29" i="102"/>
  <c r="AI30" i="102"/>
  <c r="C30" i="102" s="1"/>
  <c r="AI10" i="102"/>
  <c r="C10" i="102" s="1"/>
  <c r="AI11" i="102"/>
  <c r="C11" i="102" s="1"/>
  <c r="AR44" i="102"/>
  <c r="AI16" i="102" s="1"/>
  <c r="C16" i="102" s="1"/>
  <c r="BJ17" i="102"/>
  <c r="H17" i="102" s="1"/>
  <c r="BF17" i="102" s="1"/>
  <c r="AK17" i="102"/>
  <c r="BM17" i="102"/>
  <c r="BN17" i="102"/>
  <c r="AZ21" i="102"/>
  <c r="BD4" i="102"/>
  <c r="AZ24" i="102"/>
  <c r="BB9" i="102"/>
  <c r="BB13" i="102"/>
  <c r="BB17" i="102"/>
  <c r="BB21" i="102"/>
  <c r="BB24" i="102"/>
  <c r="BB27" i="102"/>
  <c r="BB30" i="102"/>
  <c r="BB34" i="102"/>
  <c r="BL10" i="102"/>
  <c r="BL14" i="102"/>
  <c r="BL18" i="102"/>
  <c r="BL31" i="102"/>
  <c r="BL35" i="102"/>
  <c r="BL39" i="102"/>
  <c r="BM35" i="102"/>
  <c r="BM39" i="102"/>
  <c r="G10" i="102"/>
  <c r="G14" i="102"/>
  <c r="G18" i="102"/>
  <c r="AW22" i="102"/>
  <c r="BI22" i="102"/>
  <c r="AW25" i="102"/>
  <c r="BI25" i="102"/>
  <c r="AW28" i="102"/>
  <c r="BI28" i="102"/>
  <c r="BM28" i="102" s="1"/>
  <c r="G31" i="102"/>
  <c r="AW8" i="102"/>
  <c r="BI8" i="102"/>
  <c r="AZ8" i="102" s="1"/>
  <c r="B11" i="102"/>
  <c r="BL11" i="102"/>
  <c r="AW12" i="102"/>
  <c r="BI12" i="102"/>
  <c r="BL15" i="102"/>
  <c r="AW16" i="102"/>
  <c r="BI16" i="102"/>
  <c r="BL19" i="102"/>
  <c r="AW20" i="102"/>
  <c r="BI20" i="102"/>
  <c r="BL32" i="102"/>
  <c r="AW33" i="102"/>
  <c r="BI33" i="102"/>
  <c r="AZ33" i="102" s="1"/>
  <c r="BL36" i="102"/>
  <c r="AX8" i="102"/>
  <c r="AX12" i="102"/>
  <c r="AY22" i="102"/>
  <c r="BK22" i="102"/>
  <c r="I22" i="102" s="1"/>
  <c r="AY25" i="102"/>
  <c r="BK25" i="102"/>
  <c r="I25" i="102" s="1"/>
  <c r="AY28" i="102"/>
  <c r="BK28" i="102"/>
  <c r="I28" i="102" s="1"/>
  <c r="AX33" i="102"/>
  <c r="BM36" i="102"/>
  <c r="AY8" i="102"/>
  <c r="BK8" i="102"/>
  <c r="AJ9" i="102"/>
  <c r="G11" i="102"/>
  <c r="AY12" i="102"/>
  <c r="BK12" i="102"/>
  <c r="G15" i="102"/>
  <c r="AY16" i="102"/>
  <c r="BK16" i="102"/>
  <c r="I16" i="102" s="1"/>
  <c r="G19" i="102"/>
  <c r="AY20" i="102"/>
  <c r="BK20" i="102"/>
  <c r="I20" i="102" s="1"/>
  <c r="AZ22" i="102"/>
  <c r="BL22" i="102"/>
  <c r="BL25" i="102"/>
  <c r="BL28" i="102"/>
  <c r="G32" i="102"/>
  <c r="AY33" i="102"/>
  <c r="BK33" i="102"/>
  <c r="I33" i="102" s="1"/>
  <c r="AW9" i="102"/>
  <c r="B12" i="102"/>
  <c r="AW13" i="102"/>
  <c r="AW17" i="102"/>
  <c r="AW21" i="102"/>
  <c r="BA22" i="102"/>
  <c r="AW24" i="102"/>
  <c r="BA25" i="102"/>
  <c r="AW27" i="102"/>
  <c r="BA28" i="102"/>
  <c r="AW30" i="102"/>
  <c r="AW34" i="102"/>
  <c r="AN41" i="102" l="1"/>
  <c r="AN6" i="102"/>
  <c r="BJ9" i="102"/>
  <c r="H9" i="102" s="1"/>
  <c r="AZ9" i="102"/>
  <c r="BM9" i="102"/>
  <c r="BN16" i="102"/>
  <c r="BM16" i="102"/>
  <c r="BJ16" i="102"/>
  <c r="H16" i="102" s="1"/>
  <c r="BF16" i="102" s="1"/>
  <c r="AK16" i="102"/>
  <c r="BN25" i="102"/>
  <c r="BJ25" i="102"/>
  <c r="H25" i="102" s="1"/>
  <c r="BF25" i="102" s="1"/>
  <c r="AK25" i="102"/>
  <c r="BN28" i="102"/>
  <c r="BJ28" i="102"/>
  <c r="H28" i="102" s="1"/>
  <c r="BF28" i="102" s="1"/>
  <c r="AK28" i="102"/>
  <c r="AM9" i="102"/>
  <c r="AT9" i="102"/>
  <c r="AR9" i="102"/>
  <c r="AV9" i="102" s="1"/>
  <c r="AM24" i="102"/>
  <c r="AX24" i="102"/>
  <c r="AT24" i="102"/>
  <c r="AR24" i="102"/>
  <c r="AV24" i="102" s="1"/>
  <c r="AZ16" i="102"/>
  <c r="BB15" i="102"/>
  <c r="BA15" i="102"/>
  <c r="BK15" i="102"/>
  <c r="I15" i="102" s="1"/>
  <c r="AY15" i="102"/>
  <c r="AX15" i="102"/>
  <c r="BI15" i="102"/>
  <c r="AZ15" i="102" s="1"/>
  <c r="AW15" i="102"/>
  <c r="BJ33" i="102"/>
  <c r="H33" i="102" s="1"/>
  <c r="BF33" i="102" s="1"/>
  <c r="AK33" i="102"/>
  <c r="BN22" i="102"/>
  <c r="BJ22" i="102"/>
  <c r="H22" i="102" s="1"/>
  <c r="BF22" i="102" s="1"/>
  <c r="AK22" i="102"/>
  <c r="AM27" i="102"/>
  <c r="AX27" i="102"/>
  <c r="AT27" i="102"/>
  <c r="AR27" i="102"/>
  <c r="AV27" i="102" s="1"/>
  <c r="AJ10" i="102"/>
  <c r="AJ11" i="102" s="1"/>
  <c r="AJ12" i="102" s="1"/>
  <c r="AJ13" i="102" s="1"/>
  <c r="AJ14" i="102" s="1"/>
  <c r="BB10" i="102"/>
  <c r="BA10" i="102"/>
  <c r="BK10" i="102"/>
  <c r="AY10" i="102"/>
  <c r="AX10" i="102"/>
  <c r="AW10" i="102"/>
  <c r="BI10" i="102"/>
  <c r="AZ10" i="102" s="1"/>
  <c r="B13" i="102"/>
  <c r="AP13" i="102" s="1"/>
  <c r="BG13" i="102" s="1"/>
  <c r="BN20" i="102"/>
  <c r="BM20" i="102"/>
  <c r="BJ20" i="102"/>
  <c r="H20" i="102" s="1"/>
  <c r="BF20" i="102" s="1"/>
  <c r="AK20" i="102"/>
  <c r="BI23" i="102"/>
  <c r="BB23" i="102"/>
  <c r="BA23" i="102"/>
  <c r="AW23" i="102"/>
  <c r="BK23" i="102"/>
  <c r="I23" i="102" s="1"/>
  <c r="AY23" i="102"/>
  <c r="BB19" i="102"/>
  <c r="BA19" i="102"/>
  <c r="BK19" i="102"/>
  <c r="I19" i="102" s="1"/>
  <c r="AY19" i="102"/>
  <c r="AX19" i="102"/>
  <c r="BI19" i="102"/>
  <c r="AZ19" i="102" s="1"/>
  <c r="AW19" i="102"/>
  <c r="BB31" i="102"/>
  <c r="BA31" i="102"/>
  <c r="BK31" i="102"/>
  <c r="I31" i="102" s="1"/>
  <c r="AY31" i="102"/>
  <c r="BI31" i="102"/>
  <c r="AZ31" i="102" s="1"/>
  <c r="AW31" i="102"/>
  <c r="BB32" i="102"/>
  <c r="BA32" i="102"/>
  <c r="BK32" i="102"/>
  <c r="I32" i="102" s="1"/>
  <c r="AY32" i="102"/>
  <c r="BI32" i="102"/>
  <c r="AW32" i="102"/>
  <c r="AW26" i="102"/>
  <c r="BB26" i="102"/>
  <c r="BA26" i="102"/>
  <c r="BK26" i="102"/>
  <c r="I26" i="102" s="1"/>
  <c r="AY26" i="102"/>
  <c r="BI26" i="102"/>
  <c r="AO12" i="102"/>
  <c r="I12" i="102"/>
  <c r="BN12" i="102"/>
  <c r="BM12" i="102"/>
  <c r="BJ12" i="102"/>
  <c r="H12" i="102" s="1"/>
  <c r="BF12" i="102" s="1"/>
  <c r="AK12" i="102"/>
  <c r="AM17" i="102"/>
  <c r="AX17" i="102"/>
  <c r="AT17" i="102"/>
  <c r="AR17" i="102"/>
  <c r="AV17" i="102" s="1"/>
  <c r="AW29" i="102"/>
  <c r="BB29" i="102"/>
  <c r="BI29" i="102"/>
  <c r="AZ29" i="102" s="1"/>
  <c r="BA29" i="102"/>
  <c r="BK29" i="102"/>
  <c r="I29" i="102" s="1"/>
  <c r="AY29" i="102"/>
  <c r="AM13" i="102"/>
  <c r="AT13" i="102"/>
  <c r="AR13" i="102"/>
  <c r="AV13" i="102" s="1"/>
  <c r="AZ25" i="102"/>
  <c r="BB18" i="102"/>
  <c r="BA18" i="102"/>
  <c r="BK18" i="102"/>
  <c r="I18" i="102" s="1"/>
  <c r="AY18" i="102"/>
  <c r="BI18" i="102"/>
  <c r="AZ18" i="102" s="1"/>
  <c r="AW18" i="102"/>
  <c r="BM22" i="102"/>
  <c r="AM30" i="102"/>
  <c r="AX30" i="102"/>
  <c r="AT30" i="102"/>
  <c r="AR30" i="102"/>
  <c r="AV30" i="102" s="1"/>
  <c r="AZ20" i="102"/>
  <c r="AZ28" i="102"/>
  <c r="AZ12" i="102"/>
  <c r="BB11" i="102"/>
  <c r="BA11" i="102"/>
  <c r="BI11" i="102"/>
  <c r="BK11" i="102"/>
  <c r="AY11" i="102"/>
  <c r="AX11" i="102"/>
  <c r="AW11" i="102"/>
  <c r="AX14" i="102"/>
  <c r="BB14" i="102"/>
  <c r="BA14" i="102"/>
  <c r="BK14" i="102"/>
  <c r="I14" i="102" s="1"/>
  <c r="AY14" i="102"/>
  <c r="AW14" i="102"/>
  <c r="BI14" i="102"/>
  <c r="AI29" i="102"/>
  <c r="C29" i="102" s="1"/>
  <c r="AI26" i="102"/>
  <c r="C26" i="102" s="1"/>
  <c r="AI23" i="102"/>
  <c r="C23" i="102" s="1"/>
  <c r="AI31" i="102"/>
  <c r="C31" i="102" s="1"/>
  <c r="AI18" i="102"/>
  <c r="C18" i="102" s="1"/>
  <c r="AI32" i="102"/>
  <c r="C32" i="102" s="1"/>
  <c r="AI27" i="102"/>
  <c r="C27" i="102" s="1"/>
  <c r="AM21" i="102"/>
  <c r="AX21" i="102"/>
  <c r="AT21" i="102"/>
  <c r="AR21" i="102"/>
  <c r="AV21" i="102" s="1"/>
  <c r="I8" i="102"/>
  <c r="AO8" i="102"/>
  <c r="BN8" i="102"/>
  <c r="AK8" i="102"/>
  <c r="BM8" i="102"/>
  <c r="AI34" i="102"/>
  <c r="C34" i="102" s="1"/>
  <c r="AM34" i="102"/>
  <c r="AX34" i="102"/>
  <c r="AT34" i="102"/>
  <c r="AR34" i="102"/>
  <c r="AV34" i="102" s="1"/>
  <c r="BM25" i="102"/>
  <c r="BB4" i="102" l="1"/>
  <c r="AY4" i="102"/>
  <c r="BF9" i="102"/>
  <c r="AP9" i="102"/>
  <c r="BG9" i="102" s="1"/>
  <c r="AM20" i="102"/>
  <c r="AR20" i="102"/>
  <c r="AV20" i="102" s="1"/>
  <c r="AT20" i="102"/>
  <c r="AX20" i="102"/>
  <c r="BJ32" i="102"/>
  <c r="H32" i="102" s="1"/>
  <c r="BF32" i="102" s="1"/>
  <c r="AK32" i="102"/>
  <c r="BN32" i="102"/>
  <c r="BM32" i="102"/>
  <c r="AR33" i="102"/>
  <c r="AV33" i="102" s="1"/>
  <c r="AM33" i="102"/>
  <c r="AT33" i="102"/>
  <c r="BJ29" i="102"/>
  <c r="H29" i="102" s="1"/>
  <c r="BF29" i="102" s="1"/>
  <c r="AK29" i="102"/>
  <c r="BN29" i="102"/>
  <c r="BM29" i="102"/>
  <c r="I10" i="102"/>
  <c r="AO10" i="102"/>
  <c r="AK14" i="102"/>
  <c r="BM14" i="102"/>
  <c r="BN14" i="102"/>
  <c r="AK26" i="102"/>
  <c r="BJ26" i="102"/>
  <c r="H26" i="102" s="1"/>
  <c r="BF26" i="102" s="1"/>
  <c r="BM26" i="102"/>
  <c r="BN26" i="102"/>
  <c r="B17" i="102"/>
  <c r="AP17" i="102" s="1"/>
  <c r="BG17" i="102" s="1"/>
  <c r="AT8" i="102"/>
  <c r="AM8" i="102"/>
  <c r="AR8" i="102"/>
  <c r="AK23" i="102"/>
  <c r="BJ23" i="102"/>
  <c r="H23" i="102" s="1"/>
  <c r="BF23" i="102" s="1"/>
  <c r="BN23" i="102"/>
  <c r="BM23" i="102"/>
  <c r="AM22" i="102"/>
  <c r="AT22" i="102"/>
  <c r="AR22" i="102"/>
  <c r="AV22" i="102" s="1"/>
  <c r="AX22" i="102"/>
  <c r="AM28" i="102"/>
  <c r="AT28" i="102"/>
  <c r="AR28" i="102"/>
  <c r="AV28" i="102" s="1"/>
  <c r="AX28" i="102"/>
  <c r="AZ32" i="102"/>
  <c r="AK15" i="102"/>
  <c r="BM15" i="102"/>
  <c r="BN15" i="102"/>
  <c r="AP12" i="102"/>
  <c r="BG12" i="102" s="1"/>
  <c r="BA4" i="102"/>
  <c r="AJ15" i="102"/>
  <c r="AZ14" i="102"/>
  <c r="AZ26" i="102"/>
  <c r="B16" i="102"/>
  <c r="AZ23" i="102"/>
  <c r="AM25" i="102"/>
  <c r="AT25" i="102"/>
  <c r="AR25" i="102"/>
  <c r="AV25" i="102" s="1"/>
  <c r="AX25" i="102"/>
  <c r="I11" i="102"/>
  <c r="AO11" i="102"/>
  <c r="AK11" i="102"/>
  <c r="BJ11" i="102"/>
  <c r="H11" i="102" s="1"/>
  <c r="BM11" i="102"/>
  <c r="BN11" i="102"/>
  <c r="AZ11" i="102"/>
  <c r="AM12" i="102"/>
  <c r="AT12" i="102"/>
  <c r="AR12" i="102"/>
  <c r="AV12" i="102" s="1"/>
  <c r="BJ18" i="102"/>
  <c r="H18" i="102" s="1"/>
  <c r="BF18" i="102" s="1"/>
  <c r="AK18" i="102"/>
  <c r="BN18" i="102"/>
  <c r="BM18" i="102"/>
  <c r="AK19" i="102"/>
  <c r="BM19" i="102"/>
  <c r="BN19" i="102"/>
  <c r="BJ10" i="102"/>
  <c r="H10" i="102" s="1"/>
  <c r="AK10" i="102"/>
  <c r="BN10" i="102"/>
  <c r="BM10" i="102"/>
  <c r="BJ31" i="102"/>
  <c r="H31" i="102" s="1"/>
  <c r="BF31" i="102" s="1"/>
  <c r="AK31" i="102"/>
  <c r="BN31" i="102"/>
  <c r="BM31" i="102"/>
  <c r="AM16" i="102"/>
  <c r="AR16" i="102"/>
  <c r="AV16" i="102" s="1"/>
  <c r="AT16" i="102"/>
  <c r="AX16" i="102"/>
  <c r="AT18" i="102" l="1"/>
  <c r="AR18" i="102"/>
  <c r="AV18" i="102" s="1"/>
  <c r="AM18" i="102"/>
  <c r="AX18" i="102"/>
  <c r="AT26" i="102"/>
  <c r="AR26" i="102"/>
  <c r="AV26" i="102" s="1"/>
  <c r="AM26" i="102"/>
  <c r="AX26" i="102"/>
  <c r="BF10" i="102"/>
  <c r="AP10" i="102"/>
  <c r="BG10" i="102" s="1"/>
  <c r="AT23" i="102"/>
  <c r="AR23" i="102"/>
  <c r="AV23" i="102" s="1"/>
  <c r="AM23" i="102"/>
  <c r="AX23" i="102"/>
  <c r="AJ16" i="102"/>
  <c r="AR11" i="102"/>
  <c r="AV11" i="102" s="1"/>
  <c r="AM11" i="102"/>
  <c r="AT11" i="102"/>
  <c r="AV8" i="102"/>
  <c r="AT14" i="102"/>
  <c r="AR14" i="102"/>
  <c r="AV14" i="102" s="1"/>
  <c r="AM14" i="102"/>
  <c r="AP14" i="102" s="1"/>
  <c r="BG14" i="102" s="1"/>
  <c r="AP8" i="102"/>
  <c r="BG8" i="102" s="1"/>
  <c r="AR32" i="102"/>
  <c r="AV32" i="102" s="1"/>
  <c r="AM32" i="102"/>
  <c r="AT32" i="102"/>
  <c r="AX32" i="102"/>
  <c r="AZ4" i="102"/>
  <c r="BF11" i="102"/>
  <c r="AP11" i="102"/>
  <c r="BG11" i="102" s="1"/>
  <c r="AT29" i="102"/>
  <c r="AR29" i="102"/>
  <c r="AV29" i="102" s="1"/>
  <c r="AM29" i="102"/>
  <c r="AX29" i="102"/>
  <c r="AR15" i="102"/>
  <c r="AV15" i="102" s="1"/>
  <c r="AM15" i="102"/>
  <c r="AP15" i="102" s="1"/>
  <c r="BG15" i="102" s="1"/>
  <c r="AT15" i="102"/>
  <c r="AT10" i="102"/>
  <c r="H41" i="102" s="1"/>
  <c r="AR10" i="102"/>
  <c r="AV10" i="102" s="1"/>
  <c r="AM10" i="102"/>
  <c r="AR19" i="102"/>
  <c r="AV19" i="102" s="1"/>
  <c r="AM19" i="102"/>
  <c r="AP19" i="102" s="1"/>
  <c r="BG19" i="102" s="1"/>
  <c r="AT19" i="102"/>
  <c r="AT31" i="102"/>
  <c r="AR31" i="102"/>
  <c r="AV31" i="102" s="1"/>
  <c r="AM31" i="102"/>
  <c r="AX31" i="102"/>
  <c r="AP16" i="102"/>
  <c r="BG16" i="102" s="1"/>
  <c r="B18" i="102"/>
  <c r="B20" i="102"/>
  <c r="AP20" i="102" s="1"/>
  <c r="BG20" i="102" s="1"/>
  <c r="AM41" i="102" l="1"/>
  <c r="AX4" i="102" s="1"/>
  <c r="AR41" i="102"/>
  <c r="AM6" i="102"/>
  <c r="AT41" i="102"/>
  <c r="AW4" i="102"/>
  <c r="AP18" i="102"/>
  <c r="BG18" i="102" s="1"/>
  <c r="B21" i="102"/>
  <c r="AJ17" i="102"/>
  <c r="AV41" i="102"/>
  <c r="AV45" i="102" s="1"/>
  <c r="E41" i="102" s="1"/>
  <c r="F41" i="102" l="1"/>
  <c r="U47" i="102" s="1"/>
  <c r="U49" i="102" s="1"/>
  <c r="AR45" i="102"/>
  <c r="J41" i="102" s="1"/>
  <c r="AJ18" i="102"/>
  <c r="AP21" i="102"/>
  <c r="BG21" i="102" s="1"/>
  <c r="B22" i="102"/>
  <c r="U44" i="102" l="1"/>
  <c r="O40" i="102" s="1"/>
  <c r="U45" i="102"/>
  <c r="Q40" i="102" s="1"/>
  <c r="AR46" i="102"/>
  <c r="B41" i="102" s="1"/>
  <c r="AJ19" i="102"/>
  <c r="AP22" i="102"/>
  <c r="BG22" i="102" s="1"/>
  <c r="B23" i="102"/>
  <c r="AP23" i="102" s="1"/>
  <c r="BG23" i="102" s="1"/>
  <c r="Q6" i="102" l="1"/>
  <c r="F12" i="5"/>
  <c r="C24" i="14" s="1"/>
  <c r="F21" i="9"/>
  <c r="AJ20" i="102"/>
  <c r="B24" i="102"/>
  <c r="AP24" i="102" l="1"/>
  <c r="BG24" i="102" s="1"/>
  <c r="B25" i="102"/>
  <c r="AJ21" i="102"/>
  <c r="AJ22" i="102" l="1"/>
  <c r="AP25" i="102"/>
  <c r="BG25" i="102" s="1"/>
  <c r="B26" i="102"/>
  <c r="AP26" i="102" l="1"/>
  <c r="BG26" i="102" s="1"/>
  <c r="B27" i="102"/>
  <c r="AJ23" i="102"/>
  <c r="AP27" i="102" l="1"/>
  <c r="BG27" i="102" s="1"/>
  <c r="B28" i="102"/>
  <c r="AJ24" i="102"/>
  <c r="AJ25" i="102" s="1"/>
  <c r="AJ26" i="102" s="1"/>
  <c r="AJ27" i="102" s="1"/>
  <c r="AJ28" i="102" s="1"/>
  <c r="AJ29" i="102" s="1"/>
  <c r="AJ30" i="102" s="1"/>
  <c r="AJ31" i="102" s="1"/>
  <c r="AJ32" i="102" s="1"/>
  <c r="AJ33" i="102" s="1"/>
  <c r="AJ34" i="102" s="1"/>
  <c r="AI15" i="102"/>
  <c r="C15" i="102" s="1"/>
  <c r="AP28" i="102" l="1"/>
  <c r="BG28" i="102" s="1"/>
  <c r="B29" i="102"/>
  <c r="AI19" i="102"/>
  <c r="C19" i="102" s="1"/>
  <c r="AI8" i="102"/>
  <c r="C8" i="102" s="1"/>
  <c r="AI14" i="102"/>
  <c r="C14" i="102" l="1"/>
  <c r="AI43" i="102"/>
  <c r="AP29" i="102"/>
  <c r="BG29" i="102" s="1"/>
  <c r="B30" i="102"/>
  <c r="AP30" i="102" l="1"/>
  <c r="BG30" i="102" s="1"/>
  <c r="B31" i="102"/>
  <c r="AP31" i="102" l="1"/>
  <c r="BG31" i="102" s="1"/>
  <c r="B32" i="102"/>
  <c r="AP32" i="102" l="1"/>
  <c r="BG32" i="102" s="1"/>
  <c r="B33" i="102"/>
  <c r="AP33" i="102" l="1"/>
  <c r="BG33" i="102" s="1"/>
  <c r="B34" i="102"/>
  <c r="AP34" i="102" s="1"/>
  <c r="BG34" i="102" s="1"/>
  <c r="U48" i="101" l="1"/>
  <c r="BE43" i="101"/>
  <c r="AT43" i="101"/>
  <c r="AT44" i="101" s="1"/>
  <c r="BN39" i="101"/>
  <c r="BK39" i="101"/>
  <c r="I39" i="101" s="1"/>
  <c r="BJ39" i="101"/>
  <c r="H39" i="101" s="1"/>
  <c r="BF39" i="101" s="1"/>
  <c r="BI39" i="101"/>
  <c r="BM39" i="101" s="1"/>
  <c r="BH39" i="101"/>
  <c r="G39" i="101" s="1"/>
  <c r="BG39" i="101"/>
  <c r="BE39" i="101"/>
  <c r="BD39" i="101"/>
  <c r="BC39" i="101"/>
  <c r="BB39" i="101"/>
  <c r="BA39" i="101"/>
  <c r="AZ39" i="101"/>
  <c r="AY39" i="101"/>
  <c r="AX39" i="101"/>
  <c r="AW39" i="101"/>
  <c r="AU39" i="101"/>
  <c r="AT39" i="101"/>
  <c r="AS39" i="101"/>
  <c r="AR39" i="101"/>
  <c r="AV39" i="101" s="1"/>
  <c r="AQ39" i="101"/>
  <c r="AP39" i="101"/>
  <c r="AO39" i="101"/>
  <c r="AL39" i="101"/>
  <c r="AJ39" i="101"/>
  <c r="AI39" i="101"/>
  <c r="AH39" i="101"/>
  <c r="AN39" i="101" s="1"/>
  <c r="AG39" i="101"/>
  <c r="C39" i="101"/>
  <c r="B39" i="101"/>
  <c r="BN38" i="101"/>
  <c r="BL38" i="101"/>
  <c r="BK38" i="101"/>
  <c r="I38" i="101" s="1"/>
  <c r="BJ38" i="101"/>
  <c r="H38" i="101" s="1"/>
  <c r="BF38" i="101" s="1"/>
  <c r="BI38" i="101"/>
  <c r="AK38" i="101" s="1"/>
  <c r="AM38" i="101" s="1"/>
  <c r="BH38" i="101"/>
  <c r="BG38" i="101"/>
  <c r="BE38" i="101"/>
  <c r="BD38" i="101"/>
  <c r="BC38" i="101"/>
  <c r="BB38" i="101"/>
  <c r="BA38" i="101"/>
  <c r="AZ38" i="101"/>
  <c r="AY38" i="101"/>
  <c r="AX38" i="101"/>
  <c r="AW38" i="101"/>
  <c r="AU38" i="101"/>
  <c r="AT38" i="101"/>
  <c r="AS38" i="101"/>
  <c r="AR38" i="101"/>
  <c r="AV38" i="101" s="1"/>
  <c r="AQ38" i="101"/>
  <c r="AP38" i="101"/>
  <c r="AO38" i="101"/>
  <c r="AL38" i="101"/>
  <c r="AJ38" i="101"/>
  <c r="AI38" i="101"/>
  <c r="AH38" i="101"/>
  <c r="AN38" i="101" s="1"/>
  <c r="AG38" i="101"/>
  <c r="G38" i="101"/>
  <c r="C38" i="101"/>
  <c r="B38" i="101"/>
  <c r="BN37" i="101"/>
  <c r="BL37" i="101"/>
  <c r="BK37" i="101"/>
  <c r="I37" i="101" s="1"/>
  <c r="BJ37" i="101"/>
  <c r="H37" i="101" s="1"/>
  <c r="BF37" i="101" s="1"/>
  <c r="BI37" i="101"/>
  <c r="AK37" i="101" s="1"/>
  <c r="AM37" i="101" s="1"/>
  <c r="BH37" i="101"/>
  <c r="BG37" i="101"/>
  <c r="BE37" i="101"/>
  <c r="BD37" i="101"/>
  <c r="BC37" i="101"/>
  <c r="BB37" i="101"/>
  <c r="BA37" i="101"/>
  <c r="AZ37" i="101"/>
  <c r="AY37" i="101"/>
  <c r="AX37" i="101"/>
  <c r="AW37" i="101"/>
  <c r="AU37" i="101"/>
  <c r="AT37" i="101"/>
  <c r="AS37" i="101"/>
  <c r="AR37" i="101"/>
  <c r="AV37" i="101" s="1"/>
  <c r="AQ37" i="101"/>
  <c r="AP37" i="101"/>
  <c r="AO37" i="101"/>
  <c r="AL37" i="101"/>
  <c r="AJ37" i="101"/>
  <c r="AI37" i="101"/>
  <c r="AH37" i="101"/>
  <c r="AN37" i="101" s="1"/>
  <c r="AG37" i="101"/>
  <c r="G37" i="101"/>
  <c r="C37" i="101"/>
  <c r="B37" i="101"/>
  <c r="BN36" i="101"/>
  <c r="BK36" i="101"/>
  <c r="I36" i="101" s="1"/>
  <c r="BJ36" i="101"/>
  <c r="H36" i="101" s="1"/>
  <c r="BF36" i="101" s="1"/>
  <c r="BI36" i="101"/>
  <c r="AK36" i="101" s="1"/>
  <c r="AM36" i="101" s="1"/>
  <c r="BH36" i="101"/>
  <c r="G36" i="101" s="1"/>
  <c r="BG36" i="101"/>
  <c r="BE36" i="101"/>
  <c r="BD36" i="101"/>
  <c r="BC36" i="101"/>
  <c r="BB36" i="101"/>
  <c r="BA36" i="101"/>
  <c r="AZ36" i="101"/>
  <c r="AY36" i="101"/>
  <c r="AX36" i="101"/>
  <c r="AW36" i="101"/>
  <c r="AU36" i="101"/>
  <c r="AT36" i="101"/>
  <c r="AS36" i="101"/>
  <c r="AR36" i="101"/>
  <c r="AV36" i="101" s="1"/>
  <c r="AQ36" i="101"/>
  <c r="AP36" i="101"/>
  <c r="AO36" i="101"/>
  <c r="AL36" i="101"/>
  <c r="AJ36" i="101"/>
  <c r="AI36" i="101"/>
  <c r="AH36" i="101"/>
  <c r="AN36" i="101" s="1"/>
  <c r="AG36" i="101"/>
  <c r="C36" i="101"/>
  <c r="B36" i="101"/>
  <c r="BN35" i="101"/>
  <c r="BK35" i="101"/>
  <c r="I35" i="101" s="1"/>
  <c r="BJ35" i="101"/>
  <c r="H35" i="101" s="1"/>
  <c r="BF35" i="101" s="1"/>
  <c r="BI35" i="101"/>
  <c r="BM35" i="101" s="1"/>
  <c r="BH35" i="101"/>
  <c r="G35" i="101" s="1"/>
  <c r="BG35" i="101"/>
  <c r="BE35" i="101"/>
  <c r="BD35" i="101"/>
  <c r="BC35" i="101"/>
  <c r="BB35" i="101"/>
  <c r="BA35" i="101"/>
  <c r="AZ35" i="101"/>
  <c r="AY35" i="101"/>
  <c r="AX35" i="101"/>
  <c r="AW35" i="101"/>
  <c r="AU35" i="101"/>
  <c r="AT35" i="101"/>
  <c r="AS35" i="101"/>
  <c r="AR35" i="101"/>
  <c r="AV35" i="101" s="1"/>
  <c r="AQ35" i="101"/>
  <c r="AP35" i="101"/>
  <c r="AO35" i="101"/>
  <c r="AL35" i="101"/>
  <c r="AJ35" i="101"/>
  <c r="AI35" i="101"/>
  <c r="AH35" i="101"/>
  <c r="AN35" i="101" s="1"/>
  <c r="AG35" i="101"/>
  <c r="C35" i="101"/>
  <c r="B35" i="101"/>
  <c r="BN34" i="101"/>
  <c r="BM34" i="101"/>
  <c r="BL34" i="101"/>
  <c r="BH34" i="101"/>
  <c r="BE34" i="101"/>
  <c r="BD34" i="101"/>
  <c r="BC34" i="101"/>
  <c r="BA34" i="101"/>
  <c r="AU34" i="101"/>
  <c r="AS34" i="101"/>
  <c r="AQ34" i="101"/>
  <c r="AO34" i="101"/>
  <c r="AL34" i="101"/>
  <c r="AH34" i="101"/>
  <c r="AN34" i="101" s="1"/>
  <c r="AG34" i="101"/>
  <c r="G34" i="101"/>
  <c r="BK34" i="101" s="1"/>
  <c r="I34" i="101" s="1"/>
  <c r="BN33" i="101"/>
  <c r="BM33" i="101"/>
  <c r="BL33" i="101"/>
  <c r="BK33" i="101"/>
  <c r="BH33" i="101"/>
  <c r="BE33" i="101"/>
  <c r="BD33" i="101"/>
  <c r="BC33" i="101"/>
  <c r="BA33" i="101"/>
  <c r="AY33" i="101"/>
  <c r="AU33" i="101"/>
  <c r="AS33" i="101"/>
  <c r="AQ33" i="101"/>
  <c r="AO33" i="101"/>
  <c r="AL33" i="101"/>
  <c r="AH33" i="101"/>
  <c r="AN33" i="101" s="1"/>
  <c r="AG33" i="101"/>
  <c r="I33" i="101"/>
  <c r="G33" i="101"/>
  <c r="BB33" i="101" s="1"/>
  <c r="BJ32" i="101"/>
  <c r="H32" i="101" s="1"/>
  <c r="BF32" i="101" s="1"/>
  <c r="BH32" i="101"/>
  <c r="BE32" i="101"/>
  <c r="BD32" i="101"/>
  <c r="BC32" i="101"/>
  <c r="AU32" i="101"/>
  <c r="AS32" i="101"/>
  <c r="AQ32" i="101"/>
  <c r="AO32" i="101"/>
  <c r="AL32" i="101"/>
  <c r="AH32" i="101"/>
  <c r="AN32" i="101" s="1"/>
  <c r="AG32" i="101"/>
  <c r="B32" i="101"/>
  <c r="BH31" i="101"/>
  <c r="BE31" i="101"/>
  <c r="BD31" i="101"/>
  <c r="BC31" i="101"/>
  <c r="AU31" i="101"/>
  <c r="AS31" i="101"/>
  <c r="AQ31" i="101"/>
  <c r="AO31" i="101"/>
  <c r="AL31" i="101"/>
  <c r="AH31" i="101"/>
  <c r="AG31" i="101"/>
  <c r="BL30" i="101"/>
  <c r="BH30" i="101"/>
  <c r="BE30" i="101"/>
  <c r="BD30" i="101"/>
  <c r="BC30" i="101"/>
  <c r="BA30" i="101"/>
  <c r="AU30" i="101"/>
  <c r="AS30" i="101"/>
  <c r="AQ30" i="101"/>
  <c r="AO30" i="101"/>
  <c r="AL30" i="101"/>
  <c r="AH30" i="101"/>
  <c r="AN30" i="101" s="1"/>
  <c r="AG30" i="101"/>
  <c r="G30" i="101"/>
  <c r="BK30" i="101" s="1"/>
  <c r="I30" i="101" s="1"/>
  <c r="BU29" i="101"/>
  <c r="BT29" i="101"/>
  <c r="BS29" i="101"/>
  <c r="BR29" i="101"/>
  <c r="BQ29" i="101"/>
  <c r="BH29" i="101"/>
  <c r="BE29" i="101"/>
  <c r="BD29" i="101"/>
  <c r="BC29" i="101"/>
  <c r="AU29" i="101"/>
  <c r="AS29" i="101"/>
  <c r="AQ29" i="101"/>
  <c r="AO29" i="101"/>
  <c r="AL29" i="101"/>
  <c r="AH29" i="101"/>
  <c r="AG29" i="101"/>
  <c r="BU28" i="101"/>
  <c r="BT28" i="101"/>
  <c r="BS28" i="101"/>
  <c r="BR28" i="101"/>
  <c r="BQ28" i="101"/>
  <c r="BH28" i="101"/>
  <c r="BE28" i="101"/>
  <c r="BD28" i="101"/>
  <c r="BC28" i="101"/>
  <c r="AU28" i="101"/>
  <c r="AS28" i="101"/>
  <c r="AQ28" i="101"/>
  <c r="AO28" i="101"/>
  <c r="AL28" i="101"/>
  <c r="AH28" i="101"/>
  <c r="AG28" i="101"/>
  <c r="BU27" i="101"/>
  <c r="BT27" i="101"/>
  <c r="BS27" i="101"/>
  <c r="BR27" i="101"/>
  <c r="BQ27" i="101"/>
  <c r="BL27" i="101"/>
  <c r="BJ27" i="101"/>
  <c r="H27" i="101" s="1"/>
  <c r="BF27" i="101" s="1"/>
  <c r="BH27" i="101"/>
  <c r="BE27" i="101"/>
  <c r="BD27" i="101"/>
  <c r="BC27" i="101"/>
  <c r="BA27" i="101"/>
  <c r="AU27" i="101"/>
  <c r="AS27" i="101"/>
  <c r="AQ27" i="101"/>
  <c r="AO27" i="101"/>
  <c r="AL27" i="101"/>
  <c r="AH27" i="101"/>
  <c r="AN27" i="101" s="1"/>
  <c r="AG27" i="101"/>
  <c r="G27" i="101"/>
  <c r="BK27" i="101" s="1"/>
  <c r="I27" i="101" s="1"/>
  <c r="B27" i="101"/>
  <c r="BU26" i="101"/>
  <c r="BT26" i="101"/>
  <c r="BS26" i="101"/>
  <c r="BR26" i="101"/>
  <c r="BQ26" i="101"/>
  <c r="BH26" i="101"/>
  <c r="BE26" i="101"/>
  <c r="BD26" i="101"/>
  <c r="BC26" i="101"/>
  <c r="AU26" i="101"/>
  <c r="AS26" i="101"/>
  <c r="AQ26" i="101"/>
  <c r="AO26" i="101"/>
  <c r="AL26" i="101"/>
  <c r="AH26" i="101"/>
  <c r="AG26" i="101"/>
  <c r="BU25" i="101"/>
  <c r="BT25" i="101"/>
  <c r="BS25" i="101"/>
  <c r="BR25" i="101"/>
  <c r="BQ25" i="101"/>
  <c r="BH25" i="101"/>
  <c r="BE25" i="101"/>
  <c r="BD25" i="101"/>
  <c r="BC25" i="101"/>
  <c r="AU25" i="101"/>
  <c r="AS25" i="101"/>
  <c r="AQ25" i="101"/>
  <c r="AO25" i="101"/>
  <c r="AL25" i="101"/>
  <c r="AH25" i="101"/>
  <c r="AN25" i="101" s="1"/>
  <c r="AG25" i="101"/>
  <c r="BU24" i="101"/>
  <c r="BT24" i="101"/>
  <c r="BS24" i="101"/>
  <c r="BR24" i="101"/>
  <c r="BQ24" i="101"/>
  <c r="BL24" i="101"/>
  <c r="BH24" i="101"/>
  <c r="BE24" i="101"/>
  <c r="BD24" i="101"/>
  <c r="BC24" i="101"/>
  <c r="BA24" i="101"/>
  <c r="AU24" i="101"/>
  <c r="AS24" i="101"/>
  <c r="AQ24" i="101"/>
  <c r="AO24" i="101"/>
  <c r="AL24" i="101"/>
  <c r="AH24" i="101"/>
  <c r="AG24" i="101"/>
  <c r="G24" i="101"/>
  <c r="BK24" i="101" s="1"/>
  <c r="I24" i="101" s="1"/>
  <c r="BU23" i="101"/>
  <c r="BT23" i="101"/>
  <c r="BS23" i="101"/>
  <c r="BR23" i="101"/>
  <c r="BQ23" i="101"/>
  <c r="BH23" i="101"/>
  <c r="BE23" i="101"/>
  <c r="BD23" i="101"/>
  <c r="BC23" i="101"/>
  <c r="AU23" i="101"/>
  <c r="AS23" i="101"/>
  <c r="AQ23" i="101"/>
  <c r="AO23" i="101"/>
  <c r="AL23" i="101"/>
  <c r="AH23" i="101"/>
  <c r="AG23" i="101"/>
  <c r="BU22" i="101"/>
  <c r="BT22" i="101"/>
  <c r="BS22" i="101"/>
  <c r="BR22" i="101"/>
  <c r="BQ22" i="101"/>
  <c r="BJ22" i="101"/>
  <c r="H22" i="101" s="1"/>
  <c r="BF22" i="101" s="1"/>
  <c r="BH22" i="101"/>
  <c r="BE22" i="101"/>
  <c r="BD22" i="101"/>
  <c r="BC22" i="101"/>
  <c r="AU22" i="101"/>
  <c r="AS22" i="101"/>
  <c r="AQ22" i="101"/>
  <c r="AO22" i="101"/>
  <c r="AL22" i="101"/>
  <c r="AH22" i="101"/>
  <c r="AN22" i="101" s="1"/>
  <c r="AG22" i="101"/>
  <c r="B22" i="101"/>
  <c r="BU21" i="101"/>
  <c r="BT21" i="101"/>
  <c r="BS21" i="101"/>
  <c r="BR21" i="101"/>
  <c r="BQ21" i="101"/>
  <c r="BL21" i="101"/>
  <c r="BH21" i="101"/>
  <c r="BE21" i="101"/>
  <c r="BD21" i="101"/>
  <c r="BC21" i="101"/>
  <c r="BA21" i="101"/>
  <c r="AU21" i="101"/>
  <c r="AS21" i="101"/>
  <c r="AQ21" i="101"/>
  <c r="AO21" i="101"/>
  <c r="AL21" i="101"/>
  <c r="AH21" i="101"/>
  <c r="AG21" i="101"/>
  <c r="G21" i="101"/>
  <c r="BK21" i="101" s="1"/>
  <c r="I21" i="101" s="1"/>
  <c r="BL20" i="101"/>
  <c r="BK20" i="101"/>
  <c r="I20" i="101" s="1"/>
  <c r="BH20" i="101"/>
  <c r="BE20" i="101"/>
  <c r="BD20" i="101"/>
  <c r="BC20" i="101"/>
  <c r="BA20" i="101"/>
  <c r="AY20" i="101"/>
  <c r="AU20" i="101"/>
  <c r="AS20" i="101"/>
  <c r="AQ20" i="101"/>
  <c r="AO20" i="101"/>
  <c r="AL20" i="101"/>
  <c r="AH20" i="101"/>
  <c r="AN20" i="101" s="1"/>
  <c r="AG20" i="101"/>
  <c r="G20" i="101"/>
  <c r="BB20" i="101" s="1"/>
  <c r="BJ19" i="101"/>
  <c r="H19" i="101" s="1"/>
  <c r="BF19" i="101" s="1"/>
  <c r="BH19" i="101"/>
  <c r="BE19" i="101"/>
  <c r="BD19" i="101"/>
  <c r="BC19" i="101"/>
  <c r="AU19" i="101"/>
  <c r="AS19" i="101"/>
  <c r="AQ19" i="101"/>
  <c r="AO19" i="101"/>
  <c r="AL19" i="101"/>
  <c r="AH19" i="101"/>
  <c r="AN19" i="101" s="1"/>
  <c r="AG19" i="101"/>
  <c r="B19" i="101"/>
  <c r="BH18" i="101"/>
  <c r="BE18" i="101"/>
  <c r="BD18" i="101"/>
  <c r="BC18" i="101"/>
  <c r="AU18" i="101"/>
  <c r="AS18" i="101"/>
  <c r="AQ18" i="101"/>
  <c r="AO18" i="101"/>
  <c r="AL18" i="101"/>
  <c r="AH18" i="101"/>
  <c r="AG18" i="101"/>
  <c r="BL17" i="101"/>
  <c r="BH17" i="101"/>
  <c r="BE17" i="101"/>
  <c r="BD17" i="101"/>
  <c r="BC17" i="101"/>
  <c r="BA17" i="101"/>
  <c r="AU17" i="101"/>
  <c r="AS17" i="101"/>
  <c r="AQ17" i="101"/>
  <c r="AO17" i="101"/>
  <c r="AL17" i="101"/>
  <c r="AH17" i="101"/>
  <c r="AG17" i="101"/>
  <c r="G17" i="101"/>
  <c r="BK17" i="101" s="1"/>
  <c r="I17" i="101" s="1"/>
  <c r="BL16" i="101"/>
  <c r="BK16" i="101"/>
  <c r="I16" i="101" s="1"/>
  <c r="BH16" i="101"/>
  <c r="BE16" i="101"/>
  <c r="BD16" i="101"/>
  <c r="BC16" i="101"/>
  <c r="BA16" i="101"/>
  <c r="AY16" i="101"/>
  <c r="AU16" i="101"/>
  <c r="AS16" i="101"/>
  <c r="AQ16" i="101"/>
  <c r="AO16" i="101"/>
  <c r="AL16" i="101"/>
  <c r="AH16" i="101"/>
  <c r="AG16" i="101"/>
  <c r="G16" i="101"/>
  <c r="BB16" i="101" s="1"/>
  <c r="BJ15" i="101"/>
  <c r="H15" i="101" s="1"/>
  <c r="BF15" i="101" s="1"/>
  <c r="BH15" i="101"/>
  <c r="BE15" i="101"/>
  <c r="BD15" i="101"/>
  <c r="BC15" i="101"/>
  <c r="AU15" i="101"/>
  <c r="AS15" i="101"/>
  <c r="AQ15" i="101"/>
  <c r="AO15" i="101"/>
  <c r="AL15" i="101"/>
  <c r="AH15" i="101"/>
  <c r="AN15" i="101" s="1"/>
  <c r="AG15" i="101"/>
  <c r="B15" i="101"/>
  <c r="BJ14" i="101"/>
  <c r="H14" i="101" s="1"/>
  <c r="BF14" i="101" s="1"/>
  <c r="BH14" i="101"/>
  <c r="BE14" i="101"/>
  <c r="BD14" i="101"/>
  <c r="BC14" i="101"/>
  <c r="AU14" i="101"/>
  <c r="AS14" i="101"/>
  <c r="AQ14" i="101"/>
  <c r="AO14" i="101"/>
  <c r="AL14" i="101"/>
  <c r="AH14" i="101"/>
  <c r="AN14" i="101" s="1"/>
  <c r="AG14" i="101"/>
  <c r="B14" i="101"/>
  <c r="BL13" i="101"/>
  <c r="BH13" i="101"/>
  <c r="BE13" i="101"/>
  <c r="BD13" i="101"/>
  <c r="BC13" i="101"/>
  <c r="BA13" i="101"/>
  <c r="AU13" i="101"/>
  <c r="AS13" i="101"/>
  <c r="AQ13" i="101"/>
  <c r="AL13" i="101"/>
  <c r="AH13" i="101"/>
  <c r="AN13" i="101" s="1"/>
  <c r="AG13" i="101"/>
  <c r="G13" i="101"/>
  <c r="BL12" i="101"/>
  <c r="BH12" i="101"/>
  <c r="BE12" i="101"/>
  <c r="BD12" i="101"/>
  <c r="BC12" i="101"/>
  <c r="BA12" i="101"/>
  <c r="AY12" i="101"/>
  <c r="AU12" i="101"/>
  <c r="AS12" i="101"/>
  <c r="AQ12" i="101"/>
  <c r="AL12" i="101"/>
  <c r="AH12" i="101"/>
  <c r="AN12" i="101" s="1"/>
  <c r="AG12" i="101"/>
  <c r="BK12" i="101" s="1"/>
  <c r="AO12" i="101" s="1"/>
  <c r="G12" i="101"/>
  <c r="BB12" i="101" s="1"/>
  <c r="BH11" i="101"/>
  <c r="BE11" i="101"/>
  <c r="BD11" i="101"/>
  <c r="BC11" i="101"/>
  <c r="AU11" i="101"/>
  <c r="AS11" i="101"/>
  <c r="AQ11" i="101"/>
  <c r="AL11" i="101"/>
  <c r="AH11" i="101"/>
  <c r="AN11" i="101" s="1"/>
  <c r="AG11" i="101"/>
  <c r="BH10" i="101"/>
  <c r="BE10" i="101"/>
  <c r="BD10" i="101"/>
  <c r="BC10" i="101"/>
  <c r="AU10" i="101"/>
  <c r="AS10" i="101"/>
  <c r="AQ10" i="101"/>
  <c r="AL10" i="101"/>
  <c r="AH10" i="101"/>
  <c r="AN10" i="101" s="1"/>
  <c r="AG10" i="101"/>
  <c r="BL9" i="101"/>
  <c r="BH9" i="101"/>
  <c r="BE9" i="101"/>
  <c r="BD9" i="101"/>
  <c r="BC9" i="101"/>
  <c r="BA9" i="101"/>
  <c r="AU9" i="101"/>
  <c r="AS9" i="101"/>
  <c r="AQ9" i="101"/>
  <c r="AL9" i="101"/>
  <c r="AJ9" i="101"/>
  <c r="AJ10" i="101" s="1"/>
  <c r="AJ11" i="101" s="1"/>
  <c r="AJ12" i="101" s="1"/>
  <c r="AJ13" i="101" s="1"/>
  <c r="AJ14" i="101" s="1"/>
  <c r="AH9" i="101"/>
  <c r="AN9" i="101" s="1"/>
  <c r="AG9" i="101"/>
  <c r="G9" i="101"/>
  <c r="B9" i="101"/>
  <c r="BL8" i="101"/>
  <c r="BK8" i="101"/>
  <c r="AO8" i="101" s="1"/>
  <c r="BJ8" i="101"/>
  <c r="H8" i="101" s="1"/>
  <c r="BF8" i="101" s="1"/>
  <c r="BH8" i="101"/>
  <c r="BE8" i="101"/>
  <c r="BD8" i="101"/>
  <c r="BC8" i="101"/>
  <c r="BA8" i="101"/>
  <c r="AY8" i="101"/>
  <c r="AU8" i="101"/>
  <c r="AS8" i="101"/>
  <c r="AQ8" i="101"/>
  <c r="AL8" i="101"/>
  <c r="AJ8" i="101"/>
  <c r="AH8" i="101"/>
  <c r="AN8" i="101" s="1"/>
  <c r="AG8" i="101"/>
  <c r="G8" i="101"/>
  <c r="BB8" i="101" s="1"/>
  <c r="B8" i="101"/>
  <c r="AV6" i="101"/>
  <c r="AN24" i="101" l="1"/>
  <c r="AN21" i="101"/>
  <c r="AN28" i="101"/>
  <c r="AN16" i="101"/>
  <c r="AU41" i="101"/>
  <c r="AN17" i="101"/>
  <c r="AI12" i="101"/>
  <c r="C12" i="101" s="1"/>
  <c r="AI11" i="101"/>
  <c r="C11" i="101" s="1"/>
  <c r="BC4" i="101"/>
  <c r="BK13" i="101"/>
  <c r="I13" i="101" s="1"/>
  <c r="I8" i="101"/>
  <c r="AN26" i="101"/>
  <c r="BM37" i="101"/>
  <c r="AK35" i="101"/>
  <c r="AM35" i="101" s="1"/>
  <c r="AN29" i="101"/>
  <c r="AN23" i="101"/>
  <c r="BM38" i="101"/>
  <c r="BK9" i="101"/>
  <c r="AQ41" i="101"/>
  <c r="Q5" i="101"/>
  <c r="G26" i="101"/>
  <c r="BL26" i="101"/>
  <c r="AI28" i="101"/>
  <c r="C28" i="101" s="1"/>
  <c r="AS41" i="101"/>
  <c r="AV43" i="101"/>
  <c r="AV44" i="101" s="1"/>
  <c r="AI34" i="101" s="1"/>
  <c r="C34" i="101" s="1"/>
  <c r="AO13" i="101"/>
  <c r="I12" i="101"/>
  <c r="G29" i="101"/>
  <c r="BL29" i="101"/>
  <c r="AK39" i="101"/>
  <c r="AM39" i="101" s="1"/>
  <c r="G23" i="101"/>
  <c r="BL23" i="101"/>
  <c r="AN18" i="101"/>
  <c r="AJ15" i="101"/>
  <c r="AI10" i="101"/>
  <c r="C10" i="101" s="1"/>
  <c r="AI13" i="101"/>
  <c r="C13" i="101" s="1"/>
  <c r="AI9" i="101"/>
  <c r="AR44" i="101"/>
  <c r="AI25" i="101" s="1"/>
  <c r="C25" i="101" s="1"/>
  <c r="AI16" i="101"/>
  <c r="C16" i="101" s="1"/>
  <c r="BD4" i="101"/>
  <c r="AN31" i="101"/>
  <c r="BE4" i="101"/>
  <c r="BB9" i="101"/>
  <c r="BB13" i="101"/>
  <c r="BB17" i="101"/>
  <c r="BB21" i="101"/>
  <c r="BB24" i="101"/>
  <c r="BB27" i="101"/>
  <c r="BB30" i="101"/>
  <c r="BB34" i="101"/>
  <c r="B10" i="101"/>
  <c r="BL10" i="101"/>
  <c r="BL14" i="101"/>
  <c r="BL18" i="101"/>
  <c r="BL31" i="101"/>
  <c r="BL35" i="101"/>
  <c r="BL39" i="101"/>
  <c r="G10" i="101"/>
  <c r="G14" i="101"/>
  <c r="G18" i="101"/>
  <c r="G31" i="101"/>
  <c r="AW8" i="101"/>
  <c r="BI8" i="101"/>
  <c r="AZ8" i="101" s="1"/>
  <c r="B11" i="101"/>
  <c r="BL11" i="101"/>
  <c r="AW12" i="101"/>
  <c r="BI12" i="101"/>
  <c r="BL15" i="101"/>
  <c r="AW16" i="101"/>
  <c r="BI16" i="101"/>
  <c r="AZ16" i="101" s="1"/>
  <c r="BL19" i="101"/>
  <c r="AW20" i="101"/>
  <c r="BI20" i="101"/>
  <c r="AZ20" i="101" s="1"/>
  <c r="BL32" i="101"/>
  <c r="AW33" i="101"/>
  <c r="BI33" i="101"/>
  <c r="BL36" i="101"/>
  <c r="AX8" i="101"/>
  <c r="AX12" i="101"/>
  <c r="AX33" i="101"/>
  <c r="BM36" i="101"/>
  <c r="G11" i="101"/>
  <c r="G15" i="101"/>
  <c r="G19" i="101"/>
  <c r="BL22" i="101"/>
  <c r="BL25" i="101"/>
  <c r="BL28" i="101"/>
  <c r="G32" i="101"/>
  <c r="AW9" i="101"/>
  <c r="BI9" i="101"/>
  <c r="B12" i="101"/>
  <c r="AW13" i="101"/>
  <c r="BI13" i="101"/>
  <c r="AW17" i="101"/>
  <c r="BI17" i="101"/>
  <c r="AW21" i="101"/>
  <c r="BI21" i="101"/>
  <c r="AW24" i="101"/>
  <c r="BI24" i="101"/>
  <c r="AW27" i="101"/>
  <c r="BI27" i="101"/>
  <c r="AW30" i="101"/>
  <c r="BI30" i="101"/>
  <c r="AW34" i="101"/>
  <c r="BI34" i="101"/>
  <c r="AX9" i="101"/>
  <c r="AX13" i="101"/>
  <c r="G22" i="101"/>
  <c r="G25" i="101"/>
  <c r="AX27" i="101"/>
  <c r="G28" i="101"/>
  <c r="AX34" i="101"/>
  <c r="AY9" i="101"/>
  <c r="AY13" i="101"/>
  <c r="AY17" i="101"/>
  <c r="AY21" i="101"/>
  <c r="AY24" i="101"/>
  <c r="AY27" i="101"/>
  <c r="AY30" i="101"/>
  <c r="AY34" i="101"/>
  <c r="AI33" i="101" l="1"/>
  <c r="C33" i="101" s="1"/>
  <c r="AN6" i="101"/>
  <c r="AN41" i="101"/>
  <c r="I9" i="101"/>
  <c r="AO9" i="101"/>
  <c r="BB23" i="101"/>
  <c r="BA23" i="101"/>
  <c r="BK23" i="101"/>
  <c r="I23" i="101" s="1"/>
  <c r="AY23" i="101"/>
  <c r="AW23" i="101"/>
  <c r="BI23" i="101"/>
  <c r="AZ23" i="101" s="1"/>
  <c r="BJ30" i="101"/>
  <c r="H30" i="101" s="1"/>
  <c r="BF30" i="101" s="1"/>
  <c r="AK30" i="101"/>
  <c r="AZ30" i="101" s="1"/>
  <c r="BN30" i="101"/>
  <c r="BM30" i="101"/>
  <c r="BB14" i="101"/>
  <c r="BA14" i="101"/>
  <c r="BK14" i="101"/>
  <c r="I14" i="101" s="1"/>
  <c r="AY14" i="101"/>
  <c r="BI14" i="101"/>
  <c r="AZ14" i="101" s="1"/>
  <c r="AX14" i="101"/>
  <c r="AW14" i="101"/>
  <c r="BB22" i="101"/>
  <c r="BA22" i="101"/>
  <c r="BK22" i="101"/>
  <c r="I22" i="101" s="1"/>
  <c r="AY22" i="101"/>
  <c r="AX22" i="101"/>
  <c r="BI22" i="101"/>
  <c r="AW22" i="101"/>
  <c r="B16" i="101"/>
  <c r="AI21" i="101"/>
  <c r="C21" i="101" s="1"/>
  <c r="BB29" i="101"/>
  <c r="BA29" i="101"/>
  <c r="BK29" i="101"/>
  <c r="I29" i="101" s="1"/>
  <c r="AY29" i="101"/>
  <c r="BI29" i="101"/>
  <c r="AW29" i="101"/>
  <c r="AI24" i="101"/>
  <c r="C24" i="101" s="1"/>
  <c r="BJ17" i="101"/>
  <c r="H17" i="101" s="1"/>
  <c r="BF17" i="101" s="1"/>
  <c r="AK17" i="101"/>
  <c r="BN17" i="101"/>
  <c r="AZ17" i="101"/>
  <c r="BM17" i="101"/>
  <c r="B13" i="101"/>
  <c r="AJ16" i="101"/>
  <c r="AJ17" i="101" s="1"/>
  <c r="AJ18" i="101" s="1"/>
  <c r="AJ19" i="101" s="1"/>
  <c r="BB26" i="101"/>
  <c r="BA26" i="101"/>
  <c r="BK26" i="101"/>
  <c r="I26" i="101" s="1"/>
  <c r="AY26" i="101"/>
  <c r="AW26" i="101"/>
  <c r="BI26" i="101"/>
  <c r="BJ13" i="101"/>
  <c r="H13" i="101" s="1"/>
  <c r="BF13" i="101" s="1"/>
  <c r="AK13" i="101"/>
  <c r="BN13" i="101"/>
  <c r="AZ13" i="101"/>
  <c r="BM13" i="101"/>
  <c r="AI30" i="101"/>
  <c r="C30" i="101" s="1"/>
  <c r="BN20" i="101"/>
  <c r="BM20" i="101"/>
  <c r="BJ20" i="101"/>
  <c r="H20" i="101" s="1"/>
  <c r="BF20" i="101" s="1"/>
  <c r="AK20" i="101"/>
  <c r="BB31" i="101"/>
  <c r="BA31" i="101"/>
  <c r="BK31" i="101"/>
  <c r="I31" i="101" s="1"/>
  <c r="AY31" i="101"/>
  <c r="BI31" i="101"/>
  <c r="AW31" i="101"/>
  <c r="BB28" i="101"/>
  <c r="BA28" i="101"/>
  <c r="BK28" i="101"/>
  <c r="I28" i="101" s="1"/>
  <c r="AY28" i="101"/>
  <c r="BI28" i="101"/>
  <c r="AW28" i="101"/>
  <c r="BB25" i="101"/>
  <c r="BA25" i="101"/>
  <c r="BK25" i="101"/>
  <c r="I25" i="101" s="1"/>
  <c r="AY25" i="101"/>
  <c r="BI25" i="101"/>
  <c r="AZ25" i="101" s="1"/>
  <c r="AW25" i="101"/>
  <c r="AI20" i="101"/>
  <c r="C20" i="101" s="1"/>
  <c r="BJ24" i="101"/>
  <c r="H24" i="101" s="1"/>
  <c r="BF24" i="101" s="1"/>
  <c r="AK24" i="101"/>
  <c r="BN24" i="101"/>
  <c r="BM24" i="101"/>
  <c r="AZ24" i="101"/>
  <c r="BB19" i="101"/>
  <c r="BA19" i="101"/>
  <c r="BK19" i="101"/>
  <c r="I19" i="101" s="1"/>
  <c r="AY19" i="101"/>
  <c r="AX19" i="101"/>
  <c r="BI19" i="101"/>
  <c r="AW19" i="101"/>
  <c r="AP12" i="101"/>
  <c r="BB11" i="101"/>
  <c r="BA11" i="101"/>
  <c r="BK11" i="101"/>
  <c r="AY11" i="101"/>
  <c r="AX11" i="101"/>
  <c r="BI11" i="101"/>
  <c r="AW11" i="101"/>
  <c r="BJ33" i="101"/>
  <c r="H33" i="101" s="1"/>
  <c r="BF33" i="101" s="1"/>
  <c r="AK33" i="101"/>
  <c r="AZ33" i="101"/>
  <c r="BB32" i="101"/>
  <c r="BA32" i="101"/>
  <c r="BK32" i="101"/>
  <c r="I32" i="101" s="1"/>
  <c r="AY32" i="101"/>
  <c r="AX32" i="101"/>
  <c r="BI32" i="101"/>
  <c r="AW32" i="101"/>
  <c r="BB18" i="101"/>
  <c r="BA18" i="101"/>
  <c r="BK18" i="101"/>
  <c r="I18" i="101" s="1"/>
  <c r="AY18" i="101"/>
  <c r="BI18" i="101"/>
  <c r="AZ18" i="101" s="1"/>
  <c r="AW18" i="101"/>
  <c r="BN16" i="101"/>
  <c r="BM16" i="101"/>
  <c r="BJ16" i="101"/>
  <c r="H16" i="101" s="1"/>
  <c r="BF16" i="101" s="1"/>
  <c r="AK16" i="101"/>
  <c r="BB10" i="101"/>
  <c r="BA10" i="101"/>
  <c r="BK10" i="101"/>
  <c r="AY10" i="101"/>
  <c r="AX10" i="101"/>
  <c r="AW10" i="101"/>
  <c r="BI10" i="101"/>
  <c r="AZ10" i="101" s="1"/>
  <c r="AK27" i="101"/>
  <c r="BN27" i="101"/>
  <c r="AZ27" i="101"/>
  <c r="BM27" i="101"/>
  <c r="BN12" i="101"/>
  <c r="BM12" i="101"/>
  <c r="BJ12" i="101"/>
  <c r="H12" i="101" s="1"/>
  <c r="BF12" i="101" s="1"/>
  <c r="AK12" i="101"/>
  <c r="AZ12" i="101"/>
  <c r="BB15" i="101"/>
  <c r="BA15" i="101"/>
  <c r="BK15" i="101"/>
  <c r="I15" i="101" s="1"/>
  <c r="AY15" i="101"/>
  <c r="AX15" i="101"/>
  <c r="BI15" i="101"/>
  <c r="AZ15" i="101" s="1"/>
  <c r="AW15" i="101"/>
  <c r="BJ34" i="101"/>
  <c r="H34" i="101" s="1"/>
  <c r="BF34" i="101" s="1"/>
  <c r="AK34" i="101"/>
  <c r="AZ34" i="101"/>
  <c r="BJ21" i="101"/>
  <c r="H21" i="101" s="1"/>
  <c r="BF21" i="101" s="1"/>
  <c r="AK21" i="101"/>
  <c r="BN21" i="101"/>
  <c r="AZ21" i="101"/>
  <c r="BM21" i="101"/>
  <c r="BJ9" i="101"/>
  <c r="H9" i="101" s="1"/>
  <c r="AK9" i="101"/>
  <c r="BN9" i="101"/>
  <c r="BM9" i="101"/>
  <c r="AZ9" i="101"/>
  <c r="BN8" i="101"/>
  <c r="BM8" i="101"/>
  <c r="AK8" i="101"/>
  <c r="AI29" i="101"/>
  <c r="C29" i="101" s="1"/>
  <c r="AI26" i="101"/>
  <c r="C26" i="101" s="1"/>
  <c r="AI23" i="101"/>
  <c r="C23" i="101" s="1"/>
  <c r="AI31" i="101"/>
  <c r="C31" i="101" s="1"/>
  <c r="AI18" i="101"/>
  <c r="C18" i="101" s="1"/>
  <c r="AI17" i="101"/>
  <c r="C17" i="101" s="1"/>
  <c r="C9" i="101"/>
  <c r="BB4" i="101" l="1"/>
  <c r="AY4" i="101"/>
  <c r="AM34" i="101"/>
  <c r="AT34" i="101"/>
  <c r="AR34" i="101"/>
  <c r="AV34" i="101" s="1"/>
  <c r="BM10" i="101"/>
  <c r="BJ10" i="101"/>
  <c r="H10" i="101" s="1"/>
  <c r="AK10" i="101"/>
  <c r="BN10" i="101"/>
  <c r="BJ11" i="101"/>
  <c r="H11" i="101" s="1"/>
  <c r="AK11" i="101"/>
  <c r="BN11" i="101"/>
  <c r="BM11" i="101"/>
  <c r="AM13" i="101"/>
  <c r="AT13" i="101"/>
  <c r="AR13" i="101"/>
  <c r="AV13" i="101" s="1"/>
  <c r="AK22" i="101"/>
  <c r="BN22" i="101"/>
  <c r="BM22" i="101"/>
  <c r="AM21" i="101"/>
  <c r="AT21" i="101"/>
  <c r="AR21" i="101"/>
  <c r="AV21" i="101" s="1"/>
  <c r="AX21" i="101"/>
  <c r="AM17" i="101"/>
  <c r="AT17" i="101"/>
  <c r="AR17" i="101"/>
  <c r="AV17" i="101" s="1"/>
  <c r="AX17" i="101"/>
  <c r="AK19" i="101"/>
  <c r="BN19" i="101"/>
  <c r="BM19" i="101"/>
  <c r="BJ28" i="101"/>
  <c r="H28" i="101" s="1"/>
  <c r="BF28" i="101" s="1"/>
  <c r="AK28" i="101"/>
  <c r="BN28" i="101"/>
  <c r="BM28" i="101"/>
  <c r="AK32" i="101"/>
  <c r="BN32" i="101"/>
  <c r="BM32" i="101"/>
  <c r="BG12" i="101"/>
  <c r="BJ29" i="101"/>
  <c r="H29" i="101" s="1"/>
  <c r="BF29" i="101" s="1"/>
  <c r="AK29" i="101"/>
  <c r="AZ29" i="101" s="1"/>
  <c r="BN29" i="101"/>
  <c r="BM29" i="101"/>
  <c r="AZ19" i="101"/>
  <c r="BJ25" i="101"/>
  <c r="H25" i="101" s="1"/>
  <c r="BF25" i="101" s="1"/>
  <c r="AK25" i="101"/>
  <c r="BN25" i="101"/>
  <c r="BM25" i="101"/>
  <c r="AZ28" i="101"/>
  <c r="AM20" i="101"/>
  <c r="AT20" i="101"/>
  <c r="AR20" i="101"/>
  <c r="AV20" i="101" s="1"/>
  <c r="AX20" i="101"/>
  <c r="BJ26" i="101"/>
  <c r="H26" i="101" s="1"/>
  <c r="BF26" i="101" s="1"/>
  <c r="AK26" i="101"/>
  <c r="AZ26" i="101" s="1"/>
  <c r="BM26" i="101"/>
  <c r="BN26" i="101"/>
  <c r="B17" i="101"/>
  <c r="BM31" i="101"/>
  <c r="AK31" i="101"/>
  <c r="BJ31" i="101"/>
  <c r="H31" i="101" s="1"/>
  <c r="BF31" i="101" s="1"/>
  <c r="BN31" i="101"/>
  <c r="AM33" i="101"/>
  <c r="AR33" i="101"/>
  <c r="AV33" i="101" s="1"/>
  <c r="AT33" i="101"/>
  <c r="AM24" i="101"/>
  <c r="AT24" i="101"/>
  <c r="AR24" i="101"/>
  <c r="AV24" i="101" s="1"/>
  <c r="AX24" i="101"/>
  <c r="AZ31" i="101"/>
  <c r="BM14" i="101"/>
  <c r="AK14" i="101"/>
  <c r="BN14" i="101"/>
  <c r="AM12" i="101"/>
  <c r="AT12" i="101"/>
  <c r="AR12" i="101"/>
  <c r="AV12" i="101" s="1"/>
  <c r="AZ32" i="101"/>
  <c r="I11" i="101"/>
  <c r="AO11" i="101"/>
  <c r="AM8" i="101"/>
  <c r="AT8" i="101"/>
  <c r="AR8" i="101"/>
  <c r="AP16" i="101"/>
  <c r="BJ23" i="101"/>
  <c r="H23" i="101" s="1"/>
  <c r="BF23" i="101" s="1"/>
  <c r="AK23" i="101"/>
  <c r="BM23" i="101"/>
  <c r="BN23" i="101"/>
  <c r="AM27" i="101"/>
  <c r="AP27" i="101" s="1"/>
  <c r="BG27" i="101" s="1"/>
  <c r="AT27" i="101"/>
  <c r="AR27" i="101"/>
  <c r="AV27" i="101" s="1"/>
  <c r="AJ20" i="101"/>
  <c r="AJ21" i="101" s="1"/>
  <c r="AJ22" i="101" s="1"/>
  <c r="AM9" i="101"/>
  <c r="AT9" i="101"/>
  <c r="AR9" i="101"/>
  <c r="AV9" i="101" s="1"/>
  <c r="I10" i="101"/>
  <c r="AO10" i="101"/>
  <c r="BM18" i="101"/>
  <c r="BJ18" i="101"/>
  <c r="H18" i="101" s="1"/>
  <c r="BF18" i="101" s="1"/>
  <c r="AK18" i="101"/>
  <c r="BN18" i="101"/>
  <c r="AZ11" i="101"/>
  <c r="AP13" i="101"/>
  <c r="BG13" i="101" s="1"/>
  <c r="AZ22" i="101"/>
  <c r="BF9" i="101"/>
  <c r="AP9" i="101"/>
  <c r="BG9" i="101" s="1"/>
  <c r="BA4" i="101"/>
  <c r="AK15" i="101"/>
  <c r="BM15" i="101"/>
  <c r="BN15" i="101"/>
  <c r="AM16" i="101"/>
  <c r="AT16" i="101"/>
  <c r="AR16" i="101"/>
  <c r="AV16" i="101" s="1"/>
  <c r="AX16" i="101"/>
  <c r="AM30" i="101"/>
  <c r="AT30" i="101"/>
  <c r="AR30" i="101"/>
  <c r="AV30" i="101" s="1"/>
  <c r="AX30" i="101"/>
  <c r="BG16" i="101" l="1"/>
  <c r="B18" i="101"/>
  <c r="AT23" i="101"/>
  <c r="AR23" i="101"/>
  <c r="AV23" i="101" s="1"/>
  <c r="AM23" i="101"/>
  <c r="AX23" i="101"/>
  <c r="AR11" i="101"/>
  <c r="AV11" i="101" s="1"/>
  <c r="AM11" i="101"/>
  <c r="AT11" i="101"/>
  <c r="AR15" i="101"/>
  <c r="AV15" i="101" s="1"/>
  <c r="AM15" i="101"/>
  <c r="AP15" i="101" s="1"/>
  <c r="BG15" i="101" s="1"/>
  <c r="AT15" i="101"/>
  <c r="AT18" i="101"/>
  <c r="AR18" i="101"/>
  <c r="AV18" i="101" s="1"/>
  <c r="AM18" i="101"/>
  <c r="AX18" i="101"/>
  <c r="AR32" i="101"/>
  <c r="AV32" i="101" s="1"/>
  <c r="AM32" i="101"/>
  <c r="AP32" i="101" s="1"/>
  <c r="BG32" i="101" s="1"/>
  <c r="AT32" i="101"/>
  <c r="AT29" i="101"/>
  <c r="AR29" i="101"/>
  <c r="AV29" i="101" s="1"/>
  <c r="AM29" i="101"/>
  <c r="AX29" i="101"/>
  <c r="AT26" i="101"/>
  <c r="AR26" i="101"/>
  <c r="AV26" i="101" s="1"/>
  <c r="AM26" i="101"/>
  <c r="AX26" i="101"/>
  <c r="AM28" i="101"/>
  <c r="AT28" i="101"/>
  <c r="AR28" i="101"/>
  <c r="AV28" i="101" s="1"/>
  <c r="AX28" i="101"/>
  <c r="AT31" i="101"/>
  <c r="AR31" i="101"/>
  <c r="AV31" i="101" s="1"/>
  <c r="AM31" i="101"/>
  <c r="AX31" i="101"/>
  <c r="AM22" i="101"/>
  <c r="AP22" i="101" s="1"/>
  <c r="BG22" i="101" s="1"/>
  <c r="AT22" i="101"/>
  <c r="AR22" i="101"/>
  <c r="AV22" i="101" s="1"/>
  <c r="AT10" i="101"/>
  <c r="H41" i="101" s="1"/>
  <c r="AR10" i="101"/>
  <c r="AV10" i="101" s="1"/>
  <c r="AM10" i="101"/>
  <c r="BF11" i="101"/>
  <c r="AP11" i="101"/>
  <c r="BG11" i="101" s="1"/>
  <c r="AV8" i="101"/>
  <c r="AT14" i="101"/>
  <c r="AR14" i="101"/>
  <c r="AV14" i="101" s="1"/>
  <c r="AM14" i="101"/>
  <c r="AP14" i="101" s="1"/>
  <c r="BG14" i="101" s="1"/>
  <c r="AJ23" i="101"/>
  <c r="AP8" i="101"/>
  <c r="BG8" i="101" s="1"/>
  <c r="AR19" i="101"/>
  <c r="AV19" i="101" s="1"/>
  <c r="AM19" i="101"/>
  <c r="AP19" i="101" s="1"/>
  <c r="BG19" i="101" s="1"/>
  <c r="AT19" i="101"/>
  <c r="BF10" i="101"/>
  <c r="AP10" i="101"/>
  <c r="BG10" i="101" s="1"/>
  <c r="AZ4" i="101"/>
  <c r="AP17" i="101"/>
  <c r="BG17" i="101" s="1"/>
  <c r="AM25" i="101"/>
  <c r="AT25" i="101"/>
  <c r="AR25" i="101"/>
  <c r="AV25" i="101" s="1"/>
  <c r="AX25" i="101"/>
  <c r="AT41" i="101" l="1"/>
  <c r="AM41" i="101"/>
  <c r="AX4" i="101" s="1"/>
  <c r="AM6" i="101"/>
  <c r="AJ24" i="101"/>
  <c r="AP18" i="101"/>
  <c r="BG18" i="101" s="1"/>
  <c r="AV41" i="101"/>
  <c r="AV45" i="101" s="1"/>
  <c r="E41" i="101" s="1"/>
  <c r="B20" i="101"/>
  <c r="AR41" i="101"/>
  <c r="AR45" i="101" l="1"/>
  <c r="J41" i="101" s="1"/>
  <c r="AP20" i="101"/>
  <c r="BG20" i="101" s="1"/>
  <c r="B21" i="101"/>
  <c r="B23" i="101" s="1"/>
  <c r="AJ25" i="101"/>
  <c r="AW4" i="101"/>
  <c r="U44" i="101" l="1"/>
  <c r="O40" i="101" s="1"/>
  <c r="AR46" i="101"/>
  <c r="B41" i="101" s="1"/>
  <c r="U45" i="101"/>
  <c r="Q40" i="101" s="1"/>
  <c r="F41" i="101"/>
  <c r="U47" i="101" s="1"/>
  <c r="U49" i="101" s="1"/>
  <c r="AP23" i="101"/>
  <c r="BG23" i="101" s="1"/>
  <c r="B24" i="101"/>
  <c r="AP24" i="101" s="1"/>
  <c r="BG24" i="101" s="1"/>
  <c r="AJ26" i="101"/>
  <c r="AP21" i="101"/>
  <c r="BG21" i="101" s="1"/>
  <c r="Q6" i="101" l="1"/>
  <c r="AJ27" i="101"/>
  <c r="B25" i="101"/>
  <c r="F20" i="9" l="1"/>
  <c r="F11" i="5"/>
  <c r="C23" i="14" s="1"/>
  <c r="AP25" i="101"/>
  <c r="BG25" i="101" s="1"/>
  <c r="B26" i="101"/>
  <c r="AJ28" i="101"/>
  <c r="AJ29" i="101" l="1"/>
  <c r="AP26" i="101"/>
  <c r="BG26" i="101" s="1"/>
  <c r="B28" i="101"/>
  <c r="AJ30" i="101" l="1"/>
  <c r="AJ31" i="101" s="1"/>
  <c r="AJ32" i="101" s="1"/>
  <c r="AP28" i="101"/>
  <c r="BG28" i="101" s="1"/>
  <c r="B29" i="101"/>
  <c r="AP29" i="101" l="1"/>
  <c r="BG29" i="101" s="1"/>
  <c r="B30" i="101"/>
  <c r="AJ33" i="101"/>
  <c r="AP30" i="101" l="1"/>
  <c r="BG30" i="101" s="1"/>
  <c r="B31" i="101"/>
  <c r="AJ34" i="101"/>
  <c r="AI27" i="101"/>
  <c r="C27" i="101" s="1"/>
  <c r="AI14" i="101" l="1"/>
  <c r="AI15" i="101"/>
  <c r="C15" i="101" s="1"/>
  <c r="AI8" i="101"/>
  <c r="C8" i="101" s="1"/>
  <c r="AI19" i="101"/>
  <c r="C19" i="101" s="1"/>
  <c r="AI22" i="101"/>
  <c r="C22" i="101" s="1"/>
  <c r="AI32" i="101"/>
  <c r="C32" i="101" s="1"/>
  <c r="AP31" i="101"/>
  <c r="BG31" i="101" s="1"/>
  <c r="B33" i="101"/>
  <c r="AP33" i="101" l="1"/>
  <c r="BG33" i="101" s="1"/>
  <c r="B34" i="101"/>
  <c r="AP34" i="101" s="1"/>
  <c r="BG34" i="101" s="1"/>
  <c r="C14" i="101"/>
  <c r="AI43" i="101"/>
  <c r="U48" i="100" l="1"/>
  <c r="BE43" i="100"/>
  <c r="AT43" i="100"/>
  <c r="AT44" i="100" s="1"/>
  <c r="BN39" i="100"/>
  <c r="BK39" i="100"/>
  <c r="I39" i="100" s="1"/>
  <c r="BJ39" i="100"/>
  <c r="H39" i="100" s="1"/>
  <c r="BF39" i="100" s="1"/>
  <c r="BI39" i="100"/>
  <c r="AK39" i="100" s="1"/>
  <c r="AM39" i="100" s="1"/>
  <c r="BH39" i="100"/>
  <c r="G39" i="100" s="1"/>
  <c r="BG39" i="100"/>
  <c r="BE39" i="100"/>
  <c r="BD39" i="100"/>
  <c r="BC39" i="100"/>
  <c r="BB39" i="100"/>
  <c r="BA39" i="100"/>
  <c r="AZ39" i="100"/>
  <c r="AY39" i="100"/>
  <c r="AX39" i="100"/>
  <c r="AW39" i="100"/>
  <c r="AU39" i="100"/>
  <c r="AT39" i="100"/>
  <c r="AS39" i="100"/>
  <c r="AR39" i="100"/>
  <c r="AV39" i="100" s="1"/>
  <c r="AQ39" i="100"/>
  <c r="AP39" i="100"/>
  <c r="AO39" i="100"/>
  <c r="AL39" i="100"/>
  <c r="AJ39" i="100"/>
  <c r="AI39" i="100"/>
  <c r="AH39" i="100"/>
  <c r="AN39" i="100" s="1"/>
  <c r="AG39" i="100"/>
  <c r="C39" i="100"/>
  <c r="B39" i="100"/>
  <c r="BN38" i="100"/>
  <c r="BL38" i="100"/>
  <c r="BK38" i="100"/>
  <c r="I38" i="100" s="1"/>
  <c r="BJ38" i="100"/>
  <c r="H38" i="100" s="1"/>
  <c r="BF38" i="100" s="1"/>
  <c r="BI38" i="100"/>
  <c r="BM38" i="100" s="1"/>
  <c r="BH38" i="100"/>
  <c r="BG38" i="100"/>
  <c r="BE38" i="100"/>
  <c r="BD38" i="100"/>
  <c r="BC38" i="100"/>
  <c r="BB38" i="100"/>
  <c r="BA38" i="100"/>
  <c r="AZ38" i="100"/>
  <c r="AY38" i="100"/>
  <c r="AX38" i="100"/>
  <c r="AW38" i="100"/>
  <c r="AU38" i="100"/>
  <c r="AT38" i="100"/>
  <c r="AS38" i="100"/>
  <c r="AR38" i="100"/>
  <c r="AV38" i="100" s="1"/>
  <c r="AQ38" i="100"/>
  <c r="AP38" i="100"/>
  <c r="AO38" i="100"/>
  <c r="AL38" i="100"/>
  <c r="AJ38" i="100"/>
  <c r="AI38" i="100"/>
  <c r="AH38" i="100"/>
  <c r="AN38" i="100" s="1"/>
  <c r="AG38" i="100"/>
  <c r="G38" i="100"/>
  <c r="C38" i="100"/>
  <c r="B38" i="100"/>
  <c r="BN37" i="100"/>
  <c r="BK37" i="100"/>
  <c r="I37" i="100" s="1"/>
  <c r="BJ37" i="100"/>
  <c r="H37" i="100" s="1"/>
  <c r="BF37" i="100" s="1"/>
  <c r="BI37" i="100"/>
  <c r="BM37" i="100" s="1"/>
  <c r="BH37" i="100"/>
  <c r="BL37" i="100" s="1"/>
  <c r="BG37" i="100"/>
  <c r="BE37" i="100"/>
  <c r="BD37" i="100"/>
  <c r="BC37" i="100"/>
  <c r="BB37" i="100"/>
  <c r="BA37" i="100"/>
  <c r="AZ37" i="100"/>
  <c r="AY37" i="100"/>
  <c r="AX37" i="100"/>
  <c r="AW37" i="100"/>
  <c r="AU37" i="100"/>
  <c r="AT37" i="100"/>
  <c r="AS37" i="100"/>
  <c r="AR37" i="100"/>
  <c r="AV37" i="100" s="1"/>
  <c r="AQ37" i="100"/>
  <c r="AP37" i="100"/>
  <c r="AO37" i="100"/>
  <c r="AL37" i="100"/>
  <c r="AJ37" i="100"/>
  <c r="AI37" i="100"/>
  <c r="AH37" i="100"/>
  <c r="AN37" i="100" s="1"/>
  <c r="AG37" i="100"/>
  <c r="G37" i="100"/>
  <c r="C37" i="100"/>
  <c r="B37" i="100"/>
  <c r="BN36" i="100"/>
  <c r="BK36" i="100"/>
  <c r="I36" i="100" s="1"/>
  <c r="BJ36" i="100"/>
  <c r="H36" i="100" s="1"/>
  <c r="BF36" i="100" s="1"/>
  <c r="BI36" i="100"/>
  <c r="AK36" i="100" s="1"/>
  <c r="AM36" i="100" s="1"/>
  <c r="BH36" i="100"/>
  <c r="G36" i="100" s="1"/>
  <c r="BG36" i="100"/>
  <c r="BE36" i="100"/>
  <c r="BD36" i="100"/>
  <c r="BC36" i="100"/>
  <c r="BB36" i="100"/>
  <c r="BA36" i="100"/>
  <c r="AZ36" i="100"/>
  <c r="AY36" i="100"/>
  <c r="AX36" i="100"/>
  <c r="AW36" i="100"/>
  <c r="AU36" i="100"/>
  <c r="AT36" i="100"/>
  <c r="AS36" i="100"/>
  <c r="AR36" i="100"/>
  <c r="AV36" i="100" s="1"/>
  <c r="AQ36" i="100"/>
  <c r="AP36" i="100"/>
  <c r="AO36" i="100"/>
  <c r="AL36" i="100"/>
  <c r="AJ36" i="100"/>
  <c r="AI36" i="100"/>
  <c r="AH36" i="100"/>
  <c r="AN36" i="100" s="1"/>
  <c r="AG36" i="100"/>
  <c r="C36" i="100"/>
  <c r="B36" i="100"/>
  <c r="BN35" i="100"/>
  <c r="BK35" i="100"/>
  <c r="I35" i="100" s="1"/>
  <c r="BJ35" i="100"/>
  <c r="H35" i="100" s="1"/>
  <c r="BF35" i="100" s="1"/>
  <c r="BI35" i="100"/>
  <c r="AK35" i="100" s="1"/>
  <c r="AM35" i="100" s="1"/>
  <c r="BH35" i="100"/>
  <c r="G35" i="100" s="1"/>
  <c r="BG35" i="100"/>
  <c r="BE35" i="100"/>
  <c r="BD35" i="100"/>
  <c r="BC35" i="100"/>
  <c r="BB35" i="100"/>
  <c r="BA35" i="100"/>
  <c r="AZ35" i="100"/>
  <c r="AY35" i="100"/>
  <c r="AX35" i="100"/>
  <c r="AW35" i="100"/>
  <c r="AU35" i="100"/>
  <c r="AT35" i="100"/>
  <c r="AS35" i="100"/>
  <c r="AR35" i="100"/>
  <c r="AV35" i="100" s="1"/>
  <c r="AQ35" i="100"/>
  <c r="AP35" i="100"/>
  <c r="AO35" i="100"/>
  <c r="AL35" i="100"/>
  <c r="AJ35" i="100"/>
  <c r="AI35" i="100"/>
  <c r="AH35" i="100"/>
  <c r="AN35" i="100" s="1"/>
  <c r="AG35" i="100"/>
  <c r="C35" i="100"/>
  <c r="B35" i="100"/>
  <c r="BN34" i="100"/>
  <c r="BL34" i="100"/>
  <c r="BK34" i="100"/>
  <c r="I34" i="100" s="1"/>
  <c r="BJ34" i="100"/>
  <c r="H34" i="100" s="1"/>
  <c r="BF34" i="100" s="1"/>
  <c r="BI34" i="100"/>
  <c r="AK34" i="100" s="1"/>
  <c r="AM34" i="100" s="1"/>
  <c r="BH34" i="100"/>
  <c r="BG34" i="100"/>
  <c r="BE34" i="100"/>
  <c r="BD34" i="100"/>
  <c r="BC34" i="100"/>
  <c r="BB34" i="100"/>
  <c r="BA34" i="100"/>
  <c r="AZ34" i="100"/>
  <c r="AY34" i="100"/>
  <c r="AX34" i="100"/>
  <c r="AW34" i="100"/>
  <c r="AU34" i="100"/>
  <c r="AT34" i="100"/>
  <c r="AS34" i="100"/>
  <c r="AR34" i="100"/>
  <c r="AV34" i="100" s="1"/>
  <c r="AQ34" i="100"/>
  <c r="AP34" i="100"/>
  <c r="AO34" i="100"/>
  <c r="AL34" i="100"/>
  <c r="AJ34" i="100"/>
  <c r="AI34" i="100"/>
  <c r="AH34" i="100"/>
  <c r="AN34" i="100" s="1"/>
  <c r="AG34" i="100"/>
  <c r="G34" i="100"/>
  <c r="C34" i="100"/>
  <c r="B34" i="100"/>
  <c r="BN33" i="100"/>
  <c r="BK33" i="100"/>
  <c r="I33" i="100" s="1"/>
  <c r="BJ33" i="100"/>
  <c r="H33" i="100" s="1"/>
  <c r="BF33" i="100" s="1"/>
  <c r="BI33" i="100"/>
  <c r="BM33" i="100" s="1"/>
  <c r="BH33" i="100"/>
  <c r="BL33" i="100" s="1"/>
  <c r="BG33" i="100"/>
  <c r="BE33" i="100"/>
  <c r="BD33" i="100"/>
  <c r="BC33" i="100"/>
  <c r="BB33" i="100"/>
  <c r="BA33" i="100"/>
  <c r="AZ33" i="100"/>
  <c r="AY33" i="100"/>
  <c r="AX33" i="100"/>
  <c r="AW33" i="100"/>
  <c r="AU33" i="100"/>
  <c r="AT33" i="100"/>
  <c r="AS33" i="100"/>
  <c r="AR33" i="100"/>
  <c r="AV33" i="100" s="1"/>
  <c r="AQ33" i="100"/>
  <c r="AP33" i="100"/>
  <c r="AO33" i="100"/>
  <c r="AL33" i="100"/>
  <c r="AJ33" i="100"/>
  <c r="AI33" i="100"/>
  <c r="AH33" i="100"/>
  <c r="AN33" i="100" s="1"/>
  <c r="AG33" i="100"/>
  <c r="G33" i="100"/>
  <c r="C33" i="100"/>
  <c r="B33" i="100"/>
  <c r="BN32" i="100"/>
  <c r="BK32" i="100"/>
  <c r="I32" i="100" s="1"/>
  <c r="BJ32" i="100"/>
  <c r="H32" i="100" s="1"/>
  <c r="BF32" i="100" s="1"/>
  <c r="BI32" i="100"/>
  <c r="AK32" i="100" s="1"/>
  <c r="AM32" i="100" s="1"/>
  <c r="BH32" i="100"/>
  <c r="G32" i="100" s="1"/>
  <c r="BG32" i="100"/>
  <c r="BE32" i="100"/>
  <c r="BD32" i="100"/>
  <c r="BC32" i="100"/>
  <c r="BB32" i="100"/>
  <c r="BA32" i="100"/>
  <c r="AZ32" i="100"/>
  <c r="AY32" i="100"/>
  <c r="AX32" i="100"/>
  <c r="AW32" i="100"/>
  <c r="AU32" i="100"/>
  <c r="AT32" i="100"/>
  <c r="AS32" i="100"/>
  <c r="AR32" i="100"/>
  <c r="AV32" i="100" s="1"/>
  <c r="AQ32" i="100"/>
  <c r="AP32" i="100"/>
  <c r="AO32" i="100"/>
  <c r="AL32" i="100"/>
  <c r="AJ32" i="100"/>
  <c r="AI32" i="100"/>
  <c r="AH32" i="100"/>
  <c r="AN32" i="100" s="1"/>
  <c r="AG32" i="100"/>
  <c r="C32" i="100"/>
  <c r="B32" i="100"/>
  <c r="BN31" i="100"/>
  <c r="BK31" i="100"/>
  <c r="I31" i="100" s="1"/>
  <c r="BJ31" i="100"/>
  <c r="H31" i="100" s="1"/>
  <c r="BF31" i="100" s="1"/>
  <c r="BI31" i="100"/>
  <c r="AK31" i="100" s="1"/>
  <c r="AM31" i="100" s="1"/>
  <c r="BH31" i="100"/>
  <c r="G31" i="100" s="1"/>
  <c r="BG31" i="100"/>
  <c r="BE31" i="100"/>
  <c r="BD31" i="100"/>
  <c r="BC31" i="100"/>
  <c r="BB31" i="100"/>
  <c r="BA31" i="100"/>
  <c r="AZ31" i="100"/>
  <c r="AY31" i="100"/>
  <c r="AX31" i="100"/>
  <c r="AW31" i="100"/>
  <c r="AU31" i="100"/>
  <c r="AT31" i="100"/>
  <c r="AS31" i="100"/>
  <c r="AR31" i="100"/>
  <c r="AV31" i="100" s="1"/>
  <c r="AQ31" i="100"/>
  <c r="AP31" i="100"/>
  <c r="AO31" i="100"/>
  <c r="AL31" i="100"/>
  <c r="AJ31" i="100"/>
  <c r="AI31" i="100"/>
  <c r="AH31" i="100"/>
  <c r="AN31" i="100" s="1"/>
  <c r="AG31" i="100"/>
  <c r="C31" i="100"/>
  <c r="B31" i="100"/>
  <c r="BN30" i="100"/>
  <c r="BL30" i="100"/>
  <c r="BK30" i="100"/>
  <c r="I30" i="100" s="1"/>
  <c r="BJ30" i="100"/>
  <c r="H30" i="100" s="1"/>
  <c r="BF30" i="100" s="1"/>
  <c r="BI30" i="100"/>
  <c r="BM30" i="100" s="1"/>
  <c r="BH30" i="100"/>
  <c r="BG30" i="100"/>
  <c r="BE30" i="100"/>
  <c r="BD30" i="100"/>
  <c r="BC30" i="100"/>
  <c r="BB30" i="100"/>
  <c r="BA30" i="100"/>
  <c r="AZ30" i="100"/>
  <c r="AY30" i="100"/>
  <c r="AX30" i="100"/>
  <c r="AW30" i="100"/>
  <c r="AU30" i="100"/>
  <c r="AT30" i="100"/>
  <c r="AS30" i="100"/>
  <c r="AR30" i="100"/>
  <c r="AV30" i="100" s="1"/>
  <c r="AQ30" i="100"/>
  <c r="AP30" i="100"/>
  <c r="AO30" i="100"/>
  <c r="AL30" i="100"/>
  <c r="AJ30" i="100"/>
  <c r="AI30" i="100"/>
  <c r="AH30" i="100"/>
  <c r="AN30" i="100" s="1"/>
  <c r="AG30" i="100"/>
  <c r="G30" i="100"/>
  <c r="C30" i="100"/>
  <c r="B30" i="100"/>
  <c r="BU29" i="100"/>
  <c r="BT29" i="100"/>
  <c r="BS29" i="100"/>
  <c r="BR29" i="100"/>
  <c r="BQ29" i="100"/>
  <c r="BN29" i="100"/>
  <c r="BK29" i="100"/>
  <c r="I29" i="100" s="1"/>
  <c r="BJ29" i="100"/>
  <c r="H29" i="100" s="1"/>
  <c r="BF29" i="100" s="1"/>
  <c r="BI29" i="100"/>
  <c r="AK29" i="100" s="1"/>
  <c r="AM29" i="100" s="1"/>
  <c r="BH29" i="100"/>
  <c r="G29" i="100" s="1"/>
  <c r="BG29" i="100"/>
  <c r="BE29" i="100"/>
  <c r="BD29" i="100"/>
  <c r="BC29" i="100"/>
  <c r="BB29" i="100"/>
  <c r="BA29" i="100"/>
  <c r="AZ29" i="100"/>
  <c r="AY29" i="100"/>
  <c r="AX29" i="100"/>
  <c r="AW29" i="100"/>
  <c r="AU29" i="100"/>
  <c r="AT29" i="100"/>
  <c r="AS29" i="100"/>
  <c r="AR29" i="100"/>
  <c r="AV29" i="100" s="1"/>
  <c r="AQ29" i="100"/>
  <c r="AP29" i="100"/>
  <c r="AO29" i="100"/>
  <c r="AL29" i="100"/>
  <c r="AJ29" i="100"/>
  <c r="AI29" i="100"/>
  <c r="AH29" i="100"/>
  <c r="AN29" i="100" s="1"/>
  <c r="AG29" i="100"/>
  <c r="C29" i="100"/>
  <c r="B29" i="100"/>
  <c r="BU28" i="100"/>
  <c r="BT28" i="100"/>
  <c r="BS28" i="100"/>
  <c r="BR28" i="100"/>
  <c r="BQ28" i="100"/>
  <c r="BN28" i="100"/>
  <c r="BK28" i="100"/>
  <c r="I28" i="100" s="1"/>
  <c r="BJ28" i="100"/>
  <c r="H28" i="100" s="1"/>
  <c r="BF28" i="100" s="1"/>
  <c r="BI28" i="100"/>
  <c r="AK28" i="100" s="1"/>
  <c r="AM28" i="100" s="1"/>
  <c r="BH28" i="100"/>
  <c r="BG28" i="100"/>
  <c r="BE28" i="100"/>
  <c r="BD28" i="100"/>
  <c r="BC28" i="100"/>
  <c r="BB28" i="100"/>
  <c r="BA28" i="100"/>
  <c r="AZ28" i="100"/>
  <c r="AY28" i="100"/>
  <c r="AX28" i="100"/>
  <c r="AW28" i="100"/>
  <c r="AU28" i="100"/>
  <c r="AT28" i="100"/>
  <c r="AS28" i="100"/>
  <c r="AR28" i="100"/>
  <c r="AV28" i="100" s="1"/>
  <c r="AQ28" i="100"/>
  <c r="AP28" i="100"/>
  <c r="AO28" i="100"/>
  <c r="AL28" i="100"/>
  <c r="AJ28" i="100"/>
  <c r="AI28" i="100"/>
  <c r="AH28" i="100"/>
  <c r="AN28" i="100" s="1"/>
  <c r="AG28" i="100"/>
  <c r="G28" i="100"/>
  <c r="C28" i="100"/>
  <c r="B28" i="100"/>
  <c r="BU27" i="100"/>
  <c r="BT27" i="100"/>
  <c r="BS27" i="100"/>
  <c r="BR27" i="100"/>
  <c r="BQ27" i="100"/>
  <c r="BN27" i="100"/>
  <c r="BL27" i="100"/>
  <c r="BK27" i="100"/>
  <c r="I27" i="100" s="1"/>
  <c r="BJ27" i="100"/>
  <c r="H27" i="100" s="1"/>
  <c r="BF27" i="100" s="1"/>
  <c r="BI27" i="100"/>
  <c r="BM27" i="100" s="1"/>
  <c r="BH27" i="100"/>
  <c r="BG27" i="100"/>
  <c r="BE27" i="100"/>
  <c r="BD27" i="100"/>
  <c r="BC27" i="100"/>
  <c r="BB27" i="100"/>
  <c r="BA27" i="100"/>
  <c r="AZ27" i="100"/>
  <c r="AY27" i="100"/>
  <c r="AX27" i="100"/>
  <c r="AW27" i="100"/>
  <c r="AU27" i="100"/>
  <c r="AT27" i="100"/>
  <c r="AS27" i="100"/>
  <c r="AR27" i="100"/>
  <c r="AV27" i="100" s="1"/>
  <c r="AQ27" i="100"/>
  <c r="AP27" i="100"/>
  <c r="AO27" i="100"/>
  <c r="AL27" i="100"/>
  <c r="AJ27" i="100"/>
  <c r="AI27" i="100"/>
  <c r="AH27" i="100"/>
  <c r="AN27" i="100" s="1"/>
  <c r="AG27" i="100"/>
  <c r="G27" i="100"/>
  <c r="C27" i="100"/>
  <c r="B27" i="100"/>
  <c r="BU26" i="100"/>
  <c r="BT26" i="100"/>
  <c r="BS26" i="100"/>
  <c r="BR26" i="100"/>
  <c r="BQ26" i="100"/>
  <c r="BN26" i="100"/>
  <c r="BK26" i="100"/>
  <c r="I26" i="100" s="1"/>
  <c r="BJ26" i="100"/>
  <c r="H26" i="100" s="1"/>
  <c r="BF26" i="100" s="1"/>
  <c r="BI26" i="100"/>
  <c r="AK26" i="100" s="1"/>
  <c r="AM26" i="100" s="1"/>
  <c r="BH26" i="100"/>
  <c r="G26" i="100" s="1"/>
  <c r="BG26" i="100"/>
  <c r="BE26" i="100"/>
  <c r="BD26" i="100"/>
  <c r="BC26" i="100"/>
  <c r="BB26" i="100"/>
  <c r="BA26" i="100"/>
  <c r="AZ26" i="100"/>
  <c r="AY26" i="100"/>
  <c r="AX26" i="100"/>
  <c r="AW26" i="100"/>
  <c r="AU26" i="100"/>
  <c r="AT26" i="100"/>
  <c r="AS26" i="100"/>
  <c r="AR26" i="100"/>
  <c r="AV26" i="100" s="1"/>
  <c r="AQ26" i="100"/>
  <c r="AP26" i="100"/>
  <c r="AO26" i="100"/>
  <c r="AL26" i="100"/>
  <c r="AJ26" i="100"/>
  <c r="AI26" i="100"/>
  <c r="AH26" i="100"/>
  <c r="AN26" i="100" s="1"/>
  <c r="AG26" i="100"/>
  <c r="C26" i="100"/>
  <c r="B26" i="100"/>
  <c r="BU25" i="100"/>
  <c r="BT25" i="100"/>
  <c r="BS25" i="100"/>
  <c r="BR25" i="100"/>
  <c r="BQ25" i="100"/>
  <c r="BH25" i="100"/>
  <c r="BE25" i="100"/>
  <c r="BD25" i="100"/>
  <c r="BC25" i="100"/>
  <c r="AU25" i="100"/>
  <c r="AS25" i="100"/>
  <c r="AQ25" i="100"/>
  <c r="AO25" i="100"/>
  <c r="AL25" i="100"/>
  <c r="AH25" i="100"/>
  <c r="AN25" i="100" s="1"/>
  <c r="AG25" i="100"/>
  <c r="G25" i="100"/>
  <c r="BB25" i="100" s="1"/>
  <c r="BU24" i="100"/>
  <c r="BT24" i="100"/>
  <c r="BS24" i="100"/>
  <c r="BR24" i="100"/>
  <c r="BQ24" i="100"/>
  <c r="BL24" i="100"/>
  <c r="BH24" i="100"/>
  <c r="BE24" i="100"/>
  <c r="BD24" i="100"/>
  <c r="BC24" i="100"/>
  <c r="BB24" i="100"/>
  <c r="BA24" i="100"/>
  <c r="AU24" i="100"/>
  <c r="AS24" i="100"/>
  <c r="AQ24" i="100"/>
  <c r="AO24" i="100"/>
  <c r="AL24" i="100"/>
  <c r="AH24" i="100"/>
  <c r="AN24" i="100" s="1"/>
  <c r="AG24" i="100"/>
  <c r="G24" i="100"/>
  <c r="BK24" i="100" s="1"/>
  <c r="I24" i="100" s="1"/>
  <c r="BU23" i="100"/>
  <c r="BT23" i="100"/>
  <c r="BS23" i="100"/>
  <c r="BR23" i="100"/>
  <c r="BQ23" i="100"/>
  <c r="BH23" i="100"/>
  <c r="BE23" i="100"/>
  <c r="BD23" i="100"/>
  <c r="BC23" i="100"/>
  <c r="AU23" i="100"/>
  <c r="AS23" i="100"/>
  <c r="AQ23" i="100"/>
  <c r="AO23" i="100"/>
  <c r="AL23" i="100"/>
  <c r="AH23" i="100"/>
  <c r="AN23" i="100" s="1"/>
  <c r="AG23" i="100"/>
  <c r="BU22" i="100"/>
  <c r="BT22" i="100"/>
  <c r="BS22" i="100"/>
  <c r="BR22" i="100"/>
  <c r="BQ22" i="100"/>
  <c r="BH22" i="100"/>
  <c r="BE22" i="100"/>
  <c r="BD22" i="100"/>
  <c r="BC22" i="100"/>
  <c r="AU22" i="100"/>
  <c r="AS22" i="100"/>
  <c r="AQ22" i="100"/>
  <c r="AO22" i="100"/>
  <c r="AL22" i="100"/>
  <c r="AH22" i="100"/>
  <c r="AN22" i="100" s="1"/>
  <c r="AG22" i="100"/>
  <c r="G22" i="100"/>
  <c r="BB22" i="100" s="1"/>
  <c r="BU21" i="100"/>
  <c r="BT21" i="100"/>
  <c r="BS21" i="100"/>
  <c r="BR21" i="100"/>
  <c r="BQ21" i="100"/>
  <c r="BL21" i="100"/>
  <c r="BJ21" i="100"/>
  <c r="H21" i="100" s="1"/>
  <c r="BF21" i="100" s="1"/>
  <c r="BH21" i="100"/>
  <c r="BE21" i="100"/>
  <c r="BD21" i="100"/>
  <c r="BC21" i="100"/>
  <c r="BA21" i="100"/>
  <c r="AU21" i="100"/>
  <c r="AS21" i="100"/>
  <c r="AQ21" i="100"/>
  <c r="AO21" i="100"/>
  <c r="AL21" i="100"/>
  <c r="AH21" i="100"/>
  <c r="AN21" i="100" s="1"/>
  <c r="AG21" i="100"/>
  <c r="G21" i="100"/>
  <c r="BK21" i="100" s="1"/>
  <c r="I21" i="100" s="1"/>
  <c r="B21" i="100"/>
  <c r="BH20" i="100"/>
  <c r="BL20" i="100" s="1"/>
  <c r="BE20" i="100"/>
  <c r="BD20" i="100"/>
  <c r="BC20" i="100"/>
  <c r="BA20" i="100"/>
  <c r="AU20" i="100"/>
  <c r="AS20" i="100"/>
  <c r="AQ20" i="100"/>
  <c r="AO20" i="100"/>
  <c r="AL20" i="100"/>
  <c r="AH20" i="100"/>
  <c r="AN20" i="100" s="1"/>
  <c r="AG20" i="100"/>
  <c r="G20" i="100"/>
  <c r="BB20" i="100" s="1"/>
  <c r="BH19" i="100"/>
  <c r="BE19" i="100"/>
  <c r="BD19" i="100"/>
  <c r="BC19" i="100"/>
  <c r="AU19" i="100"/>
  <c r="AS19" i="100"/>
  <c r="AQ19" i="100"/>
  <c r="AO19" i="100"/>
  <c r="AL19" i="100"/>
  <c r="AH19" i="100"/>
  <c r="AN19" i="100" s="1"/>
  <c r="AG19" i="100"/>
  <c r="BH18" i="100"/>
  <c r="BE18" i="100"/>
  <c r="BD18" i="100"/>
  <c r="BC18" i="100"/>
  <c r="AU18" i="100"/>
  <c r="AS18" i="100"/>
  <c r="AQ18" i="100"/>
  <c r="AO18" i="100"/>
  <c r="AL18" i="100"/>
  <c r="AH18" i="100"/>
  <c r="AG18" i="100"/>
  <c r="BL17" i="100"/>
  <c r="BH17" i="100"/>
  <c r="BE17" i="100"/>
  <c r="BD17" i="100"/>
  <c r="BC17" i="100"/>
  <c r="BB17" i="100"/>
  <c r="BA17" i="100"/>
  <c r="AU17" i="100"/>
  <c r="AS17" i="100"/>
  <c r="AQ17" i="100"/>
  <c r="AO17" i="100"/>
  <c r="AL17" i="100"/>
  <c r="AH17" i="100"/>
  <c r="AN17" i="100" s="1"/>
  <c r="AG17" i="100"/>
  <c r="G17" i="100"/>
  <c r="BK17" i="100" s="1"/>
  <c r="I17" i="100" s="1"/>
  <c r="BJ16" i="100"/>
  <c r="H16" i="100" s="1"/>
  <c r="BF16" i="100" s="1"/>
  <c r="BH16" i="100"/>
  <c r="BL16" i="100" s="1"/>
  <c r="BE16" i="100"/>
  <c r="BD16" i="100"/>
  <c r="BC16" i="100"/>
  <c r="BA16" i="100"/>
  <c r="AU16" i="100"/>
  <c r="AS16" i="100"/>
  <c r="AQ16" i="100"/>
  <c r="AO16" i="100"/>
  <c r="AL16" i="100"/>
  <c r="AH16" i="100"/>
  <c r="AN16" i="100" s="1"/>
  <c r="AG16" i="100"/>
  <c r="G16" i="100"/>
  <c r="BB16" i="100" s="1"/>
  <c r="B16" i="100"/>
  <c r="BJ15" i="100"/>
  <c r="H15" i="100" s="1"/>
  <c r="BF15" i="100" s="1"/>
  <c r="BH15" i="100"/>
  <c r="BE15" i="100"/>
  <c r="BD15" i="100"/>
  <c r="BC15" i="100"/>
  <c r="AU15" i="100"/>
  <c r="AS15" i="100"/>
  <c r="AQ15" i="100"/>
  <c r="AO15" i="100"/>
  <c r="AL15" i="100"/>
  <c r="AH15" i="100"/>
  <c r="AN15" i="100" s="1"/>
  <c r="AG15" i="100"/>
  <c r="B15" i="100"/>
  <c r="BH14" i="100"/>
  <c r="BE14" i="100"/>
  <c r="BD14" i="100"/>
  <c r="BC14" i="100"/>
  <c r="AU14" i="100"/>
  <c r="AS14" i="100"/>
  <c r="AQ14" i="100"/>
  <c r="AL14" i="100"/>
  <c r="AH14" i="100"/>
  <c r="AG14" i="100"/>
  <c r="BL13" i="100"/>
  <c r="BH13" i="100"/>
  <c r="BE13" i="100"/>
  <c r="BD13" i="100"/>
  <c r="BC13" i="100"/>
  <c r="BA13" i="100"/>
  <c r="AU13" i="100"/>
  <c r="AS13" i="100"/>
  <c r="AQ13" i="100"/>
  <c r="AL13" i="100"/>
  <c r="AH13" i="100"/>
  <c r="AN13" i="100" s="1"/>
  <c r="AG13" i="100"/>
  <c r="G13" i="100"/>
  <c r="BH12" i="100"/>
  <c r="BL12" i="100" s="1"/>
  <c r="BE12" i="100"/>
  <c r="BD12" i="100"/>
  <c r="BC12" i="100"/>
  <c r="BA12" i="100"/>
  <c r="AU12" i="100"/>
  <c r="AS12" i="100"/>
  <c r="AQ12" i="100"/>
  <c r="AI12" i="100" s="1"/>
  <c r="C12" i="100" s="1"/>
  <c r="AL12" i="100"/>
  <c r="AH12" i="100"/>
  <c r="AN12" i="100" s="1"/>
  <c r="AG12" i="100"/>
  <c r="G12" i="100"/>
  <c r="BB12" i="100" s="1"/>
  <c r="BH11" i="100"/>
  <c r="BE11" i="100"/>
  <c r="BD11" i="100"/>
  <c r="BC11" i="100"/>
  <c r="AU11" i="100"/>
  <c r="AS11" i="100"/>
  <c r="AQ11" i="100"/>
  <c r="AL11" i="100"/>
  <c r="AH11" i="100"/>
  <c r="AN11" i="100" s="1"/>
  <c r="AG11" i="100"/>
  <c r="BH10" i="100"/>
  <c r="BE10" i="100"/>
  <c r="BD10" i="100"/>
  <c r="BC10" i="100"/>
  <c r="AU10" i="100"/>
  <c r="AS10" i="100"/>
  <c r="AQ10" i="100"/>
  <c r="AL10" i="100"/>
  <c r="AH10" i="100"/>
  <c r="AG10" i="100"/>
  <c r="BL9" i="100"/>
  <c r="BJ9" i="100"/>
  <c r="H9" i="100" s="1"/>
  <c r="BF9" i="100" s="1"/>
  <c r="BH9" i="100"/>
  <c r="BE9" i="100"/>
  <c r="BD9" i="100"/>
  <c r="BC9" i="100"/>
  <c r="BA9" i="100"/>
  <c r="AU9" i="100"/>
  <c r="AU41" i="100" s="1"/>
  <c r="AS9" i="100"/>
  <c r="AQ9" i="100"/>
  <c r="AL9" i="100"/>
  <c r="AH9" i="100"/>
  <c r="AN9" i="100" s="1"/>
  <c r="AG9" i="100"/>
  <c r="G9" i="100"/>
  <c r="BK9" i="100" s="1"/>
  <c r="I9" i="100" s="1"/>
  <c r="B9" i="100"/>
  <c r="BJ8" i="100"/>
  <c r="H8" i="100" s="1"/>
  <c r="BF8" i="100" s="1"/>
  <c r="BH8" i="100"/>
  <c r="BL8" i="100" s="1"/>
  <c r="BE8" i="100"/>
  <c r="BD8" i="100"/>
  <c r="BD4" i="100" s="1"/>
  <c r="BC8" i="100"/>
  <c r="BC4" i="100" s="1"/>
  <c r="BA8" i="100"/>
  <c r="AU8" i="100"/>
  <c r="AV43" i="100" s="1"/>
  <c r="AS8" i="100"/>
  <c r="AS41" i="100" s="1"/>
  <c r="AQ8" i="100"/>
  <c r="AQ41" i="100" s="1"/>
  <c r="AL8" i="100"/>
  <c r="AJ8" i="100"/>
  <c r="AH8" i="100"/>
  <c r="AN8" i="100" s="1"/>
  <c r="AG8" i="100"/>
  <c r="G8" i="100"/>
  <c r="BB8" i="100" s="1"/>
  <c r="B8" i="100"/>
  <c r="AV6" i="100"/>
  <c r="AV44" i="100" l="1"/>
  <c r="AN14" i="100"/>
  <c r="AK30" i="100"/>
  <c r="AM30" i="100" s="1"/>
  <c r="BM28" i="100"/>
  <c r="AN18" i="100"/>
  <c r="BK13" i="100"/>
  <c r="I13" i="100" s="1"/>
  <c r="BE4" i="100"/>
  <c r="BM34" i="100"/>
  <c r="AK33" i="100"/>
  <c r="AM33" i="100" s="1"/>
  <c r="AK38" i="100"/>
  <c r="AM38" i="100" s="1"/>
  <c r="AK27" i="100"/>
  <c r="AM27" i="100" s="1"/>
  <c r="AK37" i="100"/>
  <c r="AM37" i="100" s="1"/>
  <c r="AN10" i="100"/>
  <c r="AI13" i="100"/>
  <c r="C13" i="100" s="1"/>
  <c r="AI11" i="100"/>
  <c r="C11" i="100" s="1"/>
  <c r="E41" i="100"/>
  <c r="AV41" i="100"/>
  <c r="AV45" i="100" s="1"/>
  <c r="Q5" i="100"/>
  <c r="AI14" i="100"/>
  <c r="C14" i="100" s="1"/>
  <c r="AI10" i="100"/>
  <c r="C10" i="100" s="1"/>
  <c r="AR44" i="100"/>
  <c r="AI20" i="100" s="1"/>
  <c r="C20" i="100" s="1"/>
  <c r="B10" i="100"/>
  <c r="BL10" i="100"/>
  <c r="BL14" i="100"/>
  <c r="BL18" i="100"/>
  <c r="BL31" i="100"/>
  <c r="BL35" i="100"/>
  <c r="BL39" i="100"/>
  <c r="BL23" i="100"/>
  <c r="BL26" i="100"/>
  <c r="BL29" i="100"/>
  <c r="BM31" i="100"/>
  <c r="BM35" i="100"/>
  <c r="BM39" i="100"/>
  <c r="G10" i="100"/>
  <c r="G14" i="100"/>
  <c r="G18" i="100"/>
  <c r="AW22" i="100"/>
  <c r="BI22" i="100"/>
  <c r="BM22" i="100" s="1"/>
  <c r="AW25" i="100"/>
  <c r="BI25" i="100"/>
  <c r="AZ25" i="100" s="1"/>
  <c r="BM26" i="100"/>
  <c r="BM29" i="100"/>
  <c r="BB21" i="100"/>
  <c r="AW8" i="100"/>
  <c r="BI8" i="100"/>
  <c r="AZ8" i="100" s="1"/>
  <c r="BL11" i="100"/>
  <c r="AW12" i="100"/>
  <c r="BI12" i="100"/>
  <c r="AZ12" i="100" s="1"/>
  <c r="BL15" i="100"/>
  <c r="AW16" i="100"/>
  <c r="BI16" i="100"/>
  <c r="AZ16" i="100" s="1"/>
  <c r="BL19" i="100"/>
  <c r="AW20" i="100"/>
  <c r="BI20" i="100"/>
  <c r="AZ20" i="100" s="1"/>
  <c r="G23" i="100"/>
  <c r="BL32" i="100"/>
  <c r="BL36" i="100"/>
  <c r="BB13" i="100"/>
  <c r="AX8" i="100"/>
  <c r="AX12" i="100"/>
  <c r="AX16" i="100"/>
  <c r="AY22" i="100"/>
  <c r="BK22" i="100"/>
  <c r="I22" i="100" s="1"/>
  <c r="AY25" i="100"/>
  <c r="BK25" i="100"/>
  <c r="I25" i="100" s="1"/>
  <c r="BM32" i="100"/>
  <c r="BM36" i="100"/>
  <c r="BB9" i="100"/>
  <c r="AY8" i="100"/>
  <c r="BK8" i="100"/>
  <c r="I8" i="100" s="1"/>
  <c r="AJ9" i="100"/>
  <c r="G11" i="100"/>
  <c r="AY12" i="100"/>
  <c r="BK12" i="100"/>
  <c r="I12" i="100" s="1"/>
  <c r="G15" i="100"/>
  <c r="AY16" i="100"/>
  <c r="BK16" i="100"/>
  <c r="I16" i="100" s="1"/>
  <c r="G19" i="100"/>
  <c r="AY20" i="100"/>
  <c r="BK20" i="100"/>
  <c r="I20" i="100" s="1"/>
  <c r="BL22" i="100"/>
  <c r="BL25" i="100"/>
  <c r="BL28" i="100"/>
  <c r="AW9" i="100"/>
  <c r="BI9" i="100"/>
  <c r="AW13" i="100"/>
  <c r="BI13" i="100"/>
  <c r="AW17" i="100"/>
  <c r="BI17" i="100"/>
  <c r="AW21" i="100"/>
  <c r="BI21" i="100"/>
  <c r="BA22" i="100"/>
  <c r="AW24" i="100"/>
  <c r="BI24" i="100"/>
  <c r="BA25" i="100"/>
  <c r="AX9" i="100"/>
  <c r="AX13" i="100"/>
  <c r="AX21" i="100"/>
  <c r="AY9" i="100"/>
  <c r="AY13" i="100"/>
  <c r="AY17" i="100"/>
  <c r="AY21" i="100"/>
  <c r="AY24" i="100"/>
  <c r="AN41" i="100" l="1"/>
  <c r="AN6" i="100"/>
  <c r="BB15" i="100"/>
  <c r="BA15" i="100"/>
  <c r="BK15" i="100"/>
  <c r="I15" i="100" s="1"/>
  <c r="AY15" i="100"/>
  <c r="AX15" i="100"/>
  <c r="BI15" i="100"/>
  <c r="AZ15" i="100" s="1"/>
  <c r="AW15" i="100"/>
  <c r="BJ17" i="100"/>
  <c r="H17" i="100" s="1"/>
  <c r="BF17" i="100" s="1"/>
  <c r="AK17" i="100"/>
  <c r="AZ17" i="100"/>
  <c r="BM17" i="100"/>
  <c r="BN17" i="100"/>
  <c r="B11" i="100"/>
  <c r="AI22" i="100"/>
  <c r="C22" i="100" s="1"/>
  <c r="BN8" i="100"/>
  <c r="BM8" i="100"/>
  <c r="AO8" i="100"/>
  <c r="AK8" i="100"/>
  <c r="AZ21" i="100"/>
  <c r="AK21" i="100"/>
  <c r="BN21" i="100"/>
  <c r="BM21" i="100"/>
  <c r="BN12" i="100"/>
  <c r="AO12" i="100"/>
  <c r="BM12" i="100"/>
  <c r="BJ12" i="100"/>
  <c r="H12" i="100" s="1"/>
  <c r="BF12" i="100" s="1"/>
  <c r="AK12" i="100"/>
  <c r="AI23" i="100"/>
  <c r="C23" i="100" s="1"/>
  <c r="AI18" i="100"/>
  <c r="C18" i="100" s="1"/>
  <c r="AI19" i="100"/>
  <c r="C19" i="100" s="1"/>
  <c r="BN22" i="100"/>
  <c r="BJ22" i="100"/>
  <c r="H22" i="100" s="1"/>
  <c r="BF22" i="100" s="1"/>
  <c r="AK22" i="100"/>
  <c r="AW18" i="100"/>
  <c r="AY18" i="100"/>
  <c r="BB18" i="100"/>
  <c r="BK18" i="100"/>
  <c r="I18" i="100" s="1"/>
  <c r="BA18" i="100"/>
  <c r="BI18" i="100"/>
  <c r="AZ18" i="100" s="1"/>
  <c r="AJ10" i="100"/>
  <c r="AJ11" i="100" s="1"/>
  <c r="AJ12" i="100" s="1"/>
  <c r="AJ13" i="100" s="1"/>
  <c r="AJ14" i="100" s="1"/>
  <c r="AJ15" i="100" s="1"/>
  <c r="BN20" i="100"/>
  <c r="BM20" i="100"/>
  <c r="BJ20" i="100"/>
  <c r="H20" i="100" s="1"/>
  <c r="BF20" i="100" s="1"/>
  <c r="AK20" i="100"/>
  <c r="BI14" i="100"/>
  <c r="AZ14" i="100" s="1"/>
  <c r="AW14" i="100"/>
  <c r="AY14" i="100"/>
  <c r="BK14" i="100"/>
  <c r="I14" i="100" s="1"/>
  <c r="BB14" i="100"/>
  <c r="BA14" i="100"/>
  <c r="AX14" i="100"/>
  <c r="BN25" i="100"/>
  <c r="BJ25" i="100"/>
  <c r="H25" i="100" s="1"/>
  <c r="BF25" i="100" s="1"/>
  <c r="AK25" i="100"/>
  <c r="AW23" i="100"/>
  <c r="BI23" i="100"/>
  <c r="AZ23" i="100" s="1"/>
  <c r="BB23" i="100"/>
  <c r="BA23" i="100"/>
  <c r="BK23" i="100"/>
  <c r="I23" i="100" s="1"/>
  <c r="AY23" i="100"/>
  <c r="BB11" i="100"/>
  <c r="BA11" i="100"/>
  <c r="BK11" i="100"/>
  <c r="I11" i="100" s="1"/>
  <c r="AY11" i="100"/>
  <c r="AX11" i="100"/>
  <c r="BI11" i="100"/>
  <c r="AZ11" i="100" s="1"/>
  <c r="AW11" i="100"/>
  <c r="BJ13" i="100"/>
  <c r="H13" i="100" s="1"/>
  <c r="BF13" i="100" s="1"/>
  <c r="AK13" i="100"/>
  <c r="BM13" i="100"/>
  <c r="AO13" i="100"/>
  <c r="BN13" i="100"/>
  <c r="AZ13" i="100"/>
  <c r="AZ22" i="100"/>
  <c r="BI10" i="100"/>
  <c r="AZ10" i="100" s="1"/>
  <c r="BK10" i="100"/>
  <c r="I10" i="100" s="1"/>
  <c r="AX10" i="100"/>
  <c r="AY10" i="100"/>
  <c r="BB10" i="100"/>
  <c r="BB4" i="100" s="1"/>
  <c r="BA10" i="100"/>
  <c r="AW10" i="100"/>
  <c r="AI24" i="100"/>
  <c r="C24" i="100" s="1"/>
  <c r="AI25" i="100"/>
  <c r="C25" i="100" s="1"/>
  <c r="BJ24" i="100"/>
  <c r="H24" i="100" s="1"/>
  <c r="BF24" i="100" s="1"/>
  <c r="AK24" i="100"/>
  <c r="BM24" i="100"/>
  <c r="BN24" i="100"/>
  <c r="AZ24" i="100"/>
  <c r="BN16" i="100"/>
  <c r="BM16" i="100"/>
  <c r="AK16" i="100"/>
  <c r="BM25" i="100"/>
  <c r="AK9" i="100"/>
  <c r="BM9" i="100"/>
  <c r="AO9" i="100"/>
  <c r="AZ9" i="100"/>
  <c r="BN9" i="100"/>
  <c r="BB19" i="100"/>
  <c r="BA19" i="100"/>
  <c r="BK19" i="100"/>
  <c r="I19" i="100" s="1"/>
  <c r="AY19" i="100"/>
  <c r="BI19" i="100"/>
  <c r="AZ19" i="100" s="1"/>
  <c r="AW19" i="100"/>
  <c r="AI17" i="100"/>
  <c r="C17" i="100" s="1"/>
  <c r="AY4" i="100" l="1"/>
  <c r="H41" i="100" s="1"/>
  <c r="AM9" i="100"/>
  <c r="AP9" i="100" s="1"/>
  <c r="BG9" i="100" s="1"/>
  <c r="AT9" i="100"/>
  <c r="AR9" i="100"/>
  <c r="AV9" i="100" s="1"/>
  <c r="BJ19" i="100"/>
  <c r="H19" i="100" s="1"/>
  <c r="BF19" i="100" s="1"/>
  <c r="AK19" i="100"/>
  <c r="BN19" i="100"/>
  <c r="BM19" i="100"/>
  <c r="B12" i="100"/>
  <c r="B13" i="100" s="1"/>
  <c r="AM16" i="100"/>
  <c r="AP16" i="100" s="1"/>
  <c r="BG16" i="100" s="1"/>
  <c r="AT16" i="100"/>
  <c r="AR16" i="100"/>
  <c r="AV16" i="100" s="1"/>
  <c r="AM13" i="100"/>
  <c r="AT13" i="100"/>
  <c r="AR13" i="100"/>
  <c r="AV13" i="100" s="1"/>
  <c r="BA4" i="100"/>
  <c r="AM22" i="100"/>
  <c r="AT22" i="100"/>
  <c r="AR22" i="100"/>
  <c r="AV22" i="100" s="1"/>
  <c r="AX22" i="100"/>
  <c r="AR25" i="100"/>
  <c r="AV25" i="100" s="1"/>
  <c r="AM25" i="100"/>
  <c r="AT25" i="100"/>
  <c r="AX25" i="100"/>
  <c r="AK15" i="100"/>
  <c r="BM15" i="100"/>
  <c r="BN15" i="100"/>
  <c r="AM20" i="100"/>
  <c r="AT20" i="100"/>
  <c r="AR20" i="100"/>
  <c r="AV20" i="100" s="1"/>
  <c r="AX20" i="100"/>
  <c r="AM12" i="100"/>
  <c r="AR12" i="100"/>
  <c r="AV12" i="100" s="1"/>
  <c r="AT12" i="100"/>
  <c r="AO11" i="100"/>
  <c r="BJ11" i="100"/>
  <c r="H11" i="100" s="1"/>
  <c r="BF11" i="100" s="1"/>
  <c r="AK11" i="100"/>
  <c r="BM11" i="100"/>
  <c r="BN11" i="100"/>
  <c r="AZ4" i="100"/>
  <c r="AK23" i="100"/>
  <c r="BJ23" i="100"/>
  <c r="H23" i="100" s="1"/>
  <c r="BF23" i="100" s="1"/>
  <c r="BN23" i="100"/>
  <c r="BM23" i="100"/>
  <c r="AM21" i="100"/>
  <c r="AP21" i="100" s="1"/>
  <c r="BG21" i="100" s="1"/>
  <c r="AT21" i="100"/>
  <c r="AR21" i="100"/>
  <c r="AV21" i="100" s="1"/>
  <c r="AK14" i="100"/>
  <c r="BJ14" i="100"/>
  <c r="H14" i="100" s="1"/>
  <c r="BF14" i="100" s="1"/>
  <c r="AO14" i="100"/>
  <c r="BN14" i="100"/>
  <c r="BM14" i="100"/>
  <c r="AJ16" i="100"/>
  <c r="AM17" i="100"/>
  <c r="AT17" i="100"/>
  <c r="AR17" i="100"/>
  <c r="AV17" i="100" s="1"/>
  <c r="AX17" i="100"/>
  <c r="AM24" i="100"/>
  <c r="AT24" i="100"/>
  <c r="AR24" i="100"/>
  <c r="AV24" i="100" s="1"/>
  <c r="AX24" i="100"/>
  <c r="AK10" i="100"/>
  <c r="BJ10" i="100"/>
  <c r="H10" i="100" s="1"/>
  <c r="AO10" i="100"/>
  <c r="BM10" i="100"/>
  <c r="BN10" i="100"/>
  <c r="AK18" i="100"/>
  <c r="BJ18" i="100"/>
  <c r="H18" i="100" s="1"/>
  <c r="BF18" i="100" s="1"/>
  <c r="BM18" i="100"/>
  <c r="BN18" i="100"/>
  <c r="AR8" i="100"/>
  <c r="AM8" i="100"/>
  <c r="AT8" i="100"/>
  <c r="AP13" i="100" l="1"/>
  <c r="BG13" i="100" s="1"/>
  <c r="B14" i="100"/>
  <c r="AP14" i="100" s="1"/>
  <c r="BG14" i="100" s="1"/>
  <c r="AR19" i="100"/>
  <c r="AV19" i="100" s="1"/>
  <c r="AM19" i="100"/>
  <c r="AT19" i="100"/>
  <c r="AX19" i="100"/>
  <c r="AR15" i="100"/>
  <c r="AV15" i="100" s="1"/>
  <c r="AT15" i="100"/>
  <c r="AM15" i="100"/>
  <c r="AP15" i="100" s="1"/>
  <c r="BG15" i="100" s="1"/>
  <c r="AP12" i="100"/>
  <c r="BG12" i="100" s="1"/>
  <c r="AJ17" i="100"/>
  <c r="B17" i="100"/>
  <c r="AP17" i="100" s="1"/>
  <c r="BG17" i="100" s="1"/>
  <c r="AT11" i="100"/>
  <c r="AR11" i="100"/>
  <c r="AV11" i="100" s="1"/>
  <c r="AM11" i="100"/>
  <c r="AT14" i="100"/>
  <c r="AR14" i="100"/>
  <c r="AV14" i="100" s="1"/>
  <c r="AM14" i="100"/>
  <c r="AT18" i="100"/>
  <c r="AM18" i="100"/>
  <c r="AR18" i="100"/>
  <c r="AV18" i="100" s="1"/>
  <c r="AX18" i="100"/>
  <c r="BF10" i="100"/>
  <c r="AP10" i="100"/>
  <c r="BG10" i="100" s="1"/>
  <c r="AT10" i="100"/>
  <c r="AR10" i="100"/>
  <c r="AV10" i="100" s="1"/>
  <c r="AM10" i="100"/>
  <c r="AT23" i="100"/>
  <c r="AR23" i="100"/>
  <c r="AV23" i="100" s="1"/>
  <c r="AM23" i="100"/>
  <c r="AX23" i="100"/>
  <c r="AP11" i="100"/>
  <c r="BG11" i="100" s="1"/>
  <c r="AV8" i="100"/>
  <c r="AP8" i="100"/>
  <c r="BG8" i="100" s="1"/>
  <c r="AM6" i="100" l="1"/>
  <c r="J41" i="100" s="1"/>
  <c r="AM41" i="100"/>
  <c r="AT41" i="100"/>
  <c r="F41" i="100"/>
  <c r="U47" i="100" s="1"/>
  <c r="U49" i="100" s="1"/>
  <c r="Q6" i="100"/>
  <c r="AW4" i="100"/>
  <c r="AR41" i="100"/>
  <c r="AR45" i="100" s="1"/>
  <c r="AX4" i="100"/>
  <c r="AJ18" i="100"/>
  <c r="B18" i="100"/>
  <c r="AP18" i="100" s="1"/>
  <c r="BG18" i="100" s="1"/>
  <c r="B19" i="100"/>
  <c r="AP19" i="100" s="1"/>
  <c r="BG19" i="100" s="1"/>
  <c r="AJ19" i="100" l="1"/>
  <c r="B20" i="100"/>
  <c r="U44" i="100"/>
  <c r="O40" i="100" s="1"/>
  <c r="U45" i="100"/>
  <c r="Q40" i="100" s="1"/>
  <c r="AR46" i="100"/>
  <c r="B41" i="100" s="1"/>
  <c r="AP20" i="100" l="1"/>
  <c r="BG20" i="100" s="1"/>
  <c r="B22" i="100"/>
  <c r="AJ20" i="100"/>
  <c r="AJ21" i="100" l="1"/>
  <c r="AP22" i="100"/>
  <c r="BG22" i="100" s="1"/>
  <c r="B23" i="100"/>
  <c r="AJ22" i="100" l="1"/>
  <c r="AP23" i="100"/>
  <c r="BG23" i="100" s="1"/>
  <c r="B24" i="100"/>
  <c r="AJ23" i="100" l="1"/>
  <c r="AP24" i="100"/>
  <c r="BG24" i="100" s="1"/>
  <c r="B25" i="100"/>
  <c r="AP25" i="100" s="1"/>
  <c r="BG25" i="100" s="1"/>
  <c r="AJ24" i="100" l="1"/>
  <c r="AJ25" i="100" l="1"/>
  <c r="AI16" i="100"/>
  <c r="C16" i="100" s="1"/>
  <c r="AI15" i="100" l="1"/>
  <c r="C15" i="100" s="1"/>
  <c r="AI8" i="100"/>
  <c r="C8" i="100" s="1"/>
  <c r="AI9" i="100"/>
  <c r="AI21" i="100"/>
  <c r="C21" i="100" s="1"/>
  <c r="U48" i="96"/>
  <c r="BE43" i="96"/>
  <c r="AT43" i="96"/>
  <c r="AT44" i="96" s="1"/>
  <c r="AR44" i="96" s="1"/>
  <c r="BN39" i="96"/>
  <c r="BK39" i="96"/>
  <c r="I39" i="96" s="1"/>
  <c r="BJ39" i="96"/>
  <c r="H39" i="96" s="1"/>
  <c r="BF39" i="96" s="1"/>
  <c r="BI39" i="96"/>
  <c r="AK39" i="96" s="1"/>
  <c r="AM39" i="96" s="1"/>
  <c r="BH39" i="96"/>
  <c r="BG39" i="96"/>
  <c r="BE39" i="96"/>
  <c r="BD39" i="96"/>
  <c r="BC39" i="96"/>
  <c r="BB39" i="96"/>
  <c r="BA39" i="96"/>
  <c r="AZ39" i="96"/>
  <c r="AY39" i="96"/>
  <c r="AX39" i="96"/>
  <c r="AW39" i="96"/>
  <c r="AU39" i="96"/>
  <c r="AT39" i="96"/>
  <c r="AS39" i="96"/>
  <c r="AR39" i="96"/>
  <c r="AV39" i="96" s="1"/>
  <c r="AQ39" i="96"/>
  <c r="AP39" i="96"/>
  <c r="AO39" i="96"/>
  <c r="AL39" i="96"/>
  <c r="AJ39" i="96"/>
  <c r="AI39" i="96"/>
  <c r="AH39" i="96"/>
  <c r="AN39" i="96" s="1"/>
  <c r="AG39" i="96"/>
  <c r="G39" i="96"/>
  <c r="C39" i="96"/>
  <c r="B39" i="96"/>
  <c r="BN38" i="96"/>
  <c r="BK38" i="96"/>
  <c r="I38" i="96" s="1"/>
  <c r="BJ38" i="96"/>
  <c r="H38" i="96" s="1"/>
  <c r="BF38" i="96" s="1"/>
  <c r="BI38" i="96"/>
  <c r="AK38" i="96" s="1"/>
  <c r="AM38" i="96" s="1"/>
  <c r="BH38" i="96"/>
  <c r="BG38" i="96"/>
  <c r="BE38" i="96"/>
  <c r="BD38" i="96"/>
  <c r="BC38" i="96"/>
  <c r="BB38" i="96"/>
  <c r="BA38" i="96"/>
  <c r="AZ38" i="96"/>
  <c r="AY38" i="96"/>
  <c r="AX38" i="96"/>
  <c r="AW38" i="96"/>
  <c r="AU38" i="96"/>
  <c r="AT38" i="96"/>
  <c r="AS38" i="96"/>
  <c r="AR38" i="96"/>
  <c r="AV38" i="96" s="1"/>
  <c r="AQ38" i="96"/>
  <c r="AP38" i="96"/>
  <c r="AO38" i="96"/>
  <c r="AL38" i="96"/>
  <c r="AJ38" i="96"/>
  <c r="AI38" i="96"/>
  <c r="AH38" i="96"/>
  <c r="AN38" i="96" s="1"/>
  <c r="AG38" i="96"/>
  <c r="C38" i="96"/>
  <c r="B38" i="96"/>
  <c r="BN37" i="96"/>
  <c r="BK37" i="96"/>
  <c r="I37" i="96" s="1"/>
  <c r="BJ37" i="96"/>
  <c r="H37" i="96" s="1"/>
  <c r="BF37" i="96" s="1"/>
  <c r="BI37" i="96"/>
  <c r="AK37" i="96" s="1"/>
  <c r="AM37" i="96" s="1"/>
  <c r="BH37" i="96"/>
  <c r="BG37" i="96"/>
  <c r="BE37" i="96"/>
  <c r="BD37" i="96"/>
  <c r="BC37" i="96"/>
  <c r="BB37" i="96"/>
  <c r="BA37" i="96"/>
  <c r="AZ37" i="96"/>
  <c r="AY37" i="96"/>
  <c r="AX37" i="96"/>
  <c r="AW37" i="96"/>
  <c r="AU37" i="96"/>
  <c r="AT37" i="96"/>
  <c r="AS37" i="96"/>
  <c r="AR37" i="96"/>
  <c r="AV37" i="96" s="1"/>
  <c r="AQ37" i="96"/>
  <c r="AP37" i="96"/>
  <c r="AO37" i="96"/>
  <c r="AL37" i="96"/>
  <c r="AJ37" i="96"/>
  <c r="AI37" i="96"/>
  <c r="AH37" i="96"/>
  <c r="AN37" i="96" s="1"/>
  <c r="AG37" i="96"/>
  <c r="C37" i="96"/>
  <c r="B37" i="96"/>
  <c r="BN36" i="96"/>
  <c r="BL36" i="96"/>
  <c r="BK36" i="96"/>
  <c r="I36" i="96" s="1"/>
  <c r="BJ36" i="96"/>
  <c r="H36" i="96" s="1"/>
  <c r="BF36" i="96" s="1"/>
  <c r="BI36" i="96"/>
  <c r="BM36" i="96" s="1"/>
  <c r="BH36" i="96"/>
  <c r="BG36" i="96"/>
  <c r="BE36" i="96"/>
  <c r="BD36" i="96"/>
  <c r="BC36" i="96"/>
  <c r="BB36" i="96"/>
  <c r="BA36" i="96"/>
  <c r="AZ36" i="96"/>
  <c r="AY36" i="96"/>
  <c r="AX36" i="96"/>
  <c r="AW36" i="96"/>
  <c r="AU36" i="96"/>
  <c r="AT36" i="96"/>
  <c r="AS36" i="96"/>
  <c r="AR36" i="96"/>
  <c r="AV36" i="96" s="1"/>
  <c r="AQ36" i="96"/>
  <c r="AP36" i="96"/>
  <c r="AO36" i="96"/>
  <c r="AL36" i="96"/>
  <c r="AJ36" i="96"/>
  <c r="AI36" i="96"/>
  <c r="AH36" i="96"/>
  <c r="AN36" i="96" s="1"/>
  <c r="AG36" i="96"/>
  <c r="G36" i="96"/>
  <c r="C36" i="96"/>
  <c r="B36" i="96"/>
  <c r="BN35" i="96"/>
  <c r="BK35" i="96"/>
  <c r="I35" i="96" s="1"/>
  <c r="BJ35" i="96"/>
  <c r="H35" i="96" s="1"/>
  <c r="BF35" i="96" s="1"/>
  <c r="BI35" i="96"/>
  <c r="AK35" i="96" s="1"/>
  <c r="AM35" i="96" s="1"/>
  <c r="BH35" i="96"/>
  <c r="BG35" i="96"/>
  <c r="BE35" i="96"/>
  <c r="BD35" i="96"/>
  <c r="BC35" i="96"/>
  <c r="BB35" i="96"/>
  <c r="BA35" i="96"/>
  <c r="AZ35" i="96"/>
  <c r="AY35" i="96"/>
  <c r="AX35" i="96"/>
  <c r="AW35" i="96"/>
  <c r="AU35" i="96"/>
  <c r="AT35" i="96"/>
  <c r="AS35" i="96"/>
  <c r="AR35" i="96"/>
  <c r="AV35" i="96" s="1"/>
  <c r="AQ35" i="96"/>
  <c r="AP35" i="96"/>
  <c r="AO35" i="96"/>
  <c r="AL35" i="96"/>
  <c r="AJ35" i="96"/>
  <c r="AI35" i="96"/>
  <c r="AH35" i="96"/>
  <c r="AN35" i="96" s="1"/>
  <c r="AG35" i="96"/>
  <c r="G35" i="96"/>
  <c r="C35" i="96"/>
  <c r="B35" i="96"/>
  <c r="BN34" i="96"/>
  <c r="BK34" i="96"/>
  <c r="I34" i="96" s="1"/>
  <c r="BJ34" i="96"/>
  <c r="H34" i="96" s="1"/>
  <c r="BF34" i="96" s="1"/>
  <c r="BI34" i="96"/>
  <c r="AK34" i="96" s="1"/>
  <c r="AM34" i="96" s="1"/>
  <c r="BH34" i="96"/>
  <c r="BG34" i="96"/>
  <c r="BE34" i="96"/>
  <c r="BD34" i="96"/>
  <c r="BC34" i="96"/>
  <c r="BB34" i="96"/>
  <c r="BA34" i="96"/>
  <c r="AZ34" i="96"/>
  <c r="AY34" i="96"/>
  <c r="AX34" i="96"/>
  <c r="AW34" i="96"/>
  <c r="AU34" i="96"/>
  <c r="AT34" i="96"/>
  <c r="AS34" i="96"/>
  <c r="AR34" i="96"/>
  <c r="AV34" i="96" s="1"/>
  <c r="AQ34" i="96"/>
  <c r="AP34" i="96"/>
  <c r="AO34" i="96"/>
  <c r="AL34" i="96"/>
  <c r="AJ34" i="96"/>
  <c r="AI34" i="96"/>
  <c r="AH34" i="96"/>
  <c r="AN34" i="96" s="1"/>
  <c r="AG34" i="96"/>
  <c r="C34" i="96"/>
  <c r="B34" i="96"/>
  <c r="BH33" i="96"/>
  <c r="BE33" i="96"/>
  <c r="BD33" i="96"/>
  <c r="BC33" i="96"/>
  <c r="AU33" i="96"/>
  <c r="AS33" i="96"/>
  <c r="AQ33" i="96"/>
  <c r="AO33" i="96"/>
  <c r="AL33" i="96"/>
  <c r="AH33" i="96"/>
  <c r="AG33" i="96"/>
  <c r="BL32" i="96"/>
  <c r="BJ32" i="96"/>
  <c r="H32" i="96" s="1"/>
  <c r="BF32" i="96" s="1"/>
  <c r="BH32" i="96"/>
  <c r="BE32" i="96"/>
  <c r="BD32" i="96"/>
  <c r="BC32" i="96"/>
  <c r="AY32" i="96"/>
  <c r="AU32" i="96"/>
  <c r="AS32" i="96"/>
  <c r="AQ32" i="96"/>
  <c r="AO32" i="96"/>
  <c r="AL32" i="96"/>
  <c r="AH32" i="96"/>
  <c r="AN32" i="96" s="1"/>
  <c r="AG32" i="96"/>
  <c r="G32" i="96"/>
  <c r="BK32" i="96" s="1"/>
  <c r="I32" i="96" s="1"/>
  <c r="B32" i="96"/>
  <c r="BH31" i="96"/>
  <c r="BE31" i="96"/>
  <c r="BD31" i="96"/>
  <c r="BC31" i="96"/>
  <c r="BB31" i="96"/>
  <c r="AU31" i="96"/>
  <c r="AS31" i="96"/>
  <c r="AQ31" i="96"/>
  <c r="AO31" i="96"/>
  <c r="AL31" i="96"/>
  <c r="AH31" i="96"/>
  <c r="AG31" i="96"/>
  <c r="G31" i="96"/>
  <c r="BH30" i="96"/>
  <c r="BD30" i="96"/>
  <c r="BC30" i="96"/>
  <c r="AU30" i="96"/>
  <c r="AS30" i="96"/>
  <c r="AQ30" i="96"/>
  <c r="AO30" i="96"/>
  <c r="AL30" i="96"/>
  <c r="AH30" i="96"/>
  <c r="AG30" i="96"/>
  <c r="BU29" i="96"/>
  <c r="BT29" i="96"/>
  <c r="BS29" i="96"/>
  <c r="BR29" i="96"/>
  <c r="BQ29" i="96"/>
  <c r="BH29" i="96"/>
  <c r="BL29" i="96" s="1"/>
  <c r="BE29" i="96"/>
  <c r="BD29" i="96"/>
  <c r="BC29" i="96"/>
  <c r="AU29" i="96"/>
  <c r="AS29" i="96"/>
  <c r="AQ29" i="96"/>
  <c r="AO29" i="96"/>
  <c r="AL29" i="96"/>
  <c r="AH29" i="96"/>
  <c r="AG29" i="96"/>
  <c r="G29" i="96"/>
  <c r="BU28" i="96"/>
  <c r="BT28" i="96"/>
  <c r="BS28" i="96"/>
  <c r="BR28" i="96"/>
  <c r="BQ28" i="96"/>
  <c r="BL28" i="96"/>
  <c r="BH28" i="96"/>
  <c r="BE28" i="96"/>
  <c r="BD28" i="96"/>
  <c r="BC28" i="96"/>
  <c r="AW28" i="96"/>
  <c r="AU28" i="96"/>
  <c r="AS28" i="96"/>
  <c r="AQ28" i="96"/>
  <c r="AO28" i="96"/>
  <c r="AL28" i="96"/>
  <c r="AH28" i="96"/>
  <c r="AG28" i="96"/>
  <c r="G28" i="96"/>
  <c r="BI28" i="96" s="1"/>
  <c r="BU27" i="96"/>
  <c r="BT27" i="96"/>
  <c r="BS27" i="96"/>
  <c r="BR27" i="96"/>
  <c r="BQ27" i="96"/>
  <c r="BL27" i="96"/>
  <c r="BH27" i="96"/>
  <c r="BE27" i="96"/>
  <c r="BD27" i="96"/>
  <c r="BC27" i="96"/>
  <c r="AU27" i="96"/>
  <c r="AS27" i="96"/>
  <c r="AQ27" i="96"/>
  <c r="AO27" i="96"/>
  <c r="AL27" i="96"/>
  <c r="AH27" i="96"/>
  <c r="AG27" i="96"/>
  <c r="BU26" i="96"/>
  <c r="BT26" i="96"/>
  <c r="BS26" i="96"/>
  <c r="BR26" i="96"/>
  <c r="BQ26" i="96"/>
  <c r="BH26" i="96"/>
  <c r="BL26" i="96" s="1"/>
  <c r="BE26" i="96"/>
  <c r="BD26" i="96"/>
  <c r="BC26" i="96"/>
  <c r="AU26" i="96"/>
  <c r="AS26" i="96"/>
  <c r="AQ26" i="96"/>
  <c r="AO26" i="96"/>
  <c r="AL26" i="96"/>
  <c r="AH26" i="96"/>
  <c r="AG26" i="96"/>
  <c r="G26" i="96"/>
  <c r="BU25" i="96"/>
  <c r="BT25" i="96"/>
  <c r="BS25" i="96"/>
  <c r="BR25" i="96"/>
  <c r="BQ25" i="96"/>
  <c r="BL25" i="96"/>
  <c r="BH25" i="96"/>
  <c r="BE25" i="96"/>
  <c r="BD25" i="96"/>
  <c r="BC25" i="96"/>
  <c r="AU25" i="96"/>
  <c r="AS25" i="96"/>
  <c r="AQ25" i="96"/>
  <c r="AO25" i="96"/>
  <c r="AL25" i="96"/>
  <c r="AH25" i="96"/>
  <c r="AG25" i="96"/>
  <c r="G25" i="96"/>
  <c r="AY25" i="96" s="1"/>
  <c r="BU24" i="96"/>
  <c r="BT24" i="96"/>
  <c r="BS24" i="96"/>
  <c r="BR24" i="96"/>
  <c r="BQ24" i="96"/>
  <c r="BH24" i="96"/>
  <c r="BE24" i="96"/>
  <c r="BD24" i="96"/>
  <c r="BC24" i="96"/>
  <c r="AU24" i="96"/>
  <c r="AS24" i="96"/>
  <c r="AQ24" i="96"/>
  <c r="AO24" i="96"/>
  <c r="AL24" i="96"/>
  <c r="AH24" i="96"/>
  <c r="AG24" i="96"/>
  <c r="BU23" i="96"/>
  <c r="BT23" i="96"/>
  <c r="BS23" i="96"/>
  <c r="BR23" i="96"/>
  <c r="BQ23" i="96"/>
  <c r="BH23" i="96"/>
  <c r="BL23" i="96" s="1"/>
  <c r="BE23" i="96"/>
  <c r="BD23" i="96"/>
  <c r="BC23" i="96"/>
  <c r="AU23" i="96"/>
  <c r="AS23" i="96"/>
  <c r="AQ23" i="96"/>
  <c r="AO23" i="96"/>
  <c r="AL23" i="96"/>
  <c r="AH23" i="96"/>
  <c r="AN23" i="96" s="1"/>
  <c r="AG23" i="96"/>
  <c r="BU22" i="96"/>
  <c r="BT22" i="96"/>
  <c r="BS22" i="96"/>
  <c r="BR22" i="96"/>
  <c r="BQ22" i="96"/>
  <c r="BL22" i="96"/>
  <c r="BK22" i="96"/>
  <c r="I22" i="96" s="1"/>
  <c r="BH22" i="96"/>
  <c r="BE22" i="96"/>
  <c r="BD22" i="96"/>
  <c r="BC22" i="96"/>
  <c r="BB22" i="96"/>
  <c r="AY22" i="96"/>
  <c r="AW22" i="96"/>
  <c r="AU22" i="96"/>
  <c r="AS22" i="96"/>
  <c r="AQ22" i="96"/>
  <c r="AO22" i="96"/>
  <c r="AL22" i="96"/>
  <c r="AH22" i="96"/>
  <c r="AN22" i="96" s="1"/>
  <c r="AG22" i="96"/>
  <c r="G22" i="96"/>
  <c r="BA22" i="96" s="1"/>
  <c r="BU21" i="96"/>
  <c r="BT21" i="96"/>
  <c r="BS21" i="96"/>
  <c r="BR21" i="96"/>
  <c r="BQ21" i="96"/>
  <c r="BJ21" i="96"/>
  <c r="H21" i="96" s="1"/>
  <c r="BF21" i="96" s="1"/>
  <c r="BH21" i="96"/>
  <c r="BE21" i="96"/>
  <c r="BD21" i="96"/>
  <c r="BC21" i="96"/>
  <c r="AU21" i="96"/>
  <c r="AS21" i="96"/>
  <c r="AQ21" i="96"/>
  <c r="AO21" i="96"/>
  <c r="AL21" i="96"/>
  <c r="AH21" i="96"/>
  <c r="AN21" i="96" s="1"/>
  <c r="AG21" i="96"/>
  <c r="B21" i="96"/>
  <c r="BL20" i="96"/>
  <c r="BH20" i="96"/>
  <c r="BE20" i="96"/>
  <c r="BD20" i="96"/>
  <c r="BC20" i="96"/>
  <c r="AU20" i="96"/>
  <c r="AS20" i="96"/>
  <c r="AQ20" i="96"/>
  <c r="AO20" i="96"/>
  <c r="AL20" i="96"/>
  <c r="AH20" i="96"/>
  <c r="AN20" i="96" s="1"/>
  <c r="AG20" i="96"/>
  <c r="BL19" i="96"/>
  <c r="BH19" i="96"/>
  <c r="BE19" i="96"/>
  <c r="BD19" i="96"/>
  <c r="BC19" i="96"/>
  <c r="BB19" i="96"/>
  <c r="BA19" i="96"/>
  <c r="AY19" i="96"/>
  <c r="AU19" i="96"/>
  <c r="AS19" i="96"/>
  <c r="AQ19" i="96"/>
  <c r="AO19" i="96"/>
  <c r="AL19" i="96"/>
  <c r="AH19" i="96"/>
  <c r="AG19" i="96"/>
  <c r="G19" i="96"/>
  <c r="BH18" i="96"/>
  <c r="BE18" i="96"/>
  <c r="BD18" i="96"/>
  <c r="BC18" i="96"/>
  <c r="AU18" i="96"/>
  <c r="AS18" i="96"/>
  <c r="AQ18" i="96"/>
  <c r="AO18" i="96"/>
  <c r="AL18" i="96"/>
  <c r="AH18" i="96"/>
  <c r="AN18" i="96" s="1"/>
  <c r="AG18" i="96"/>
  <c r="G18" i="96"/>
  <c r="BI18" i="96" s="1"/>
  <c r="BL17" i="96"/>
  <c r="BH17" i="96"/>
  <c r="BE17" i="96"/>
  <c r="BD17" i="96"/>
  <c r="BC17" i="96"/>
  <c r="AU17" i="96"/>
  <c r="AS17" i="96"/>
  <c r="AQ17" i="96"/>
  <c r="AO17" i="96"/>
  <c r="AL17" i="96"/>
  <c r="AH17" i="96"/>
  <c r="AG17" i="96"/>
  <c r="BH16" i="96"/>
  <c r="BE16" i="96"/>
  <c r="BD16" i="96"/>
  <c r="BC16" i="96"/>
  <c r="AU16" i="96"/>
  <c r="AS16" i="96"/>
  <c r="AQ16" i="96"/>
  <c r="AO16" i="96"/>
  <c r="AL16" i="96"/>
  <c r="AH16" i="96"/>
  <c r="AG16" i="96"/>
  <c r="BL15" i="96"/>
  <c r="BJ15" i="96"/>
  <c r="H15" i="96" s="1"/>
  <c r="BF15" i="96" s="1"/>
  <c r="BH15" i="96"/>
  <c r="BE15" i="96"/>
  <c r="BD15" i="96"/>
  <c r="BC15" i="96"/>
  <c r="AU15" i="96"/>
  <c r="AS15" i="96"/>
  <c r="AQ15" i="96"/>
  <c r="AO15" i="96"/>
  <c r="AL15" i="96"/>
  <c r="AH15" i="96"/>
  <c r="AN15" i="96" s="1"/>
  <c r="AG15" i="96"/>
  <c r="G15" i="96"/>
  <c r="BB15" i="96" s="1"/>
  <c r="B15" i="96"/>
  <c r="BJ14" i="96"/>
  <c r="H14" i="96" s="1"/>
  <c r="BF14" i="96" s="1"/>
  <c r="BI14" i="96"/>
  <c r="AK14" i="96" s="1"/>
  <c r="AM14" i="96" s="1"/>
  <c r="BH14" i="96"/>
  <c r="BE14" i="96"/>
  <c r="BD14" i="96"/>
  <c r="BC14" i="96"/>
  <c r="BB14" i="96"/>
  <c r="AW14" i="96"/>
  <c r="AU14" i="96"/>
  <c r="AS14" i="96"/>
  <c r="AQ14" i="96"/>
  <c r="AO14" i="96"/>
  <c r="AL14" i="96"/>
  <c r="AH14" i="96"/>
  <c r="AN14" i="96" s="1"/>
  <c r="AG14" i="96"/>
  <c r="G14" i="96"/>
  <c r="B14" i="96"/>
  <c r="BL13" i="96"/>
  <c r="BH13" i="96"/>
  <c r="BE13" i="96"/>
  <c r="BD13" i="96"/>
  <c r="BC13" i="96"/>
  <c r="AU13" i="96"/>
  <c r="AS13" i="96"/>
  <c r="AQ13" i="96"/>
  <c r="AL13" i="96"/>
  <c r="AH13" i="96"/>
  <c r="AG13" i="96"/>
  <c r="BH12" i="96"/>
  <c r="BL12" i="96" s="1"/>
  <c r="BE12" i="96"/>
  <c r="BD12" i="96"/>
  <c r="BC12" i="96"/>
  <c r="AU12" i="96"/>
  <c r="AS12" i="96"/>
  <c r="AQ12" i="96"/>
  <c r="AL12" i="96"/>
  <c r="AH12" i="96"/>
  <c r="AN12" i="96" s="1"/>
  <c r="AG12" i="96"/>
  <c r="BL11" i="96"/>
  <c r="BH11" i="96"/>
  <c r="BE11" i="96"/>
  <c r="BD11" i="96"/>
  <c r="BC11" i="96"/>
  <c r="BA11" i="96"/>
  <c r="AY11" i="96"/>
  <c r="AU11" i="96"/>
  <c r="AS11" i="96"/>
  <c r="AQ11" i="96"/>
  <c r="AL11" i="96"/>
  <c r="AH11" i="96"/>
  <c r="AG11" i="96"/>
  <c r="G11" i="96"/>
  <c r="BH10" i="96"/>
  <c r="BE10" i="96"/>
  <c r="BD10" i="96"/>
  <c r="BC10" i="96"/>
  <c r="BB10" i="96"/>
  <c r="AU10" i="96"/>
  <c r="AS10" i="96"/>
  <c r="AQ10" i="96"/>
  <c r="AL10" i="96"/>
  <c r="AH10" i="96"/>
  <c r="AG10" i="96"/>
  <c r="G10" i="96"/>
  <c r="BL9" i="96"/>
  <c r="BH9" i="96"/>
  <c r="BE9" i="96"/>
  <c r="BD9" i="96"/>
  <c r="BC9" i="96"/>
  <c r="AU9" i="96"/>
  <c r="AS9" i="96"/>
  <c r="AQ9" i="96"/>
  <c r="AL9" i="96"/>
  <c r="AJ9" i="96"/>
  <c r="AJ10" i="96" s="1"/>
  <c r="AJ11" i="96" s="1"/>
  <c r="AJ12" i="96" s="1"/>
  <c r="AJ13" i="96" s="1"/>
  <c r="AJ14" i="96" s="1"/>
  <c r="AH9" i="96"/>
  <c r="AG9" i="96"/>
  <c r="BJ8" i="96"/>
  <c r="H8" i="96" s="1"/>
  <c r="BF8" i="96" s="1"/>
  <c r="BH8" i="96"/>
  <c r="BE8" i="96"/>
  <c r="BD8" i="96"/>
  <c r="BC8" i="96"/>
  <c r="AU8" i="96"/>
  <c r="AS8" i="96"/>
  <c r="AQ8" i="96"/>
  <c r="AL8" i="96"/>
  <c r="AJ8" i="96"/>
  <c r="AH8" i="96"/>
  <c r="AN8" i="96" s="1"/>
  <c r="AG8" i="96"/>
  <c r="B8" i="96"/>
  <c r="AV6" i="96"/>
  <c r="AN29" i="96" l="1"/>
  <c r="AN31" i="96"/>
  <c r="AQ41" i="96"/>
  <c r="AS41" i="96"/>
  <c r="AI31" i="96"/>
  <c r="C31" i="96" s="1"/>
  <c r="AI18" i="96"/>
  <c r="C18" i="96" s="1"/>
  <c r="AN19" i="96"/>
  <c r="AI10" i="96"/>
  <c r="C10" i="96" s="1"/>
  <c r="AN26" i="96"/>
  <c r="AN10" i="96"/>
  <c r="AN11" i="96"/>
  <c r="AI27" i="96"/>
  <c r="C27" i="96" s="1"/>
  <c r="AI12" i="96"/>
  <c r="C12" i="96" s="1"/>
  <c r="AI13" i="96"/>
  <c r="C13" i="96" s="1"/>
  <c r="AN17" i="96"/>
  <c r="AN24" i="96"/>
  <c r="BD4" i="96"/>
  <c r="BM14" i="96"/>
  <c r="C9" i="100"/>
  <c r="AI43" i="100"/>
  <c r="AK36" i="96"/>
  <c r="AM36" i="96" s="1"/>
  <c r="AN9" i="96"/>
  <c r="AN27" i="96"/>
  <c r="AN33" i="96"/>
  <c r="BM39" i="96"/>
  <c r="BI10" i="96"/>
  <c r="BJ10" i="96" s="1"/>
  <c r="H10" i="96" s="1"/>
  <c r="BF10" i="96" s="1"/>
  <c r="AN25" i="96"/>
  <c r="AN13" i="96"/>
  <c r="AP14" i="96"/>
  <c r="AN16" i="96"/>
  <c r="AN28" i="96"/>
  <c r="BM35" i="96"/>
  <c r="BJ18" i="96"/>
  <c r="H18" i="96" s="1"/>
  <c r="BF18" i="96" s="1"/>
  <c r="AK18" i="96"/>
  <c r="AX18" i="96" s="1"/>
  <c r="BM28" i="96"/>
  <c r="AK28" i="96"/>
  <c r="BJ28" i="96"/>
  <c r="H28" i="96" s="1"/>
  <c r="BF28" i="96" s="1"/>
  <c r="AJ15" i="96"/>
  <c r="AI19" i="96"/>
  <c r="C19" i="96" s="1"/>
  <c r="BL8" i="96"/>
  <c r="G16" i="96"/>
  <c r="BB18" i="96"/>
  <c r="AU41" i="96"/>
  <c r="BA15" i="96"/>
  <c r="AI24" i="96"/>
  <c r="C24" i="96" s="1"/>
  <c r="BA25" i="96"/>
  <c r="BK29" i="96"/>
  <c r="I29" i="96" s="1"/>
  <c r="AY29" i="96"/>
  <c r="BI29" i="96"/>
  <c r="AW29" i="96"/>
  <c r="G33" i="96"/>
  <c r="BL33" i="96"/>
  <c r="G38" i="96"/>
  <c r="BM38" i="96"/>
  <c r="BL38" i="96"/>
  <c r="AI17" i="96"/>
  <c r="C17" i="96" s="1"/>
  <c r="AI23" i="96"/>
  <c r="C23" i="96" s="1"/>
  <c r="AI22" i="96"/>
  <c r="C22" i="96" s="1"/>
  <c r="G24" i="96"/>
  <c r="BK15" i="96"/>
  <c r="I15" i="96" s="1"/>
  <c r="AI16" i="96"/>
  <c r="C16" i="96" s="1"/>
  <c r="AI20" i="96"/>
  <c r="C20" i="96" s="1"/>
  <c r="AI11" i="96"/>
  <c r="C11" i="96" s="1"/>
  <c r="BA14" i="96"/>
  <c r="AY14" i="96"/>
  <c r="AZ14" i="96"/>
  <c r="BK14" i="96"/>
  <c r="I14" i="96" s="1"/>
  <c r="AX14" i="96"/>
  <c r="BL16" i="96"/>
  <c r="G17" i="96"/>
  <c r="AI26" i="96"/>
  <c r="C26" i="96" s="1"/>
  <c r="AI28" i="96"/>
  <c r="C28" i="96" s="1"/>
  <c r="BA29" i="96"/>
  <c r="AI33" i="96"/>
  <c r="C33" i="96" s="1"/>
  <c r="G8" i="96"/>
  <c r="AW25" i="96"/>
  <c r="B9" i="96"/>
  <c r="G20" i="96"/>
  <c r="BB25" i="96"/>
  <c r="BA10" i="96"/>
  <c r="AZ10" i="96"/>
  <c r="BK10" i="96"/>
  <c r="I10" i="96" s="1"/>
  <c r="AY10" i="96"/>
  <c r="AX10" i="96"/>
  <c r="AR14" i="96"/>
  <c r="AV14" i="96" s="1"/>
  <c r="BC4" i="96"/>
  <c r="AI9" i="96"/>
  <c r="C9" i="96" s="1"/>
  <c r="AW10" i="96"/>
  <c r="AX11" i="96"/>
  <c r="BI11" i="96"/>
  <c r="AW11" i="96"/>
  <c r="BK11" i="96"/>
  <c r="I11" i="96" s="1"/>
  <c r="AT14" i="96"/>
  <c r="BI22" i="96"/>
  <c r="G23" i="96"/>
  <c r="AI25" i="96"/>
  <c r="C25" i="96" s="1"/>
  <c r="BB29" i="96"/>
  <c r="BM18" i="96"/>
  <c r="G21" i="96"/>
  <c r="BA32" i="96"/>
  <c r="AX32" i="96"/>
  <c r="BI32" i="96"/>
  <c r="AW32" i="96"/>
  <c r="G37" i="96"/>
  <c r="BM37" i="96"/>
  <c r="BL37" i="96"/>
  <c r="BI25" i="96"/>
  <c r="AZ25" i="96" s="1"/>
  <c r="BK26" i="96"/>
  <c r="I26" i="96" s="1"/>
  <c r="AY26" i="96"/>
  <c r="BI26" i="96"/>
  <c r="AZ26" i="96" s="1"/>
  <c r="AW26" i="96"/>
  <c r="BA28" i="96"/>
  <c r="BK28" i="96"/>
  <c r="I28" i="96" s="1"/>
  <c r="AY28" i="96"/>
  <c r="AN30" i="96"/>
  <c r="G12" i="96"/>
  <c r="BA18" i="96"/>
  <c r="AZ18" i="96"/>
  <c r="BK18" i="96"/>
  <c r="I18" i="96" s="1"/>
  <c r="AY18" i="96"/>
  <c r="BL21" i="96"/>
  <c r="AV43" i="96"/>
  <c r="AV44" i="96" s="1"/>
  <c r="AI29" i="96"/>
  <c r="C29" i="96" s="1"/>
  <c r="AX15" i="96"/>
  <c r="BI15" i="96"/>
  <c r="AW15" i="96"/>
  <c r="BK25" i="96"/>
  <c r="I25" i="96" s="1"/>
  <c r="G30" i="96"/>
  <c r="BL30" i="96"/>
  <c r="G34" i="96"/>
  <c r="BM34" i="96"/>
  <c r="BL34" i="96"/>
  <c r="AI30" i="96"/>
  <c r="C30" i="96" s="1"/>
  <c r="BA26" i="96"/>
  <c r="G27" i="96"/>
  <c r="AZ28" i="96"/>
  <c r="BB32" i="96"/>
  <c r="G9" i="96"/>
  <c r="BB11" i="96"/>
  <c r="G13" i="96"/>
  <c r="AY15" i="96"/>
  <c r="AW18" i="96"/>
  <c r="BI19" i="96"/>
  <c r="AW19" i="96"/>
  <c r="BK19" i="96"/>
  <c r="I19" i="96" s="1"/>
  <c r="BL24" i="96"/>
  <c r="BB26" i="96"/>
  <c r="BB28" i="96"/>
  <c r="BA31" i="96"/>
  <c r="AW31" i="96"/>
  <c r="BK31" i="96"/>
  <c r="I31" i="96" s="1"/>
  <c r="AY31" i="96"/>
  <c r="BI31" i="96"/>
  <c r="AZ31" i="96" s="1"/>
  <c r="BL10" i="96"/>
  <c r="BL14" i="96"/>
  <c r="BL18" i="96"/>
  <c r="BL31" i="96"/>
  <c r="BL35" i="96"/>
  <c r="BL39" i="96"/>
  <c r="U48" i="95"/>
  <c r="BE43" i="95"/>
  <c r="AT43" i="95"/>
  <c r="AT44" i="95" s="1"/>
  <c r="AR44" i="95" s="1"/>
  <c r="BN39" i="95"/>
  <c r="BK39" i="95"/>
  <c r="I39" i="95" s="1"/>
  <c r="BJ39" i="95"/>
  <c r="H39" i="95" s="1"/>
  <c r="BF39" i="95" s="1"/>
  <c r="BI39" i="95"/>
  <c r="AK39" i="95" s="1"/>
  <c r="AM39" i="95" s="1"/>
  <c r="BH39" i="95"/>
  <c r="G39" i="95" s="1"/>
  <c r="BG39" i="95"/>
  <c r="BE39" i="95"/>
  <c r="BD39" i="95"/>
  <c r="BC39" i="95"/>
  <c r="BB39" i="95"/>
  <c r="BA39" i="95"/>
  <c r="AZ39" i="95"/>
  <c r="AY39" i="95"/>
  <c r="AX39" i="95"/>
  <c r="AW39" i="95"/>
  <c r="AU39" i="95"/>
  <c r="AT39" i="95"/>
  <c r="AS39" i="95"/>
  <c r="AR39" i="95"/>
  <c r="AV39" i="95" s="1"/>
  <c r="AQ39" i="95"/>
  <c r="AP39" i="95"/>
  <c r="AO39" i="95"/>
  <c r="AL39" i="95"/>
  <c r="AJ39" i="95"/>
  <c r="AI39" i="95"/>
  <c r="AH39" i="95"/>
  <c r="AN39" i="95" s="1"/>
  <c r="AG39" i="95"/>
  <c r="C39" i="95"/>
  <c r="B39" i="95"/>
  <c r="BN38" i="95"/>
  <c r="BL38" i="95"/>
  <c r="BK38" i="95"/>
  <c r="I38" i="95" s="1"/>
  <c r="BJ38" i="95"/>
  <c r="H38" i="95" s="1"/>
  <c r="BF38" i="95" s="1"/>
  <c r="BI38" i="95"/>
  <c r="BM38" i="95" s="1"/>
  <c r="BH38" i="95"/>
  <c r="G38" i="95" s="1"/>
  <c r="BG38" i="95"/>
  <c r="BE38" i="95"/>
  <c r="BD38" i="95"/>
  <c r="BC38" i="95"/>
  <c r="BB38" i="95"/>
  <c r="BA38" i="95"/>
  <c r="AZ38" i="95"/>
  <c r="AY38" i="95"/>
  <c r="AX38" i="95"/>
  <c r="AW38" i="95"/>
  <c r="AU38" i="95"/>
  <c r="AT38" i="95"/>
  <c r="AS38" i="95"/>
  <c r="AR38" i="95"/>
  <c r="AV38" i="95" s="1"/>
  <c r="AQ38" i="95"/>
  <c r="AP38" i="95"/>
  <c r="AO38" i="95"/>
  <c r="AL38" i="95"/>
  <c r="AJ38" i="95"/>
  <c r="AI38" i="95"/>
  <c r="AH38" i="95"/>
  <c r="AN38" i="95" s="1"/>
  <c r="AG38" i="95"/>
  <c r="C38" i="95"/>
  <c r="B38" i="95"/>
  <c r="BN37" i="95"/>
  <c r="BL37" i="95"/>
  <c r="BK37" i="95"/>
  <c r="I37" i="95" s="1"/>
  <c r="BJ37" i="95"/>
  <c r="H37" i="95" s="1"/>
  <c r="BF37" i="95" s="1"/>
  <c r="BI37" i="95"/>
  <c r="BM37" i="95" s="1"/>
  <c r="BH37" i="95"/>
  <c r="BG37" i="95"/>
  <c r="BE37" i="95"/>
  <c r="BD37" i="95"/>
  <c r="BC37" i="95"/>
  <c r="BB37" i="95"/>
  <c r="BA37" i="95"/>
  <c r="AZ37" i="95"/>
  <c r="AY37" i="95"/>
  <c r="AX37" i="95"/>
  <c r="AW37" i="95"/>
  <c r="AU37" i="95"/>
  <c r="AT37" i="95"/>
  <c r="AS37" i="95"/>
  <c r="AR37" i="95"/>
  <c r="AV37" i="95" s="1"/>
  <c r="AQ37" i="95"/>
  <c r="AP37" i="95"/>
  <c r="AO37" i="95"/>
  <c r="AL37" i="95"/>
  <c r="AJ37" i="95"/>
  <c r="AI37" i="95"/>
  <c r="AH37" i="95"/>
  <c r="AN37" i="95" s="1"/>
  <c r="AG37" i="95"/>
  <c r="G37" i="95"/>
  <c r="C37" i="95"/>
  <c r="B37" i="95"/>
  <c r="BN36" i="95"/>
  <c r="BL36" i="95"/>
  <c r="BK36" i="95"/>
  <c r="I36" i="95" s="1"/>
  <c r="BJ36" i="95"/>
  <c r="H36" i="95" s="1"/>
  <c r="BF36" i="95" s="1"/>
  <c r="BI36" i="95"/>
  <c r="BM36" i="95" s="1"/>
  <c r="BH36" i="95"/>
  <c r="BG36" i="95"/>
  <c r="BE36" i="95"/>
  <c r="BD36" i="95"/>
  <c r="BC36" i="95"/>
  <c r="BB36" i="95"/>
  <c r="BA36" i="95"/>
  <c r="AZ36" i="95"/>
  <c r="AY36" i="95"/>
  <c r="AX36" i="95"/>
  <c r="AW36" i="95"/>
  <c r="AU36" i="95"/>
  <c r="AT36" i="95"/>
  <c r="AS36" i="95"/>
  <c r="AR36" i="95"/>
  <c r="AV36" i="95" s="1"/>
  <c r="AQ36" i="95"/>
  <c r="AP36" i="95"/>
  <c r="AO36" i="95"/>
  <c r="AL36" i="95"/>
  <c r="AJ36" i="95"/>
  <c r="AI36" i="95"/>
  <c r="AH36" i="95"/>
  <c r="AN36" i="95" s="1"/>
  <c r="AG36" i="95"/>
  <c r="G36" i="95"/>
  <c r="C36" i="95"/>
  <c r="B36" i="95"/>
  <c r="BN35" i="95"/>
  <c r="BK35" i="95"/>
  <c r="I35" i="95" s="1"/>
  <c r="BJ35" i="95"/>
  <c r="H35" i="95" s="1"/>
  <c r="BF35" i="95" s="1"/>
  <c r="BI35" i="95"/>
  <c r="AK35" i="95" s="1"/>
  <c r="AM35" i="95" s="1"/>
  <c r="BH35" i="95"/>
  <c r="G35" i="95" s="1"/>
  <c r="BG35" i="95"/>
  <c r="BE35" i="95"/>
  <c r="BD35" i="95"/>
  <c r="BC35" i="95"/>
  <c r="BB35" i="95"/>
  <c r="BA35" i="95"/>
  <c r="AZ35" i="95"/>
  <c r="AY35" i="95"/>
  <c r="AX35" i="95"/>
  <c r="AW35" i="95"/>
  <c r="AU35" i="95"/>
  <c r="AT35" i="95"/>
  <c r="AS35" i="95"/>
  <c r="AR35" i="95"/>
  <c r="AV35" i="95" s="1"/>
  <c r="AQ35" i="95"/>
  <c r="AP35" i="95"/>
  <c r="AO35" i="95"/>
  <c r="AL35" i="95"/>
  <c r="AJ35" i="95"/>
  <c r="AI35" i="95"/>
  <c r="AH35" i="95"/>
  <c r="AN35" i="95" s="1"/>
  <c r="AG35" i="95"/>
  <c r="C35" i="95"/>
  <c r="B35" i="95"/>
  <c r="BN34" i="95"/>
  <c r="BL34" i="95"/>
  <c r="BK34" i="95"/>
  <c r="I34" i="95" s="1"/>
  <c r="BJ34" i="95"/>
  <c r="H34" i="95" s="1"/>
  <c r="BF34" i="95" s="1"/>
  <c r="BI34" i="95"/>
  <c r="BM34" i="95" s="1"/>
  <c r="BH34" i="95"/>
  <c r="G34" i="95" s="1"/>
  <c r="BG34" i="95"/>
  <c r="BE34" i="95"/>
  <c r="BD34" i="95"/>
  <c r="BC34" i="95"/>
  <c r="BB34" i="95"/>
  <c r="BA34" i="95"/>
  <c r="AZ34" i="95"/>
  <c r="AY34" i="95"/>
  <c r="AX34" i="95"/>
  <c r="AW34" i="95"/>
  <c r="AU34" i="95"/>
  <c r="AT34" i="95"/>
  <c r="AS34" i="95"/>
  <c r="AR34" i="95"/>
  <c r="AV34" i="95" s="1"/>
  <c r="AQ34" i="95"/>
  <c r="AP34" i="95"/>
  <c r="AO34" i="95"/>
  <c r="AL34" i="95"/>
  <c r="AJ34" i="95"/>
  <c r="AI34" i="95"/>
  <c r="AH34" i="95"/>
  <c r="AN34" i="95" s="1"/>
  <c r="AG34" i="95"/>
  <c r="C34" i="95"/>
  <c r="B34" i="95"/>
  <c r="BN33" i="95"/>
  <c r="BL33" i="95"/>
  <c r="BK33" i="95"/>
  <c r="I33" i="95" s="1"/>
  <c r="BJ33" i="95"/>
  <c r="H33" i="95" s="1"/>
  <c r="BF33" i="95" s="1"/>
  <c r="BI33" i="95"/>
  <c r="BM33" i="95" s="1"/>
  <c r="BH33" i="95"/>
  <c r="BG33" i="95"/>
  <c r="BE33" i="95"/>
  <c r="BD33" i="95"/>
  <c r="BC33" i="95"/>
  <c r="BB33" i="95"/>
  <c r="BA33" i="95"/>
  <c r="AZ33" i="95"/>
  <c r="AY33" i="95"/>
  <c r="AX33" i="95"/>
  <c r="AW33" i="95"/>
  <c r="AU33" i="95"/>
  <c r="AT33" i="95"/>
  <c r="AS33" i="95"/>
  <c r="AR33" i="95"/>
  <c r="AV33" i="95" s="1"/>
  <c r="AQ33" i="95"/>
  <c r="AP33" i="95"/>
  <c r="AO33" i="95"/>
  <c r="AL33" i="95"/>
  <c r="AJ33" i="95"/>
  <c r="AI33" i="95"/>
  <c r="AH33" i="95"/>
  <c r="AN33" i="95" s="1"/>
  <c r="AG33" i="95"/>
  <c r="G33" i="95"/>
  <c r="C33" i="95"/>
  <c r="B33" i="95"/>
  <c r="BN32" i="95"/>
  <c r="BL32" i="95"/>
  <c r="BK32" i="95"/>
  <c r="I32" i="95" s="1"/>
  <c r="BJ32" i="95"/>
  <c r="H32" i="95" s="1"/>
  <c r="BF32" i="95" s="1"/>
  <c r="BI32" i="95"/>
  <c r="BM32" i="95" s="1"/>
  <c r="BH32" i="95"/>
  <c r="BG32" i="95"/>
  <c r="BE32" i="95"/>
  <c r="BD32" i="95"/>
  <c r="BC32" i="95"/>
  <c r="BB32" i="95"/>
  <c r="BA32" i="95"/>
  <c r="AZ32" i="95"/>
  <c r="AY32" i="95"/>
  <c r="AX32" i="95"/>
  <c r="AW32" i="95"/>
  <c r="AU32" i="95"/>
  <c r="AT32" i="95"/>
  <c r="AS32" i="95"/>
  <c r="AR32" i="95"/>
  <c r="AV32" i="95" s="1"/>
  <c r="AQ32" i="95"/>
  <c r="AP32" i="95"/>
  <c r="AO32" i="95"/>
  <c r="AL32" i="95"/>
  <c r="AJ32" i="95"/>
  <c r="AI32" i="95"/>
  <c r="AH32" i="95"/>
  <c r="AN32" i="95" s="1"/>
  <c r="AG32" i="95"/>
  <c r="G32" i="95"/>
  <c r="C32" i="95"/>
  <c r="B32" i="95"/>
  <c r="BN31" i="95"/>
  <c r="BK31" i="95"/>
  <c r="I31" i="95" s="1"/>
  <c r="BJ31" i="95"/>
  <c r="H31" i="95" s="1"/>
  <c r="BF31" i="95" s="1"/>
  <c r="BI31" i="95"/>
  <c r="AK31" i="95" s="1"/>
  <c r="AM31" i="95" s="1"/>
  <c r="BH31" i="95"/>
  <c r="G31" i="95" s="1"/>
  <c r="BG31" i="95"/>
  <c r="BE31" i="95"/>
  <c r="BD31" i="95"/>
  <c r="BC31" i="95"/>
  <c r="BB31" i="95"/>
  <c r="BA31" i="95"/>
  <c r="AZ31" i="95"/>
  <c r="AY31" i="95"/>
  <c r="AX31" i="95"/>
  <c r="AW31" i="95"/>
  <c r="AU31" i="95"/>
  <c r="AT31" i="95"/>
  <c r="AS31" i="95"/>
  <c r="AR31" i="95"/>
  <c r="AV31" i="95" s="1"/>
  <c r="AQ31" i="95"/>
  <c r="AP31" i="95"/>
  <c r="AO31" i="95"/>
  <c r="AL31" i="95"/>
  <c r="AJ31" i="95"/>
  <c r="AI31" i="95"/>
  <c r="AH31" i="95"/>
  <c r="AN31" i="95" s="1"/>
  <c r="AG31" i="95"/>
  <c r="C31" i="95"/>
  <c r="B31" i="95"/>
  <c r="BN30" i="95"/>
  <c r="BL30" i="95"/>
  <c r="BK30" i="95"/>
  <c r="I30" i="95" s="1"/>
  <c r="BJ30" i="95"/>
  <c r="H30" i="95" s="1"/>
  <c r="BF30" i="95" s="1"/>
  <c r="BI30" i="95"/>
  <c r="BM30" i="95" s="1"/>
  <c r="BH30" i="95"/>
  <c r="G30" i="95" s="1"/>
  <c r="BG30" i="95"/>
  <c r="BE30" i="95"/>
  <c r="BD30" i="95"/>
  <c r="BC30" i="95"/>
  <c r="BB30" i="95"/>
  <c r="BA30" i="95"/>
  <c r="AZ30" i="95"/>
  <c r="AY30" i="95"/>
  <c r="AX30" i="95"/>
  <c r="AW30" i="95"/>
  <c r="AU30" i="95"/>
  <c r="AT30" i="95"/>
  <c r="AS30" i="95"/>
  <c r="AR30" i="95"/>
  <c r="AV30" i="95" s="1"/>
  <c r="AQ30" i="95"/>
  <c r="AP30" i="95"/>
  <c r="AO30" i="95"/>
  <c r="AL30" i="95"/>
  <c r="AJ30" i="95"/>
  <c r="AI30" i="95"/>
  <c r="AH30" i="95"/>
  <c r="AN30" i="95" s="1"/>
  <c r="AG30" i="95"/>
  <c r="C30" i="95"/>
  <c r="B30" i="95"/>
  <c r="BU29" i="95"/>
  <c r="BT29" i="95"/>
  <c r="BS29" i="95"/>
  <c r="BR29" i="95"/>
  <c r="BQ29" i="95"/>
  <c r="BN29" i="95"/>
  <c r="BK29" i="95"/>
  <c r="I29" i="95" s="1"/>
  <c r="BJ29" i="95"/>
  <c r="H29" i="95" s="1"/>
  <c r="BF29" i="95" s="1"/>
  <c r="BI29" i="95"/>
  <c r="AK29" i="95" s="1"/>
  <c r="AM29" i="95" s="1"/>
  <c r="BH29" i="95"/>
  <c r="BG29" i="95"/>
  <c r="BE29" i="95"/>
  <c r="BD29" i="95"/>
  <c r="BC29" i="95"/>
  <c r="BB29" i="95"/>
  <c r="BA29" i="95"/>
  <c r="AZ29" i="95"/>
  <c r="AY29" i="95"/>
  <c r="AX29" i="95"/>
  <c r="AW29" i="95"/>
  <c r="AU29" i="95"/>
  <c r="AT29" i="95"/>
  <c r="AS29" i="95"/>
  <c r="AR29" i="95"/>
  <c r="AV29" i="95" s="1"/>
  <c r="AQ29" i="95"/>
  <c r="AP29" i="95"/>
  <c r="AO29" i="95"/>
  <c r="AL29" i="95"/>
  <c r="AJ29" i="95"/>
  <c r="AI29" i="95"/>
  <c r="AH29" i="95"/>
  <c r="AN29" i="95" s="1"/>
  <c r="AG29" i="95"/>
  <c r="C29" i="95"/>
  <c r="B29" i="95"/>
  <c r="BU28" i="95"/>
  <c r="BT28" i="95"/>
  <c r="BS28" i="95"/>
  <c r="BR28" i="95"/>
  <c r="BQ28" i="95"/>
  <c r="BL28" i="95"/>
  <c r="BK28" i="95"/>
  <c r="I28" i="95" s="1"/>
  <c r="BH28" i="95"/>
  <c r="BD28" i="95"/>
  <c r="BC28" i="95"/>
  <c r="AY28" i="95"/>
  <c r="AU28" i="95"/>
  <c r="AS28" i="95"/>
  <c r="AQ28" i="95"/>
  <c r="AO28" i="95"/>
  <c r="AL28" i="95"/>
  <c r="AH28" i="95"/>
  <c r="AG28" i="95"/>
  <c r="G28" i="95"/>
  <c r="BB28" i="95" s="1"/>
  <c r="BU27" i="95"/>
  <c r="BT27" i="95"/>
  <c r="BS27" i="95"/>
  <c r="BR27" i="95"/>
  <c r="BQ27" i="95"/>
  <c r="BL27" i="95"/>
  <c r="BJ27" i="95"/>
  <c r="H27" i="95" s="1"/>
  <c r="BF27" i="95" s="1"/>
  <c r="BH27" i="95"/>
  <c r="BE27" i="95"/>
  <c r="BD27" i="95"/>
  <c r="BC27" i="95"/>
  <c r="AU27" i="95"/>
  <c r="AS27" i="95"/>
  <c r="AQ27" i="95"/>
  <c r="AO27" i="95"/>
  <c r="AL27" i="95"/>
  <c r="AH27" i="95"/>
  <c r="AN27" i="95" s="1"/>
  <c r="AG27" i="95"/>
  <c r="B27" i="95"/>
  <c r="BU26" i="95"/>
  <c r="BT26" i="95"/>
  <c r="BS26" i="95"/>
  <c r="BR26" i="95"/>
  <c r="BQ26" i="95"/>
  <c r="BH26" i="95"/>
  <c r="BE26" i="95"/>
  <c r="BD26" i="95"/>
  <c r="BC26" i="95"/>
  <c r="AU26" i="95"/>
  <c r="AS26" i="95"/>
  <c r="AQ26" i="95"/>
  <c r="AO26" i="95"/>
  <c r="AL26" i="95"/>
  <c r="AH26" i="95"/>
  <c r="AG26" i="95"/>
  <c r="BU25" i="95"/>
  <c r="BT25" i="95"/>
  <c r="BS25" i="95"/>
  <c r="BR25" i="95"/>
  <c r="BQ25" i="95"/>
  <c r="BL25" i="95"/>
  <c r="BK25" i="95"/>
  <c r="I25" i="95" s="1"/>
  <c r="BH25" i="95"/>
  <c r="BE25" i="95"/>
  <c r="BD25" i="95"/>
  <c r="BC25" i="95"/>
  <c r="AY25" i="95"/>
  <c r="AU25" i="95"/>
  <c r="AS25" i="95"/>
  <c r="AQ25" i="95"/>
  <c r="AO25" i="95"/>
  <c r="AL25" i="95"/>
  <c r="AH25" i="95"/>
  <c r="AG25" i="95"/>
  <c r="G25" i="95"/>
  <c r="BB25" i="95" s="1"/>
  <c r="BU24" i="95"/>
  <c r="BT24" i="95"/>
  <c r="BS24" i="95"/>
  <c r="BR24" i="95"/>
  <c r="BQ24" i="95"/>
  <c r="BL24" i="95"/>
  <c r="BH24" i="95"/>
  <c r="BE24" i="95"/>
  <c r="BD24" i="95"/>
  <c r="BC24" i="95"/>
  <c r="AU24" i="95"/>
  <c r="AS24" i="95"/>
  <c r="AQ24" i="95"/>
  <c r="AO24" i="95"/>
  <c r="AL24" i="95"/>
  <c r="AH24" i="95"/>
  <c r="AG24" i="95"/>
  <c r="BU23" i="95"/>
  <c r="BT23" i="95"/>
  <c r="BS23" i="95"/>
  <c r="BR23" i="95"/>
  <c r="BQ23" i="95"/>
  <c r="BH23" i="95"/>
  <c r="BE23" i="95"/>
  <c r="BD23" i="95"/>
  <c r="BC23" i="95"/>
  <c r="AU23" i="95"/>
  <c r="AS23" i="95"/>
  <c r="AQ23" i="95"/>
  <c r="AO23" i="95"/>
  <c r="AL23" i="95"/>
  <c r="AH23" i="95"/>
  <c r="AN23" i="95" s="1"/>
  <c r="AG23" i="95"/>
  <c r="BU22" i="95"/>
  <c r="BT22" i="95"/>
  <c r="BS22" i="95"/>
  <c r="BR22" i="95"/>
  <c r="BQ22" i="95"/>
  <c r="BH22" i="95"/>
  <c r="BL22" i="95" s="1"/>
  <c r="BE22" i="95"/>
  <c r="BD22" i="95"/>
  <c r="BC22" i="95"/>
  <c r="AU22" i="95"/>
  <c r="AS22" i="95"/>
  <c r="AQ22" i="95"/>
  <c r="AO22" i="95"/>
  <c r="AL22" i="95"/>
  <c r="AH22" i="95"/>
  <c r="AG22" i="95"/>
  <c r="BU21" i="95"/>
  <c r="BT21" i="95"/>
  <c r="BS21" i="95"/>
  <c r="BR21" i="95"/>
  <c r="BQ21" i="95"/>
  <c r="BH21" i="95"/>
  <c r="BE21" i="95"/>
  <c r="BD21" i="95"/>
  <c r="BC21" i="95"/>
  <c r="AU21" i="95"/>
  <c r="AS21" i="95"/>
  <c r="AQ21" i="95"/>
  <c r="AO21" i="95"/>
  <c r="AL21" i="95"/>
  <c r="AH21" i="95"/>
  <c r="AN21" i="95" s="1"/>
  <c r="AG21" i="95"/>
  <c r="BL20" i="95"/>
  <c r="BK20" i="95"/>
  <c r="I20" i="95" s="1"/>
  <c r="BJ20" i="95"/>
  <c r="H20" i="95" s="1"/>
  <c r="BF20" i="95" s="1"/>
  <c r="BI20" i="95"/>
  <c r="AK20" i="95" s="1"/>
  <c r="BH20" i="95"/>
  <c r="BE20" i="95"/>
  <c r="BD20" i="95"/>
  <c r="BC20" i="95"/>
  <c r="AY20" i="95"/>
  <c r="AX20" i="95"/>
  <c r="AW20" i="95"/>
  <c r="AU20" i="95"/>
  <c r="AS20" i="95"/>
  <c r="AQ20" i="95"/>
  <c r="AO20" i="95"/>
  <c r="AL20" i="95"/>
  <c r="AH20" i="95"/>
  <c r="AN20" i="95" s="1"/>
  <c r="AG20" i="95"/>
  <c r="G20" i="95"/>
  <c r="BB20" i="95" s="1"/>
  <c r="B20" i="95"/>
  <c r="BL19" i="95"/>
  <c r="BH19" i="95"/>
  <c r="BE19" i="95"/>
  <c r="BD19" i="95"/>
  <c r="BC19" i="95"/>
  <c r="AU19" i="95"/>
  <c r="AS19" i="95"/>
  <c r="AQ19" i="95"/>
  <c r="AO19" i="95"/>
  <c r="AL19" i="95"/>
  <c r="AH19" i="95"/>
  <c r="AG19" i="95"/>
  <c r="G19" i="95"/>
  <c r="BA19" i="95" s="1"/>
  <c r="BH18" i="95"/>
  <c r="BE18" i="95"/>
  <c r="BD18" i="95"/>
  <c r="BC18" i="95"/>
  <c r="AU18" i="95"/>
  <c r="AS18" i="95"/>
  <c r="AQ18" i="95"/>
  <c r="AO18" i="95"/>
  <c r="AL18" i="95"/>
  <c r="AH18" i="95"/>
  <c r="AG18" i="95"/>
  <c r="BH17" i="95"/>
  <c r="BE17" i="95"/>
  <c r="BD17" i="95"/>
  <c r="BC17" i="95"/>
  <c r="AU17" i="95"/>
  <c r="AS17" i="95"/>
  <c r="AQ17" i="95"/>
  <c r="AO17" i="95"/>
  <c r="AL17" i="95"/>
  <c r="AH17" i="95"/>
  <c r="AG17" i="95"/>
  <c r="BL16" i="95"/>
  <c r="BK16" i="95"/>
  <c r="I16" i="95" s="1"/>
  <c r="BI16" i="95"/>
  <c r="BJ16" i="95" s="1"/>
  <c r="H16" i="95" s="1"/>
  <c r="BF16" i="95" s="1"/>
  <c r="BH16" i="95"/>
  <c r="BE16" i="95"/>
  <c r="BD16" i="95"/>
  <c r="BC16" i="95"/>
  <c r="BA16" i="95"/>
  <c r="AY16" i="95"/>
  <c r="AW16" i="95"/>
  <c r="AU16" i="95"/>
  <c r="AS16" i="95"/>
  <c r="AQ16" i="95"/>
  <c r="AO16" i="95"/>
  <c r="AL16" i="95"/>
  <c r="AH16" i="95"/>
  <c r="AG16" i="95"/>
  <c r="G16" i="95"/>
  <c r="BB16" i="95" s="1"/>
  <c r="BL15" i="95"/>
  <c r="BJ15" i="95"/>
  <c r="H15" i="95" s="1"/>
  <c r="BF15" i="95" s="1"/>
  <c r="BH15" i="95"/>
  <c r="BE15" i="95"/>
  <c r="BD15" i="95"/>
  <c r="BC15" i="95"/>
  <c r="BA15" i="95"/>
  <c r="AU15" i="95"/>
  <c r="AS15" i="95"/>
  <c r="AQ15" i="95"/>
  <c r="AO15" i="95"/>
  <c r="AL15" i="95"/>
  <c r="AH15" i="95"/>
  <c r="AN15" i="95" s="1"/>
  <c r="AG15" i="95"/>
  <c r="G15" i="95"/>
  <c r="B15" i="95"/>
  <c r="BJ14" i="95"/>
  <c r="H14" i="95" s="1"/>
  <c r="BF14" i="95" s="1"/>
  <c r="BH14" i="95"/>
  <c r="BE14" i="95"/>
  <c r="BD14" i="95"/>
  <c r="BC14" i="95"/>
  <c r="AU14" i="95"/>
  <c r="AS14" i="95"/>
  <c r="AQ14" i="95"/>
  <c r="AO14" i="95"/>
  <c r="AL14" i="95"/>
  <c r="AH14" i="95"/>
  <c r="AN14" i="95" s="1"/>
  <c r="AG14" i="95"/>
  <c r="B14" i="95"/>
  <c r="BL13" i="95"/>
  <c r="BH13" i="95"/>
  <c r="BE13" i="95"/>
  <c r="BD13" i="95"/>
  <c r="BC13" i="95"/>
  <c r="AU13" i="95"/>
  <c r="AS13" i="95"/>
  <c r="AQ13" i="95"/>
  <c r="AL13" i="95"/>
  <c r="AH13" i="95"/>
  <c r="AG13" i="95"/>
  <c r="BL12" i="95"/>
  <c r="BH12" i="95"/>
  <c r="BE12" i="95"/>
  <c r="BD12" i="95"/>
  <c r="BC12" i="95"/>
  <c r="BB12" i="95"/>
  <c r="BA12" i="95"/>
  <c r="AY12" i="95"/>
  <c r="AU12" i="95"/>
  <c r="AS12" i="95"/>
  <c r="AQ12" i="95"/>
  <c r="AL12" i="95"/>
  <c r="AH12" i="95"/>
  <c r="BI12" i="95" s="1"/>
  <c r="AG12" i="95"/>
  <c r="G12" i="95"/>
  <c r="AX12" i="95" s="1"/>
  <c r="BL11" i="95"/>
  <c r="BH11" i="95"/>
  <c r="BE11" i="95"/>
  <c r="BD11" i="95"/>
  <c r="BC11" i="95"/>
  <c r="BB11" i="95"/>
  <c r="BA11" i="95"/>
  <c r="AU11" i="95"/>
  <c r="AS11" i="95"/>
  <c r="AQ11" i="95"/>
  <c r="AL11" i="95"/>
  <c r="AH11" i="95"/>
  <c r="AN11" i="95" s="1"/>
  <c r="AG11" i="95"/>
  <c r="G11" i="95"/>
  <c r="BH10" i="95"/>
  <c r="BE10" i="95"/>
  <c r="BD10" i="95"/>
  <c r="BC10" i="95"/>
  <c r="AU10" i="95"/>
  <c r="AS10" i="95"/>
  <c r="AQ10" i="95"/>
  <c r="AL10" i="95"/>
  <c r="AH10" i="95"/>
  <c r="AG10" i="95"/>
  <c r="BH9" i="95"/>
  <c r="BL9" i="95" s="1"/>
  <c r="BE9" i="95"/>
  <c r="BD9" i="95"/>
  <c r="BC9" i="95"/>
  <c r="AU9" i="95"/>
  <c r="AS9" i="95"/>
  <c r="AQ9" i="95"/>
  <c r="AL9" i="95"/>
  <c r="AJ9" i="95"/>
  <c r="AJ10" i="95" s="1"/>
  <c r="AJ11" i="95" s="1"/>
  <c r="AJ12" i="95" s="1"/>
  <c r="AJ13" i="95" s="1"/>
  <c r="AJ14" i="95" s="1"/>
  <c r="AH9" i="95"/>
  <c r="AG9" i="95"/>
  <c r="BL8" i="95"/>
  <c r="BK8" i="95"/>
  <c r="I8" i="95" s="1"/>
  <c r="BJ8" i="95"/>
  <c r="H8" i="95" s="1"/>
  <c r="BF8" i="95" s="1"/>
  <c r="BH8" i="95"/>
  <c r="BE8" i="95"/>
  <c r="BD8" i="95"/>
  <c r="BC8" i="95"/>
  <c r="BB8" i="95"/>
  <c r="BA8" i="95"/>
  <c r="AY8" i="95"/>
  <c r="AX8" i="95"/>
  <c r="AW8" i="95"/>
  <c r="AU8" i="95"/>
  <c r="AS8" i="95"/>
  <c r="AQ8" i="95"/>
  <c r="AL8" i="95"/>
  <c r="AJ8" i="95"/>
  <c r="AH8" i="95"/>
  <c r="AN8" i="95" s="1"/>
  <c r="AG8" i="95"/>
  <c r="G8" i="95"/>
  <c r="BI8" i="95" s="1"/>
  <c r="B8" i="95"/>
  <c r="AV6" i="95"/>
  <c r="G22" i="95" l="1"/>
  <c r="AI12" i="95"/>
  <c r="C12" i="95" s="1"/>
  <c r="AN18" i="95"/>
  <c r="AV43" i="95"/>
  <c r="AV44" i="95" s="1"/>
  <c r="AN10" i="95"/>
  <c r="AN19" i="95"/>
  <c r="AN24" i="95"/>
  <c r="AN9" i="95"/>
  <c r="AN17" i="95"/>
  <c r="AN22" i="95"/>
  <c r="AN26" i="95"/>
  <c r="AN28" i="95"/>
  <c r="AI21" i="95"/>
  <c r="C21" i="95" s="1"/>
  <c r="BC4" i="95"/>
  <c r="AN25" i="95"/>
  <c r="AI13" i="95"/>
  <c r="C13" i="95" s="1"/>
  <c r="BM26" i="96"/>
  <c r="BM10" i="96"/>
  <c r="AK16" i="95"/>
  <c r="AM16" i="95" s="1"/>
  <c r="AN6" i="96"/>
  <c r="AK10" i="96"/>
  <c r="AM10" i="96" s="1"/>
  <c r="AO10" i="96"/>
  <c r="AO12" i="95"/>
  <c r="AK12" i="95"/>
  <c r="AM12" i="95" s="1"/>
  <c r="AN41" i="96"/>
  <c r="BN28" i="96"/>
  <c r="AK38" i="95"/>
  <c r="AM38" i="95" s="1"/>
  <c r="AN12" i="95"/>
  <c r="AK34" i="95"/>
  <c r="AM34" i="95" s="1"/>
  <c r="BK13" i="96"/>
  <c r="I13" i="96" s="1"/>
  <c r="AY13" i="96"/>
  <c r="BB13" i="96"/>
  <c r="BA13" i="96"/>
  <c r="AX13" i="96"/>
  <c r="AW13" i="96"/>
  <c r="BI13" i="96"/>
  <c r="AK15" i="96"/>
  <c r="BM15" i="96"/>
  <c r="BN15" i="96"/>
  <c r="BJ29" i="96"/>
  <c r="H29" i="96" s="1"/>
  <c r="BF29" i="96" s="1"/>
  <c r="AK29" i="96"/>
  <c r="BN29" i="96"/>
  <c r="AK30" i="95"/>
  <c r="AM30" i="95" s="1"/>
  <c r="BM29" i="96"/>
  <c r="AZ15" i="96"/>
  <c r="BK17" i="96"/>
  <c r="I17" i="96" s="1"/>
  <c r="AY17" i="96"/>
  <c r="BB17" i="96"/>
  <c r="BA17" i="96"/>
  <c r="BI17" i="96"/>
  <c r="AW17" i="96"/>
  <c r="BB16" i="96"/>
  <c r="AY16" i="96"/>
  <c r="AW16" i="96"/>
  <c r="BK16" i="96"/>
  <c r="I16" i="96" s="1"/>
  <c r="BI16" i="96"/>
  <c r="BA16" i="96"/>
  <c r="AJ16" i="96"/>
  <c r="AJ17" i="96" s="1"/>
  <c r="AJ18" i="96" s="1"/>
  <c r="AJ19" i="96" s="1"/>
  <c r="AJ20" i="96" s="1"/>
  <c r="AJ21" i="96" s="1"/>
  <c r="AK32" i="95"/>
  <c r="AM32" i="95" s="1"/>
  <c r="AK33" i="95"/>
  <c r="AM33" i="95" s="1"/>
  <c r="AK36" i="95"/>
  <c r="AM36" i="95" s="1"/>
  <c r="AK37" i="95"/>
  <c r="AM37" i="95" s="1"/>
  <c r="BM32" i="96"/>
  <c r="AK32" i="96"/>
  <c r="AZ32" i="96"/>
  <c r="BN32" i="96"/>
  <c r="BK23" i="96"/>
  <c r="I23" i="96" s="1"/>
  <c r="AY23" i="96"/>
  <c r="BI23" i="96"/>
  <c r="AW23" i="96"/>
  <c r="BB23" i="96"/>
  <c r="BA23" i="96"/>
  <c r="BK9" i="96"/>
  <c r="I9" i="96" s="1"/>
  <c r="AY9" i="96"/>
  <c r="BB9" i="96"/>
  <c r="BA9" i="96"/>
  <c r="AX9" i="96"/>
  <c r="AW9" i="96"/>
  <c r="BI9" i="96"/>
  <c r="BJ26" i="96"/>
  <c r="H26" i="96" s="1"/>
  <c r="BF26" i="96" s="1"/>
  <c r="AK26" i="96"/>
  <c r="BN26" i="96"/>
  <c r="AZ22" i="96"/>
  <c r="BN22" i="96"/>
  <c r="BJ22" i="96"/>
  <c r="H22" i="96" s="1"/>
  <c r="BF22" i="96" s="1"/>
  <c r="AK22" i="96"/>
  <c r="BM22" i="96"/>
  <c r="BK24" i="96"/>
  <c r="I24" i="96" s="1"/>
  <c r="AY24" i="96"/>
  <c r="BB24" i="96"/>
  <c r="BA24" i="96"/>
  <c r="BI24" i="96"/>
  <c r="AW24" i="96"/>
  <c r="AZ29" i="96"/>
  <c r="AK31" i="96"/>
  <c r="BJ31" i="96"/>
  <c r="H31" i="96" s="1"/>
  <c r="BF31" i="96" s="1"/>
  <c r="BN31" i="96"/>
  <c r="BB8" i="96"/>
  <c r="BK8" i="96"/>
  <c r="I8" i="96" s="1"/>
  <c r="BA8" i="96"/>
  <c r="BI8" i="96"/>
  <c r="AW8" i="96"/>
  <c r="AY8" i="96"/>
  <c r="AX8" i="96"/>
  <c r="BN10" i="96"/>
  <c r="AM28" i="96"/>
  <c r="AT28" i="96"/>
  <c r="AR28" i="96"/>
  <c r="AV28" i="96" s="1"/>
  <c r="AX28" i="96"/>
  <c r="BJ19" i="96"/>
  <c r="H19" i="96" s="1"/>
  <c r="BF19" i="96" s="1"/>
  <c r="AK19" i="96"/>
  <c r="AZ19" i="96"/>
  <c r="BN19" i="96"/>
  <c r="BM19" i="96"/>
  <c r="BK30" i="96"/>
  <c r="I30" i="96" s="1"/>
  <c r="AY30" i="96"/>
  <c r="BI30" i="96"/>
  <c r="AZ30" i="96" s="1"/>
  <c r="AW30" i="96"/>
  <c r="BB30" i="96"/>
  <c r="BA30" i="96"/>
  <c r="B10" i="96"/>
  <c r="BK21" i="96"/>
  <c r="I21" i="96" s="1"/>
  <c r="AY21" i="96"/>
  <c r="BB21" i="96"/>
  <c r="BA21" i="96"/>
  <c r="AX21" i="96"/>
  <c r="AW21" i="96"/>
  <c r="BI21" i="96"/>
  <c r="AZ21" i="96" s="1"/>
  <c r="BG14" i="96"/>
  <c r="BM31" i="96"/>
  <c r="AN16" i="95"/>
  <c r="BB12" i="96"/>
  <c r="BK12" i="96"/>
  <c r="I12" i="96" s="1"/>
  <c r="BI12" i="96"/>
  <c r="AZ12" i="96" s="1"/>
  <c r="AY12" i="96"/>
  <c r="BA12" i="96"/>
  <c r="AW12" i="96"/>
  <c r="AX12" i="96"/>
  <c r="BN14" i="96"/>
  <c r="BK27" i="96"/>
  <c r="I27" i="96" s="1"/>
  <c r="AY27" i="96"/>
  <c r="BI27" i="96"/>
  <c r="AZ27" i="96" s="1"/>
  <c r="BB27" i="96"/>
  <c r="BA27" i="96"/>
  <c r="AW27" i="96"/>
  <c r="BM25" i="96"/>
  <c r="AK25" i="96"/>
  <c r="BJ25" i="96"/>
  <c r="H25" i="96" s="1"/>
  <c r="BF25" i="96" s="1"/>
  <c r="BN25" i="96"/>
  <c r="BJ11" i="96"/>
  <c r="H11" i="96" s="1"/>
  <c r="BF11" i="96" s="1"/>
  <c r="AK11" i="96"/>
  <c r="BN11" i="96"/>
  <c r="AZ11" i="96"/>
  <c r="BM11" i="96"/>
  <c r="AO11" i="96"/>
  <c r="BB33" i="96"/>
  <c r="BA33" i="96"/>
  <c r="AY33" i="96"/>
  <c r="AW33" i="96"/>
  <c r="BK33" i="96"/>
  <c r="I33" i="96" s="1"/>
  <c r="BI33" i="96"/>
  <c r="AZ33" i="96" s="1"/>
  <c r="AM18" i="96"/>
  <c r="AT18" i="96"/>
  <c r="AR18" i="96"/>
  <c r="AV18" i="96" s="1"/>
  <c r="BB20" i="96"/>
  <c r="BA20" i="96"/>
  <c r="AW20" i="96"/>
  <c r="BK20" i="96"/>
  <c r="I20" i="96" s="1"/>
  <c r="BI20" i="96"/>
  <c r="AZ20" i="96" s="1"/>
  <c r="AY20" i="96"/>
  <c r="E41" i="96"/>
  <c r="Q5" i="96"/>
  <c r="AV41" i="96"/>
  <c r="AV45" i="96" s="1"/>
  <c r="BN18" i="96"/>
  <c r="AN13" i="95"/>
  <c r="AZ12" i="95"/>
  <c r="AJ15" i="95"/>
  <c r="AT20" i="95"/>
  <c r="AR20" i="95"/>
  <c r="AV20" i="95" s="1"/>
  <c r="AM20" i="95"/>
  <c r="AP20" i="95" s="1"/>
  <c r="AO8" i="95"/>
  <c r="BN8" i="95"/>
  <c r="BM8" i="95"/>
  <c r="AK8" i="95"/>
  <c r="BJ12" i="95"/>
  <c r="H12" i="95" s="1"/>
  <c r="BF12" i="95" s="1"/>
  <c r="G24" i="95"/>
  <c r="BK19" i="95"/>
  <c r="I19" i="95" s="1"/>
  <c r="AY19" i="95"/>
  <c r="BI19" i="95"/>
  <c r="AW19" i="95"/>
  <c r="AI24" i="95"/>
  <c r="C24" i="95" s="1"/>
  <c r="BB19" i="95"/>
  <c r="AI10" i="95"/>
  <c r="C10" i="95" s="1"/>
  <c r="BK12" i="95"/>
  <c r="G17" i="95"/>
  <c r="G23" i="95"/>
  <c r="BL23" i="95"/>
  <c r="AI26" i="95"/>
  <c r="C26" i="95" s="1"/>
  <c r="AW12" i="95"/>
  <c r="G21" i="95"/>
  <c r="AZ8" i="95"/>
  <c r="G13" i="95"/>
  <c r="BN16" i="95"/>
  <c r="BM16" i="95"/>
  <c r="BL17" i="95"/>
  <c r="BL21" i="95"/>
  <c r="G29" i="95"/>
  <c r="BM29" i="95"/>
  <c r="BL29" i="95"/>
  <c r="AI18" i="95"/>
  <c r="C18" i="95" s="1"/>
  <c r="B9" i="95"/>
  <c r="BM12" i="95"/>
  <c r="AI16" i="95"/>
  <c r="C16" i="95" s="1"/>
  <c r="BN20" i="95"/>
  <c r="BM20" i="95"/>
  <c r="AI25" i="95"/>
  <c r="C25" i="95" s="1"/>
  <c r="AU41" i="95"/>
  <c r="AI22" i="95"/>
  <c r="C22" i="95" s="1"/>
  <c r="AI11" i="95"/>
  <c r="C11" i="95" s="1"/>
  <c r="BK15" i="95"/>
  <c r="I15" i="95" s="1"/>
  <c r="AY15" i="95"/>
  <c r="AX15" i="95"/>
  <c r="AW15" i="95"/>
  <c r="BI15" i="95"/>
  <c r="AZ15" i="95" s="1"/>
  <c r="AI28" i="95"/>
  <c r="C28" i="95" s="1"/>
  <c r="AI23" i="95"/>
  <c r="C23" i="95" s="1"/>
  <c r="BD4" i="95"/>
  <c r="AQ41" i="95"/>
  <c r="AI9" i="95"/>
  <c r="C9" i="95" s="1"/>
  <c r="AI19" i="95"/>
  <c r="C19" i="95" s="1"/>
  <c r="G9" i="95"/>
  <c r="G10" i="95"/>
  <c r="BL10" i="95"/>
  <c r="G26" i="95"/>
  <c r="BL26" i="95"/>
  <c r="AS41" i="95"/>
  <c r="BK11" i="95"/>
  <c r="I11" i="95" s="1"/>
  <c r="AY11" i="95"/>
  <c r="AX11" i="95"/>
  <c r="AW11" i="95"/>
  <c r="BI11" i="95"/>
  <c r="BB15" i="95"/>
  <c r="AI17" i="95"/>
  <c r="C17" i="95" s="1"/>
  <c r="G27" i="95"/>
  <c r="BL31" i="95"/>
  <c r="BL35" i="95"/>
  <c r="BL39" i="95"/>
  <c r="BL14" i="95"/>
  <c r="BM31" i="95"/>
  <c r="BM35" i="95"/>
  <c r="BM39" i="95"/>
  <c r="BL18" i="95"/>
  <c r="G14" i="95"/>
  <c r="G18" i="95"/>
  <c r="AW22" i="95"/>
  <c r="BI22" i="95"/>
  <c r="AW25" i="95"/>
  <c r="BI25" i="95"/>
  <c r="AW28" i="95"/>
  <c r="BI28" i="95"/>
  <c r="AZ16" i="95"/>
  <c r="AZ20" i="95"/>
  <c r="BA22" i="95"/>
  <c r="BA25" i="95"/>
  <c r="BA28" i="95"/>
  <c r="BA20" i="95"/>
  <c r="U48" i="94"/>
  <c r="BE43" i="94"/>
  <c r="AT43" i="94"/>
  <c r="AT44" i="94" s="1"/>
  <c r="AR44" i="94" s="1"/>
  <c r="BN39" i="94"/>
  <c r="BK39" i="94"/>
  <c r="I39" i="94" s="1"/>
  <c r="BJ39" i="94"/>
  <c r="H39" i="94" s="1"/>
  <c r="BF39" i="94" s="1"/>
  <c r="BI39" i="94"/>
  <c r="AK39" i="94" s="1"/>
  <c r="AM39" i="94" s="1"/>
  <c r="BH39" i="94"/>
  <c r="G39" i="94" s="1"/>
  <c r="BG39" i="94"/>
  <c r="BE39" i="94"/>
  <c r="BD39" i="94"/>
  <c r="BC39" i="94"/>
  <c r="BB39" i="94"/>
  <c r="BA39" i="94"/>
  <c r="AZ39" i="94"/>
  <c r="AY39" i="94"/>
  <c r="AX39" i="94"/>
  <c r="AW39" i="94"/>
  <c r="AU39" i="94"/>
  <c r="AT39" i="94"/>
  <c r="AS39" i="94"/>
  <c r="AR39" i="94"/>
  <c r="AV39" i="94" s="1"/>
  <c r="AQ39" i="94"/>
  <c r="AP39" i="94"/>
  <c r="AO39" i="94"/>
  <c r="AL39" i="94"/>
  <c r="AJ39" i="94"/>
  <c r="AI39" i="94"/>
  <c r="AH39" i="94"/>
  <c r="AN39" i="94" s="1"/>
  <c r="AG39" i="94"/>
  <c r="C39" i="94"/>
  <c r="B39" i="94"/>
  <c r="BN38" i="94"/>
  <c r="BK38" i="94"/>
  <c r="I38" i="94" s="1"/>
  <c r="BJ38" i="94"/>
  <c r="H38" i="94" s="1"/>
  <c r="BF38" i="94" s="1"/>
  <c r="BI38" i="94"/>
  <c r="AK38" i="94" s="1"/>
  <c r="AM38" i="94" s="1"/>
  <c r="BH38" i="94"/>
  <c r="G38" i="94" s="1"/>
  <c r="BG38" i="94"/>
  <c r="BE38" i="94"/>
  <c r="BD38" i="94"/>
  <c r="BC38" i="94"/>
  <c r="BB38" i="94"/>
  <c r="BA38" i="94"/>
  <c r="AZ38" i="94"/>
  <c r="AY38" i="94"/>
  <c r="AX38" i="94"/>
  <c r="AW38" i="94"/>
  <c r="AU38" i="94"/>
  <c r="AT38" i="94"/>
  <c r="AS38" i="94"/>
  <c r="AR38" i="94"/>
  <c r="AV38" i="94" s="1"/>
  <c r="AQ38" i="94"/>
  <c r="AP38" i="94"/>
  <c r="AO38" i="94"/>
  <c r="AL38" i="94"/>
  <c r="AJ38" i="94"/>
  <c r="AI38" i="94"/>
  <c r="AH38" i="94"/>
  <c r="AN38" i="94" s="1"/>
  <c r="AG38" i="94"/>
  <c r="C38" i="94"/>
  <c r="B38" i="94"/>
  <c r="BN37" i="94"/>
  <c r="BL37" i="94"/>
  <c r="BK37" i="94"/>
  <c r="I37" i="94" s="1"/>
  <c r="BJ37" i="94"/>
  <c r="H37" i="94" s="1"/>
  <c r="BF37" i="94" s="1"/>
  <c r="BI37" i="94"/>
  <c r="BM37" i="94" s="1"/>
  <c r="BH37" i="94"/>
  <c r="BG37" i="94"/>
  <c r="BE37" i="94"/>
  <c r="BD37" i="94"/>
  <c r="BC37" i="94"/>
  <c r="BB37" i="94"/>
  <c r="BA37" i="94"/>
  <c r="AZ37" i="94"/>
  <c r="AY37" i="94"/>
  <c r="AX37" i="94"/>
  <c r="AW37" i="94"/>
  <c r="AU37" i="94"/>
  <c r="AT37" i="94"/>
  <c r="AS37" i="94"/>
  <c r="AR37" i="94"/>
  <c r="AV37" i="94" s="1"/>
  <c r="AQ37" i="94"/>
  <c r="AP37" i="94"/>
  <c r="AO37" i="94"/>
  <c r="AL37" i="94"/>
  <c r="AJ37" i="94"/>
  <c r="AI37" i="94"/>
  <c r="AH37" i="94"/>
  <c r="AN37" i="94" s="1"/>
  <c r="AG37" i="94"/>
  <c r="G37" i="94"/>
  <c r="C37" i="94"/>
  <c r="B37" i="94"/>
  <c r="BN36" i="94"/>
  <c r="BL36" i="94"/>
  <c r="BK36" i="94"/>
  <c r="I36" i="94" s="1"/>
  <c r="BJ36" i="94"/>
  <c r="H36" i="94" s="1"/>
  <c r="BF36" i="94" s="1"/>
  <c r="BI36" i="94"/>
  <c r="BM36" i="94" s="1"/>
  <c r="BH36" i="94"/>
  <c r="BG36" i="94"/>
  <c r="BE36" i="94"/>
  <c r="BD36" i="94"/>
  <c r="BC36" i="94"/>
  <c r="BB36" i="94"/>
  <c r="BA36" i="94"/>
  <c r="AZ36" i="94"/>
  <c r="AY36" i="94"/>
  <c r="AX36" i="94"/>
  <c r="AW36" i="94"/>
  <c r="AU36" i="94"/>
  <c r="AT36" i="94"/>
  <c r="AS36" i="94"/>
  <c r="AR36" i="94"/>
  <c r="AV36" i="94" s="1"/>
  <c r="AQ36" i="94"/>
  <c r="AP36" i="94"/>
  <c r="AO36" i="94"/>
  <c r="AL36" i="94"/>
  <c r="AJ36" i="94"/>
  <c r="AI36" i="94"/>
  <c r="AH36" i="94"/>
  <c r="AN36" i="94" s="1"/>
  <c r="AG36" i="94"/>
  <c r="G36" i="94"/>
  <c r="C36" i="94"/>
  <c r="B36" i="94"/>
  <c r="BN35" i="94"/>
  <c r="BK35" i="94"/>
  <c r="I35" i="94" s="1"/>
  <c r="BJ35" i="94"/>
  <c r="H35" i="94" s="1"/>
  <c r="BF35" i="94" s="1"/>
  <c r="BI35" i="94"/>
  <c r="AK35" i="94" s="1"/>
  <c r="AM35" i="94" s="1"/>
  <c r="BH35" i="94"/>
  <c r="G35" i="94" s="1"/>
  <c r="BG35" i="94"/>
  <c r="BE35" i="94"/>
  <c r="BD35" i="94"/>
  <c r="BC35" i="94"/>
  <c r="BB35" i="94"/>
  <c r="BA35" i="94"/>
  <c r="AZ35" i="94"/>
  <c r="AY35" i="94"/>
  <c r="AX35" i="94"/>
  <c r="AW35" i="94"/>
  <c r="AU35" i="94"/>
  <c r="AT35" i="94"/>
  <c r="AS35" i="94"/>
  <c r="AR35" i="94"/>
  <c r="AV35" i="94" s="1"/>
  <c r="AQ35" i="94"/>
  <c r="AP35" i="94"/>
  <c r="AO35" i="94"/>
  <c r="AL35" i="94"/>
  <c r="AJ35" i="94"/>
  <c r="AI35" i="94"/>
  <c r="AH35" i="94"/>
  <c r="AN35" i="94" s="1"/>
  <c r="AG35" i="94"/>
  <c r="C35" i="94"/>
  <c r="B35" i="94"/>
  <c r="BN34" i="94"/>
  <c r="BK34" i="94"/>
  <c r="I34" i="94" s="1"/>
  <c r="BJ34" i="94"/>
  <c r="H34" i="94" s="1"/>
  <c r="BF34" i="94" s="1"/>
  <c r="BI34" i="94"/>
  <c r="AK34" i="94" s="1"/>
  <c r="AM34" i="94" s="1"/>
  <c r="BH34" i="94"/>
  <c r="G34" i="94" s="1"/>
  <c r="BG34" i="94"/>
  <c r="BE34" i="94"/>
  <c r="BD34" i="94"/>
  <c r="BC34" i="94"/>
  <c r="BB34" i="94"/>
  <c r="BA34" i="94"/>
  <c r="AZ34" i="94"/>
  <c r="AY34" i="94"/>
  <c r="AX34" i="94"/>
  <c r="AW34" i="94"/>
  <c r="AU34" i="94"/>
  <c r="AT34" i="94"/>
  <c r="AS34" i="94"/>
  <c r="AR34" i="94"/>
  <c r="AV34" i="94" s="1"/>
  <c r="AQ34" i="94"/>
  <c r="AP34" i="94"/>
  <c r="AO34" i="94"/>
  <c r="AL34" i="94"/>
  <c r="AJ34" i="94"/>
  <c r="AI34" i="94"/>
  <c r="AH34" i="94"/>
  <c r="AN34" i="94" s="1"/>
  <c r="AG34" i="94"/>
  <c r="C34" i="94"/>
  <c r="B34" i="94"/>
  <c r="BN33" i="94"/>
  <c r="BL33" i="94"/>
  <c r="BK33" i="94"/>
  <c r="I33" i="94" s="1"/>
  <c r="BJ33" i="94"/>
  <c r="H33" i="94" s="1"/>
  <c r="BF33" i="94" s="1"/>
  <c r="BI33" i="94"/>
  <c r="BM33" i="94" s="1"/>
  <c r="BH33" i="94"/>
  <c r="BG33" i="94"/>
  <c r="BE33" i="94"/>
  <c r="BD33" i="94"/>
  <c r="BC33" i="94"/>
  <c r="BB33" i="94"/>
  <c r="BA33" i="94"/>
  <c r="AZ33" i="94"/>
  <c r="AY33" i="94"/>
  <c r="AX33" i="94"/>
  <c r="AW33" i="94"/>
  <c r="AU33" i="94"/>
  <c r="AT33" i="94"/>
  <c r="AS33" i="94"/>
  <c r="AR33" i="94"/>
  <c r="AV33" i="94" s="1"/>
  <c r="AQ33" i="94"/>
  <c r="AP33" i="94"/>
  <c r="AO33" i="94"/>
  <c r="AL33" i="94"/>
  <c r="AJ33" i="94"/>
  <c r="AI33" i="94"/>
  <c r="AH33" i="94"/>
  <c r="AN33" i="94" s="1"/>
  <c r="AG33" i="94"/>
  <c r="G33" i="94"/>
  <c r="C33" i="94"/>
  <c r="B33" i="94"/>
  <c r="BN32" i="94"/>
  <c r="BL32" i="94"/>
  <c r="BK32" i="94"/>
  <c r="I32" i="94" s="1"/>
  <c r="BJ32" i="94"/>
  <c r="H32" i="94" s="1"/>
  <c r="BF32" i="94" s="1"/>
  <c r="BI32" i="94"/>
  <c r="AK32" i="94" s="1"/>
  <c r="AM32" i="94" s="1"/>
  <c r="BH32" i="94"/>
  <c r="BG32" i="94"/>
  <c r="BE32" i="94"/>
  <c r="BD32" i="94"/>
  <c r="BC32" i="94"/>
  <c r="BB32" i="94"/>
  <c r="BA32" i="94"/>
  <c r="AZ32" i="94"/>
  <c r="AY32" i="94"/>
  <c r="AX32" i="94"/>
  <c r="AW32" i="94"/>
  <c r="AU32" i="94"/>
  <c r="AT32" i="94"/>
  <c r="AS32" i="94"/>
  <c r="AR32" i="94"/>
  <c r="AV32" i="94" s="1"/>
  <c r="AQ32" i="94"/>
  <c r="AP32" i="94"/>
  <c r="AO32" i="94"/>
  <c r="AL32" i="94"/>
  <c r="AJ32" i="94"/>
  <c r="AI32" i="94"/>
  <c r="AH32" i="94"/>
  <c r="AN32" i="94" s="1"/>
  <c r="AG32" i="94"/>
  <c r="G32" i="94"/>
  <c r="C32" i="94"/>
  <c r="B32" i="94"/>
  <c r="BN31" i="94"/>
  <c r="BL31" i="94"/>
  <c r="BK31" i="94"/>
  <c r="I31" i="94" s="1"/>
  <c r="BJ31" i="94"/>
  <c r="H31" i="94" s="1"/>
  <c r="BF31" i="94" s="1"/>
  <c r="BI31" i="94"/>
  <c r="AK31" i="94" s="1"/>
  <c r="AM31" i="94" s="1"/>
  <c r="BH31" i="94"/>
  <c r="G31" i="94" s="1"/>
  <c r="BG31" i="94"/>
  <c r="BE31" i="94"/>
  <c r="BD31" i="94"/>
  <c r="BC31" i="94"/>
  <c r="BB31" i="94"/>
  <c r="BA31" i="94"/>
  <c r="AZ31" i="94"/>
  <c r="AY31" i="94"/>
  <c r="AX31" i="94"/>
  <c r="AW31" i="94"/>
  <c r="AU31" i="94"/>
  <c r="AT31" i="94"/>
  <c r="AS31" i="94"/>
  <c r="AR31" i="94"/>
  <c r="AV31" i="94" s="1"/>
  <c r="AQ31" i="94"/>
  <c r="AP31" i="94"/>
  <c r="AO31" i="94"/>
  <c r="AL31" i="94"/>
  <c r="AJ31" i="94"/>
  <c r="AI31" i="94"/>
  <c r="AH31" i="94"/>
  <c r="AN31" i="94" s="1"/>
  <c r="AG31" i="94"/>
  <c r="C31" i="94"/>
  <c r="B31" i="94"/>
  <c r="BN30" i="94"/>
  <c r="BK30" i="94"/>
  <c r="I30" i="94" s="1"/>
  <c r="BJ30" i="94"/>
  <c r="H30" i="94" s="1"/>
  <c r="BF30" i="94" s="1"/>
  <c r="BI30" i="94"/>
  <c r="AK30" i="94" s="1"/>
  <c r="AM30" i="94" s="1"/>
  <c r="BH30" i="94"/>
  <c r="G30" i="94" s="1"/>
  <c r="BG30" i="94"/>
  <c r="BE30" i="94"/>
  <c r="BD30" i="94"/>
  <c r="BC30" i="94"/>
  <c r="BB30" i="94"/>
  <c r="BA30" i="94"/>
  <c r="AZ30" i="94"/>
  <c r="AY30" i="94"/>
  <c r="AX30" i="94"/>
  <c r="AW30" i="94"/>
  <c r="AU30" i="94"/>
  <c r="AT30" i="94"/>
  <c r="AS30" i="94"/>
  <c r="AR30" i="94"/>
  <c r="AV30" i="94" s="1"/>
  <c r="AQ30" i="94"/>
  <c r="AP30" i="94"/>
  <c r="AO30" i="94"/>
  <c r="AL30" i="94"/>
  <c r="AJ30" i="94"/>
  <c r="AI30" i="94"/>
  <c r="AH30" i="94"/>
  <c r="AN30" i="94" s="1"/>
  <c r="AG30" i="94"/>
  <c r="C30" i="94"/>
  <c r="B30" i="94"/>
  <c r="BU29" i="94"/>
  <c r="BT29" i="94"/>
  <c r="BS29" i="94"/>
  <c r="BR29" i="94"/>
  <c r="BQ29" i="94"/>
  <c r="BN29" i="94"/>
  <c r="BL29" i="94"/>
  <c r="BK29" i="94"/>
  <c r="I29" i="94" s="1"/>
  <c r="BJ29" i="94"/>
  <c r="H29" i="94" s="1"/>
  <c r="BF29" i="94" s="1"/>
  <c r="BI29" i="94"/>
  <c r="BM29" i="94" s="1"/>
  <c r="BH29" i="94"/>
  <c r="BG29" i="94"/>
  <c r="BE29" i="94"/>
  <c r="BD29" i="94"/>
  <c r="BC29" i="94"/>
  <c r="BB29" i="94"/>
  <c r="BA29" i="94"/>
  <c r="AZ29" i="94"/>
  <c r="AY29" i="94"/>
  <c r="AX29" i="94"/>
  <c r="AW29" i="94"/>
  <c r="AU29" i="94"/>
  <c r="AT29" i="94"/>
  <c r="AS29" i="94"/>
  <c r="AR29" i="94"/>
  <c r="AV29" i="94" s="1"/>
  <c r="AQ29" i="94"/>
  <c r="AP29" i="94"/>
  <c r="AO29" i="94"/>
  <c r="AL29" i="94"/>
  <c r="AJ29" i="94"/>
  <c r="AI29" i="94"/>
  <c r="AH29" i="94"/>
  <c r="AN29" i="94" s="1"/>
  <c r="AG29" i="94"/>
  <c r="G29" i="94"/>
  <c r="C29" i="94"/>
  <c r="B29" i="94"/>
  <c r="BU28" i="94"/>
  <c r="BT28" i="94"/>
  <c r="BS28" i="94"/>
  <c r="BR28" i="94"/>
  <c r="BQ28" i="94"/>
  <c r="BN28" i="94"/>
  <c r="BL28" i="94"/>
  <c r="BK28" i="94"/>
  <c r="I28" i="94" s="1"/>
  <c r="BJ28" i="94"/>
  <c r="H28" i="94" s="1"/>
  <c r="BF28" i="94" s="1"/>
  <c r="BI28" i="94"/>
  <c r="BM28" i="94" s="1"/>
  <c r="BH28" i="94"/>
  <c r="BG28" i="94"/>
  <c r="BE28" i="94"/>
  <c r="BD28" i="94"/>
  <c r="BC28" i="94"/>
  <c r="BB28" i="94"/>
  <c r="BA28" i="94"/>
  <c r="AZ28" i="94"/>
  <c r="AY28" i="94"/>
  <c r="AX28" i="94"/>
  <c r="AW28" i="94"/>
  <c r="AU28" i="94"/>
  <c r="AT28" i="94"/>
  <c r="AS28" i="94"/>
  <c r="AR28" i="94"/>
  <c r="AV28" i="94" s="1"/>
  <c r="AQ28" i="94"/>
  <c r="AP28" i="94"/>
  <c r="AO28" i="94"/>
  <c r="AL28" i="94"/>
  <c r="AJ28" i="94"/>
  <c r="AI28" i="94"/>
  <c r="AH28" i="94"/>
  <c r="AN28" i="94" s="1"/>
  <c r="AG28" i="94"/>
  <c r="G28" i="94"/>
  <c r="C28" i="94"/>
  <c r="B28" i="94"/>
  <c r="BU27" i="94"/>
  <c r="BT27" i="94"/>
  <c r="BS27" i="94"/>
  <c r="BR27" i="94"/>
  <c r="BQ27" i="94"/>
  <c r="BN27" i="94"/>
  <c r="BK27" i="94"/>
  <c r="I27" i="94" s="1"/>
  <c r="BJ27" i="94"/>
  <c r="H27" i="94" s="1"/>
  <c r="BF27" i="94" s="1"/>
  <c r="BI27" i="94"/>
  <c r="AK27" i="94" s="1"/>
  <c r="AM27" i="94" s="1"/>
  <c r="BH27" i="94"/>
  <c r="BG27" i="94"/>
  <c r="BE27" i="94"/>
  <c r="BD27" i="94"/>
  <c r="BC27" i="94"/>
  <c r="BB27" i="94"/>
  <c r="BA27" i="94"/>
  <c r="AZ27" i="94"/>
  <c r="AY27" i="94"/>
  <c r="AX27" i="94"/>
  <c r="AW27" i="94"/>
  <c r="AU27" i="94"/>
  <c r="AT27" i="94"/>
  <c r="AS27" i="94"/>
  <c r="AR27" i="94"/>
  <c r="AV27" i="94" s="1"/>
  <c r="AQ27" i="94"/>
  <c r="AP27" i="94"/>
  <c r="AO27" i="94"/>
  <c r="AL27" i="94"/>
  <c r="AJ27" i="94"/>
  <c r="AI27" i="94"/>
  <c r="AH27" i="94"/>
  <c r="AN27" i="94" s="1"/>
  <c r="AG27" i="94"/>
  <c r="C27" i="94"/>
  <c r="B27" i="94"/>
  <c r="BU26" i="94"/>
  <c r="BT26" i="94"/>
  <c r="BS26" i="94"/>
  <c r="BR26" i="94"/>
  <c r="BQ26" i="94"/>
  <c r="BL26" i="94"/>
  <c r="BH26" i="94"/>
  <c r="BE26" i="94"/>
  <c r="BD26" i="94"/>
  <c r="BC26" i="94"/>
  <c r="AU26" i="94"/>
  <c r="AS26" i="94"/>
  <c r="AQ26" i="94"/>
  <c r="AO26" i="94"/>
  <c r="AL26" i="94"/>
  <c r="AH26" i="94"/>
  <c r="AN26" i="94" s="1"/>
  <c r="AG26" i="94"/>
  <c r="G26" i="94"/>
  <c r="BI26" i="94" s="1"/>
  <c r="BU25" i="94"/>
  <c r="BT25" i="94"/>
  <c r="BS25" i="94"/>
  <c r="BR25" i="94"/>
  <c r="BQ25" i="94"/>
  <c r="BL25" i="94"/>
  <c r="BK25" i="94"/>
  <c r="I25" i="94" s="1"/>
  <c r="BJ25" i="94"/>
  <c r="H25" i="94" s="1"/>
  <c r="BF25" i="94" s="1"/>
  <c r="BH25" i="94"/>
  <c r="BE25" i="94"/>
  <c r="BD25" i="94"/>
  <c r="BC25" i="94"/>
  <c r="BB25" i="94"/>
  <c r="AU25" i="94"/>
  <c r="AS25" i="94"/>
  <c r="AQ25" i="94"/>
  <c r="AO25" i="94"/>
  <c r="AL25" i="94"/>
  <c r="AH25" i="94"/>
  <c r="AN25" i="94" s="1"/>
  <c r="AG25" i="94"/>
  <c r="G25" i="94"/>
  <c r="B25" i="94"/>
  <c r="BU24" i="94"/>
  <c r="BT24" i="94"/>
  <c r="BS24" i="94"/>
  <c r="BR24" i="94"/>
  <c r="BQ24" i="94"/>
  <c r="BH24" i="94"/>
  <c r="BE24" i="94"/>
  <c r="BD24" i="94"/>
  <c r="BC24" i="94"/>
  <c r="AU24" i="94"/>
  <c r="AS24" i="94"/>
  <c r="AQ24" i="94"/>
  <c r="AO24" i="94"/>
  <c r="AL24" i="94"/>
  <c r="AH24" i="94"/>
  <c r="AN24" i="94" s="1"/>
  <c r="AG24" i="94"/>
  <c r="BU23" i="94"/>
  <c r="BT23" i="94"/>
  <c r="BS23" i="94"/>
  <c r="BR23" i="94"/>
  <c r="BQ23" i="94"/>
  <c r="BL23" i="94"/>
  <c r="BI23" i="94"/>
  <c r="BJ23" i="94" s="1"/>
  <c r="H23" i="94" s="1"/>
  <c r="BF23" i="94" s="1"/>
  <c r="BH23" i="94"/>
  <c r="BE23" i="94"/>
  <c r="BD23" i="94"/>
  <c r="BC23" i="94"/>
  <c r="AU23" i="94"/>
  <c r="AS23" i="94"/>
  <c r="AQ23" i="94"/>
  <c r="AO23" i="94"/>
  <c r="AL23" i="94"/>
  <c r="AH23" i="94"/>
  <c r="AN23" i="94" s="1"/>
  <c r="AG23" i="94"/>
  <c r="G23" i="94"/>
  <c r="BK23" i="94" s="1"/>
  <c r="I23" i="94" s="1"/>
  <c r="BU22" i="94"/>
  <c r="BT22" i="94"/>
  <c r="BS22" i="94"/>
  <c r="BR22" i="94"/>
  <c r="BQ22" i="94"/>
  <c r="BL22" i="94"/>
  <c r="BH22" i="94"/>
  <c r="BE22" i="94"/>
  <c r="BD22" i="94"/>
  <c r="BC22" i="94"/>
  <c r="BA22" i="94"/>
  <c r="AU22" i="94"/>
  <c r="AS22" i="94"/>
  <c r="AQ22" i="94"/>
  <c r="AO22" i="94"/>
  <c r="AL22" i="94"/>
  <c r="AH22" i="94"/>
  <c r="AN22" i="94" s="1"/>
  <c r="AG22" i="94"/>
  <c r="G22" i="94"/>
  <c r="BK22" i="94" s="1"/>
  <c r="I22" i="94" s="1"/>
  <c r="BU21" i="94"/>
  <c r="BT21" i="94"/>
  <c r="BS21" i="94"/>
  <c r="BR21" i="94"/>
  <c r="BQ21" i="94"/>
  <c r="BH21" i="94"/>
  <c r="BE21" i="94"/>
  <c r="BD21" i="94"/>
  <c r="BC21" i="94"/>
  <c r="AU21" i="94"/>
  <c r="AS21" i="94"/>
  <c r="AQ21" i="94"/>
  <c r="AO21" i="94"/>
  <c r="AL21" i="94"/>
  <c r="AH21" i="94"/>
  <c r="AN21" i="94" s="1"/>
  <c r="AG21" i="94"/>
  <c r="BL20" i="94"/>
  <c r="BK20" i="94"/>
  <c r="I20" i="94" s="1"/>
  <c r="BI20" i="94"/>
  <c r="BH20" i="94"/>
  <c r="BE20" i="94"/>
  <c r="BD20" i="94"/>
  <c r="BC20" i="94"/>
  <c r="BA20" i="94"/>
  <c r="AY20" i="94"/>
  <c r="AW20" i="94"/>
  <c r="AU20" i="94"/>
  <c r="AS20" i="94"/>
  <c r="AQ20" i="94"/>
  <c r="AO20" i="94"/>
  <c r="AL20" i="94"/>
  <c r="AH20" i="94"/>
  <c r="AN20" i="94" s="1"/>
  <c r="AG20" i="94"/>
  <c r="G20" i="94"/>
  <c r="BB20" i="94" s="1"/>
  <c r="BL19" i="94"/>
  <c r="BJ19" i="94"/>
  <c r="H19" i="94" s="1"/>
  <c r="BF19" i="94" s="1"/>
  <c r="BI19" i="94"/>
  <c r="AZ19" i="94" s="1"/>
  <c r="BH19" i="94"/>
  <c r="BE19" i="94"/>
  <c r="BD19" i="94"/>
  <c r="BC19" i="94"/>
  <c r="BB19" i="94"/>
  <c r="BA19" i="94"/>
  <c r="AW19" i="94"/>
  <c r="AU19" i="94"/>
  <c r="AS19" i="94"/>
  <c r="AQ19" i="94"/>
  <c r="AO19" i="94"/>
  <c r="AL19" i="94"/>
  <c r="AH19" i="94"/>
  <c r="AN19" i="94" s="1"/>
  <c r="AG19" i="94"/>
  <c r="G19" i="94"/>
  <c r="B19" i="94"/>
  <c r="BL18" i="94"/>
  <c r="BH18" i="94"/>
  <c r="BE18" i="94"/>
  <c r="BD18" i="94"/>
  <c r="BC18" i="94"/>
  <c r="AU18" i="94"/>
  <c r="AS18" i="94"/>
  <c r="AQ18" i="94"/>
  <c r="AI18" i="94" s="1"/>
  <c r="C18" i="94" s="1"/>
  <c r="AO18" i="94"/>
  <c r="AL18" i="94"/>
  <c r="AH18" i="94"/>
  <c r="AN18" i="94" s="1"/>
  <c r="AG18" i="94"/>
  <c r="BH17" i="94"/>
  <c r="BL17" i="94" s="1"/>
  <c r="BE17" i="94"/>
  <c r="BD17" i="94"/>
  <c r="BC17" i="94"/>
  <c r="BB17" i="94"/>
  <c r="BA17" i="94"/>
  <c r="AW17" i="94"/>
  <c r="AU17" i="94"/>
  <c r="AS17" i="94"/>
  <c r="AQ17" i="94"/>
  <c r="AO17" i="94"/>
  <c r="AL17" i="94"/>
  <c r="AI17" i="94"/>
  <c r="C17" i="94" s="1"/>
  <c r="AH17" i="94"/>
  <c r="AN17" i="94" s="1"/>
  <c r="AG17" i="94"/>
  <c r="G17" i="94"/>
  <c r="BL16" i="94"/>
  <c r="BK16" i="94"/>
  <c r="I16" i="94" s="1"/>
  <c r="BI16" i="94"/>
  <c r="BH16" i="94"/>
  <c r="BE16" i="94"/>
  <c r="BD16" i="94"/>
  <c r="BC16" i="94"/>
  <c r="BA16" i="94"/>
  <c r="AY16" i="94"/>
  <c r="AW16" i="94"/>
  <c r="AU16" i="94"/>
  <c r="AS16" i="94"/>
  <c r="AQ16" i="94"/>
  <c r="AO16" i="94"/>
  <c r="AL16" i="94"/>
  <c r="AH16" i="94"/>
  <c r="AN16" i="94" s="1"/>
  <c r="AG16" i="94"/>
  <c r="G16" i="94"/>
  <c r="BB16" i="94" s="1"/>
  <c r="BJ15" i="94"/>
  <c r="H15" i="94" s="1"/>
  <c r="BF15" i="94" s="1"/>
  <c r="BH15" i="94"/>
  <c r="BL15" i="94" s="1"/>
  <c r="BE15" i="94"/>
  <c r="BD15" i="94"/>
  <c r="BC15" i="94"/>
  <c r="BB15" i="94"/>
  <c r="BA15" i="94"/>
  <c r="AW15" i="94"/>
  <c r="AU15" i="94"/>
  <c r="AS15" i="94"/>
  <c r="AQ15" i="94"/>
  <c r="AO15" i="94"/>
  <c r="AL15" i="94"/>
  <c r="AH15" i="94"/>
  <c r="AN15" i="94" s="1"/>
  <c r="AG15" i="94"/>
  <c r="G15" i="94"/>
  <c r="B15" i="94"/>
  <c r="BL14" i="94"/>
  <c r="BJ14" i="94"/>
  <c r="H14" i="94" s="1"/>
  <c r="BF14" i="94" s="1"/>
  <c r="BH14" i="94"/>
  <c r="BE14" i="94"/>
  <c r="BD14" i="94"/>
  <c r="BC14" i="94"/>
  <c r="AU14" i="94"/>
  <c r="AS14" i="94"/>
  <c r="AQ14" i="94"/>
  <c r="AO14" i="94"/>
  <c r="AL14" i="94"/>
  <c r="AH14" i="94"/>
  <c r="AN14" i="94" s="1"/>
  <c r="AG14" i="94"/>
  <c r="B14" i="94"/>
  <c r="BH13" i="94"/>
  <c r="BL13" i="94" s="1"/>
  <c r="BE13" i="94"/>
  <c r="BD13" i="94"/>
  <c r="BC13" i="94"/>
  <c r="AU13" i="94"/>
  <c r="AS13" i="94"/>
  <c r="AQ13" i="94"/>
  <c r="AI13" i="94" s="1"/>
  <c r="C13" i="94" s="1"/>
  <c r="AL13" i="94"/>
  <c r="AH13" i="94"/>
  <c r="AG13" i="94"/>
  <c r="BL12" i="94"/>
  <c r="BH12" i="94"/>
  <c r="BE12" i="94"/>
  <c r="BD12" i="94"/>
  <c r="BC12" i="94"/>
  <c r="BB12" i="94"/>
  <c r="BA12" i="94"/>
  <c r="AY12" i="94"/>
  <c r="AX12" i="94"/>
  <c r="AU12" i="94"/>
  <c r="AI12" i="94" s="1"/>
  <c r="C12" i="94" s="1"/>
  <c r="AS12" i="94"/>
  <c r="AQ12" i="94"/>
  <c r="AL12" i="94"/>
  <c r="AH12" i="94"/>
  <c r="AG12" i="94"/>
  <c r="BK12" i="94" s="1"/>
  <c r="I12" i="94" s="1"/>
  <c r="G12" i="94"/>
  <c r="BL11" i="94"/>
  <c r="BH11" i="94"/>
  <c r="BE11" i="94"/>
  <c r="BD11" i="94"/>
  <c r="BC11" i="94"/>
  <c r="BA11" i="94"/>
  <c r="AX11" i="94"/>
  <c r="AW11" i="94"/>
  <c r="AU11" i="94"/>
  <c r="AI11" i="94" s="1"/>
  <c r="C11" i="94" s="1"/>
  <c r="AS11" i="94"/>
  <c r="AQ11" i="94"/>
  <c r="AL11" i="94"/>
  <c r="AH11" i="94"/>
  <c r="BI11" i="94" s="1"/>
  <c r="AG11" i="94"/>
  <c r="G11" i="94"/>
  <c r="BB11" i="94" s="1"/>
  <c r="BH10" i="94"/>
  <c r="BE10" i="94"/>
  <c r="BD10" i="94"/>
  <c r="BC10" i="94"/>
  <c r="AU10" i="94"/>
  <c r="AI10" i="94" s="1"/>
  <c r="C10" i="94" s="1"/>
  <c r="AS10" i="94"/>
  <c r="AQ10" i="94"/>
  <c r="AL10" i="94"/>
  <c r="AH10" i="94"/>
  <c r="AN10" i="94" s="1"/>
  <c r="AG10" i="94"/>
  <c r="BH9" i="94"/>
  <c r="BL9" i="94" s="1"/>
  <c r="BE9" i="94"/>
  <c r="BD9" i="94"/>
  <c r="BC9" i="94"/>
  <c r="BC4" i="94" s="1"/>
  <c r="AU9" i="94"/>
  <c r="AS9" i="94"/>
  <c r="AQ9" i="94"/>
  <c r="AI21" i="94" s="1"/>
  <c r="C21" i="94" s="1"/>
  <c r="AL9" i="94"/>
  <c r="AJ9" i="94"/>
  <c r="AJ10" i="94" s="1"/>
  <c r="AJ11" i="94" s="1"/>
  <c r="AJ12" i="94" s="1"/>
  <c r="AJ13" i="94" s="1"/>
  <c r="AJ14" i="94" s="1"/>
  <c r="AH9" i="94"/>
  <c r="AN9" i="94" s="1"/>
  <c r="AG9" i="94"/>
  <c r="G9" i="94"/>
  <c r="BL8" i="94"/>
  <c r="BJ8" i="94"/>
  <c r="H8" i="94" s="1"/>
  <c r="BF8" i="94" s="1"/>
  <c r="BH8" i="94"/>
  <c r="BE8" i="94"/>
  <c r="BD8" i="94"/>
  <c r="BD4" i="94" s="1"/>
  <c r="BC8" i="94"/>
  <c r="AU8" i="94"/>
  <c r="AS8" i="94"/>
  <c r="AQ8" i="94"/>
  <c r="AL8" i="94"/>
  <c r="AJ8" i="94"/>
  <c r="AH8" i="94"/>
  <c r="AN8" i="94" s="1"/>
  <c r="AG8" i="94"/>
  <c r="G8" i="94"/>
  <c r="BB8" i="94" s="1"/>
  <c r="B8" i="94"/>
  <c r="AV6" i="94"/>
  <c r="BB22" i="95" l="1"/>
  <c r="BK22" i="95"/>
  <c r="I22" i="95" s="1"/>
  <c r="AY22" i="95"/>
  <c r="AK28" i="94"/>
  <c r="AM28" i="94" s="1"/>
  <c r="AR16" i="95"/>
  <c r="AV16" i="95" s="1"/>
  <c r="BN16" i="94"/>
  <c r="AR10" i="96"/>
  <c r="AV10" i="96" s="1"/>
  <c r="AT10" i="96"/>
  <c r="AK19" i="94"/>
  <c r="AK37" i="94"/>
  <c r="AM37" i="94" s="1"/>
  <c r="AR12" i="95"/>
  <c r="AV12" i="95" s="1"/>
  <c r="AT12" i="95"/>
  <c r="AT16" i="95"/>
  <c r="AX16" i="95"/>
  <c r="AN6" i="95"/>
  <c r="BM32" i="94"/>
  <c r="BM19" i="94"/>
  <c r="BN20" i="94"/>
  <c r="AN41" i="95"/>
  <c r="AN11" i="94"/>
  <c r="BJ24" i="96"/>
  <c r="H24" i="96" s="1"/>
  <c r="BF24" i="96" s="1"/>
  <c r="AK24" i="96"/>
  <c r="BN24" i="96"/>
  <c r="BM24" i="96"/>
  <c r="AM26" i="96"/>
  <c r="AT26" i="96"/>
  <c r="AR26" i="96"/>
  <c r="AV26" i="96" s="1"/>
  <c r="AX26" i="96"/>
  <c r="AT15" i="96"/>
  <c r="AR15" i="96"/>
  <c r="AV15" i="96" s="1"/>
  <c r="AM15" i="96"/>
  <c r="AP15" i="96" s="1"/>
  <c r="BG15" i="96" s="1"/>
  <c r="BB4" i="96"/>
  <c r="AO13" i="96"/>
  <c r="AK13" i="96"/>
  <c r="BJ13" i="96"/>
  <c r="H13" i="96" s="1"/>
  <c r="BF13" i="96" s="1"/>
  <c r="BM13" i="96"/>
  <c r="BN13" i="96"/>
  <c r="AO9" i="96"/>
  <c r="BJ9" i="96"/>
  <c r="H9" i="96" s="1"/>
  <c r="AK9" i="96"/>
  <c r="BN9" i="96"/>
  <c r="BM9" i="96"/>
  <c r="AK21" i="96"/>
  <c r="BN21" i="96"/>
  <c r="BM21" i="96"/>
  <c r="AJ22" i="96"/>
  <c r="AK17" i="96"/>
  <c r="BJ17" i="96"/>
  <c r="H17" i="96" s="1"/>
  <c r="BF17" i="96" s="1"/>
  <c r="BN17" i="96"/>
  <c r="BM17" i="96"/>
  <c r="BJ12" i="96"/>
  <c r="H12" i="96" s="1"/>
  <c r="BF12" i="96" s="1"/>
  <c r="AK12" i="96"/>
  <c r="AO12" i="96"/>
  <c r="BM12" i="96"/>
  <c r="BN12" i="96"/>
  <c r="BJ23" i="96"/>
  <c r="H23" i="96" s="1"/>
  <c r="BF23" i="96" s="1"/>
  <c r="AK23" i="96"/>
  <c r="BM23" i="96"/>
  <c r="BN23" i="96"/>
  <c r="AN12" i="94"/>
  <c r="BJ27" i="96"/>
  <c r="H27" i="96" s="1"/>
  <c r="BF27" i="96" s="1"/>
  <c r="AK27" i="96"/>
  <c r="BN27" i="96"/>
  <c r="BM27" i="96"/>
  <c r="AK30" i="96"/>
  <c r="BJ30" i="96"/>
  <c r="H30" i="96" s="1"/>
  <c r="BN30" i="96"/>
  <c r="BM30" i="96"/>
  <c r="AZ17" i="96"/>
  <c r="AZ13" i="96"/>
  <c r="BJ33" i="96"/>
  <c r="H33" i="96" s="1"/>
  <c r="BF33" i="96" s="1"/>
  <c r="AK33" i="96"/>
  <c r="BN33" i="96"/>
  <c r="BM33" i="96"/>
  <c r="AM11" i="96"/>
  <c r="AT11" i="96"/>
  <c r="AR11" i="96"/>
  <c r="AV11" i="96" s="1"/>
  <c r="AZ9" i="96"/>
  <c r="AM29" i="96"/>
  <c r="AR29" i="96"/>
  <c r="AV29" i="96" s="1"/>
  <c r="AT29" i="96"/>
  <c r="AX29" i="96"/>
  <c r="AT31" i="96"/>
  <c r="AR31" i="96"/>
  <c r="AV31" i="96" s="1"/>
  <c r="AM31" i="96"/>
  <c r="AX31" i="96"/>
  <c r="AZ23" i="96"/>
  <c r="AK16" i="96"/>
  <c r="BJ16" i="96"/>
  <c r="H16" i="96" s="1"/>
  <c r="BF16" i="96" s="1"/>
  <c r="BM16" i="96"/>
  <c r="BN16" i="96"/>
  <c r="BM20" i="96"/>
  <c r="AK20" i="96"/>
  <c r="BJ20" i="96"/>
  <c r="H20" i="96" s="1"/>
  <c r="BF20" i="96" s="1"/>
  <c r="BN20" i="96"/>
  <c r="AY4" i="96"/>
  <c r="AT22" i="96"/>
  <c r="AM22" i="96"/>
  <c r="AR22" i="96"/>
  <c r="AV22" i="96" s="1"/>
  <c r="AX22" i="96"/>
  <c r="AK8" i="96"/>
  <c r="AO8" i="96"/>
  <c r="BM8" i="96"/>
  <c r="BN8" i="96"/>
  <c r="AT25" i="96"/>
  <c r="AR25" i="96"/>
  <c r="AV25" i="96" s="1"/>
  <c r="AM25" i="96"/>
  <c r="AX25" i="96"/>
  <c r="AT32" i="96"/>
  <c r="AR32" i="96"/>
  <c r="AV32" i="96" s="1"/>
  <c r="AM32" i="96"/>
  <c r="AP32" i="96" s="1"/>
  <c r="BG32" i="96" s="1"/>
  <c r="AP10" i="96"/>
  <c r="BG10" i="96" s="1"/>
  <c r="AZ8" i="96"/>
  <c r="B11" i="96"/>
  <c r="AR19" i="96"/>
  <c r="AV19" i="96" s="1"/>
  <c r="AM19" i="96"/>
  <c r="AT19" i="96"/>
  <c r="AX19" i="96"/>
  <c r="BA4" i="96"/>
  <c r="AZ24" i="96"/>
  <c r="AZ16" i="96"/>
  <c r="BE4" i="94"/>
  <c r="BN28" i="95"/>
  <c r="BM28" i="95"/>
  <c r="BJ28" i="95"/>
  <c r="H28" i="95" s="1"/>
  <c r="AK28" i="95"/>
  <c r="AZ28" i="95" s="1"/>
  <c r="AK11" i="95"/>
  <c r="BJ11" i="95"/>
  <c r="H11" i="95" s="1"/>
  <c r="BF11" i="95" s="1"/>
  <c r="BN11" i="95"/>
  <c r="BM11" i="95"/>
  <c r="AO11" i="95"/>
  <c r="AZ11" i="95"/>
  <c r="BI13" i="95"/>
  <c r="AZ13" i="95" s="1"/>
  <c r="AW13" i="95"/>
  <c r="BA13" i="95"/>
  <c r="BB13" i="95"/>
  <c r="AY13" i="95"/>
  <c r="AX13" i="95"/>
  <c r="BK13" i="95"/>
  <c r="I13" i="95" s="1"/>
  <c r="BB23" i="95"/>
  <c r="BA23" i="95"/>
  <c r="BK23" i="95"/>
  <c r="I23" i="95" s="1"/>
  <c r="AY23" i="95"/>
  <c r="AW23" i="95"/>
  <c r="BI23" i="95"/>
  <c r="BJ19" i="95"/>
  <c r="H19" i="95" s="1"/>
  <c r="BF19" i="95" s="1"/>
  <c r="AK19" i="95"/>
  <c r="BN19" i="95"/>
  <c r="BM19" i="95"/>
  <c r="BG20" i="95"/>
  <c r="BN25" i="95"/>
  <c r="BM25" i="95"/>
  <c r="AZ25" i="95"/>
  <c r="BJ25" i="95"/>
  <c r="H25" i="95" s="1"/>
  <c r="BF25" i="95" s="1"/>
  <c r="AK25" i="95"/>
  <c r="B10" i="95"/>
  <c r="BB10" i="95"/>
  <c r="BA10" i="95"/>
  <c r="AX10" i="95"/>
  <c r="BK10" i="95"/>
  <c r="I10" i="95" s="1"/>
  <c r="AY10" i="95"/>
  <c r="BI10" i="95"/>
  <c r="AZ10" i="95" s="1"/>
  <c r="AW10" i="95"/>
  <c r="E41" i="95"/>
  <c r="AV41" i="95"/>
  <c r="AV45" i="95" s="1"/>
  <c r="Q5" i="95"/>
  <c r="BK17" i="95"/>
  <c r="I17" i="95" s="1"/>
  <c r="AY17" i="95"/>
  <c r="BI17" i="95"/>
  <c r="AZ17" i="95" s="1"/>
  <c r="AW17" i="95"/>
  <c r="BA17" i="95"/>
  <c r="BB17" i="95"/>
  <c r="BN22" i="95"/>
  <c r="BM22" i="95"/>
  <c r="BJ22" i="95"/>
  <c r="H22" i="95" s="1"/>
  <c r="BF22" i="95" s="1"/>
  <c r="AK22" i="95"/>
  <c r="AZ22" i="95"/>
  <c r="BK21" i="95"/>
  <c r="I21" i="95" s="1"/>
  <c r="AY21" i="95"/>
  <c r="BI21" i="95"/>
  <c r="AZ21" i="95" s="1"/>
  <c r="AW21" i="95"/>
  <c r="BB21" i="95"/>
  <c r="BA21" i="95"/>
  <c r="BK24" i="95"/>
  <c r="I24" i="95" s="1"/>
  <c r="AY24" i="95"/>
  <c r="BI24" i="95"/>
  <c r="AZ24" i="95" s="1"/>
  <c r="AW24" i="95"/>
  <c r="BA24" i="95"/>
  <c r="BB24" i="95"/>
  <c r="BB9" i="95"/>
  <c r="BA9" i="95"/>
  <c r="AY9" i="95"/>
  <c r="AX9" i="95"/>
  <c r="BI9" i="95"/>
  <c r="AZ9" i="95" s="1"/>
  <c r="BK9" i="95"/>
  <c r="I9" i="95" s="1"/>
  <c r="AW9" i="95"/>
  <c r="I12" i="95"/>
  <c r="BN12" i="95"/>
  <c r="BB18" i="95"/>
  <c r="BA18" i="95"/>
  <c r="BK18" i="95"/>
  <c r="I18" i="95" s="1"/>
  <c r="AY18" i="95"/>
  <c r="BI18" i="95"/>
  <c r="AZ18" i="95" s="1"/>
  <c r="AW18" i="95"/>
  <c r="AK15" i="95"/>
  <c r="BM15" i="95"/>
  <c r="BN15" i="95"/>
  <c r="BI12" i="94"/>
  <c r="BM12" i="94" s="1"/>
  <c r="BB14" i="95"/>
  <c r="BA14" i="95"/>
  <c r="BK14" i="95"/>
  <c r="I14" i="95" s="1"/>
  <c r="AY14" i="95"/>
  <c r="AX14" i="95"/>
  <c r="AW14" i="95"/>
  <c r="BI14" i="95"/>
  <c r="AZ14" i="95" s="1"/>
  <c r="BK27" i="95"/>
  <c r="I27" i="95" s="1"/>
  <c r="AY27" i="95"/>
  <c r="AX27" i="95"/>
  <c r="BI27" i="95"/>
  <c r="AZ27" i="95" s="1"/>
  <c r="AW27" i="95"/>
  <c r="BA27" i="95"/>
  <c r="BB27" i="95"/>
  <c r="AZ20" i="94"/>
  <c r="BB26" i="95"/>
  <c r="BA26" i="95"/>
  <c r="BI26" i="95"/>
  <c r="AZ26" i="95" s="1"/>
  <c r="BK26" i="95"/>
  <c r="I26" i="95" s="1"/>
  <c r="AY26" i="95"/>
  <c r="AW26" i="95"/>
  <c r="AJ16" i="95"/>
  <c r="BM27" i="94"/>
  <c r="AK29" i="94"/>
  <c r="AM29" i="94" s="1"/>
  <c r="AK36" i="94"/>
  <c r="AM36" i="94" s="1"/>
  <c r="AZ19" i="95"/>
  <c r="AT8" i="95"/>
  <c r="AR8" i="95"/>
  <c r="AV8" i="95" s="1"/>
  <c r="AM8" i="95"/>
  <c r="AJ15" i="94"/>
  <c r="BJ26" i="94"/>
  <c r="H26" i="94" s="1"/>
  <c r="BF26" i="94" s="1"/>
  <c r="AK26" i="94"/>
  <c r="AX26" i="94" s="1"/>
  <c r="AS41" i="94"/>
  <c r="BM11" i="94"/>
  <c r="AM19" i="94"/>
  <c r="AP19" i="94" s="1"/>
  <c r="AT19" i="94"/>
  <c r="BL10" i="94"/>
  <c r="BJ16" i="94"/>
  <c r="H16" i="94" s="1"/>
  <c r="BF16" i="94" s="1"/>
  <c r="BN23" i="94"/>
  <c r="AW8" i="94"/>
  <c r="BI8" i="94"/>
  <c r="AZ8" i="94" s="1"/>
  <c r="AI9" i="94"/>
  <c r="BI9" i="94"/>
  <c r="AZ9" i="94" s="1"/>
  <c r="G13" i="94"/>
  <c r="BJ20" i="94"/>
  <c r="H20" i="94" s="1"/>
  <c r="BF20" i="94" s="1"/>
  <c r="AW23" i="94"/>
  <c r="G10" i="94"/>
  <c r="AV43" i="94"/>
  <c r="AV44" i="94" s="1"/>
  <c r="AW9" i="94"/>
  <c r="AO11" i="94"/>
  <c r="BK15" i="94"/>
  <c r="I15" i="94" s="1"/>
  <c r="AY15" i="94"/>
  <c r="AX15" i="94"/>
  <c r="BI22" i="94"/>
  <c r="AZ22" i="94" s="1"/>
  <c r="AW22" i="94"/>
  <c r="AY23" i="94"/>
  <c r="AW26" i="94"/>
  <c r="AY8" i="94"/>
  <c r="AX9" i="94"/>
  <c r="AK16" i="94"/>
  <c r="BM16" i="94"/>
  <c r="BK19" i="94"/>
  <c r="AY19" i="94"/>
  <c r="AX19" i="94"/>
  <c r="G21" i="94"/>
  <c r="BL21" i="94"/>
  <c r="AY22" i="94"/>
  <c r="AK23" i="94"/>
  <c r="AX23" i="94" s="1"/>
  <c r="BB23" i="94"/>
  <c r="BI25" i="94"/>
  <c r="AW25" i="94"/>
  <c r="AX25" i="94"/>
  <c r="AY26" i="94"/>
  <c r="AK11" i="94"/>
  <c r="AX8" i="94"/>
  <c r="BK8" i="94"/>
  <c r="I8" i="94" s="1"/>
  <c r="BK9" i="94"/>
  <c r="I9" i="94" s="1"/>
  <c r="AY9" i="94"/>
  <c r="BK11" i="94"/>
  <c r="I11" i="94" s="1"/>
  <c r="AY11" i="94"/>
  <c r="BI15" i="94"/>
  <c r="AZ16" i="94"/>
  <c r="AR19" i="94"/>
  <c r="AV19" i="94" s="1"/>
  <c r="AK20" i="94"/>
  <c r="BM20" i="94"/>
  <c r="G24" i="94"/>
  <c r="BL24" i="94"/>
  <c r="AY25" i="94"/>
  <c r="BB26" i="94"/>
  <c r="AQ41" i="94"/>
  <c r="BJ11" i="94"/>
  <c r="H11" i="94" s="1"/>
  <c r="BF11" i="94" s="1"/>
  <c r="BA8" i="94"/>
  <c r="BA9" i="94"/>
  <c r="BK17" i="94"/>
  <c r="I17" i="94" s="1"/>
  <c r="AY17" i="94"/>
  <c r="AZ11" i="94"/>
  <c r="AN13" i="94"/>
  <c r="AI22" i="94"/>
  <c r="C22" i="94" s="1"/>
  <c r="B9" i="94"/>
  <c r="BB9" i="94"/>
  <c r="B10" i="94"/>
  <c r="AW12" i="94"/>
  <c r="BI17" i="94"/>
  <c r="AZ17" i="94" s="1"/>
  <c r="BB22" i="94"/>
  <c r="BA25" i="94"/>
  <c r="AI23" i="94"/>
  <c r="C23" i="94" s="1"/>
  <c r="BM23" i="94"/>
  <c r="AI26" i="94"/>
  <c r="C26" i="94" s="1"/>
  <c r="BM26" i="94"/>
  <c r="AI24" i="94"/>
  <c r="C24" i="94" s="1"/>
  <c r="AI20" i="94"/>
  <c r="C20" i="94" s="1"/>
  <c r="AI16" i="94"/>
  <c r="C16" i="94" s="1"/>
  <c r="BA26" i="94"/>
  <c r="AZ26" i="94"/>
  <c r="BK26" i="94"/>
  <c r="I26" i="94" s="1"/>
  <c r="G27" i="94"/>
  <c r="BL27" i="94"/>
  <c r="BA23" i="94"/>
  <c r="AZ23" i="94"/>
  <c r="AU41" i="94"/>
  <c r="AK33" i="94"/>
  <c r="AM33" i="94" s="1"/>
  <c r="BL30" i="94"/>
  <c r="BL34" i="94"/>
  <c r="BL38" i="94"/>
  <c r="BM30" i="94"/>
  <c r="BM34" i="94"/>
  <c r="BM38" i="94"/>
  <c r="BL35" i="94"/>
  <c r="BL39" i="94"/>
  <c r="BM31" i="94"/>
  <c r="BM35" i="94"/>
  <c r="BM39" i="94"/>
  <c r="G14" i="94"/>
  <c r="G18" i="94"/>
  <c r="U48" i="93"/>
  <c r="BE43" i="93"/>
  <c r="AT43" i="93"/>
  <c r="AT44" i="93" s="1"/>
  <c r="AR44" i="93" s="1"/>
  <c r="AI17" i="93" s="1"/>
  <c r="C17" i="93" s="1"/>
  <c r="BN39" i="93"/>
  <c r="BL39" i="93"/>
  <c r="BK39" i="93"/>
  <c r="I39" i="93" s="1"/>
  <c r="BJ39" i="93"/>
  <c r="H39" i="93" s="1"/>
  <c r="BF39" i="93" s="1"/>
  <c r="BI39" i="93"/>
  <c r="AK39" i="93" s="1"/>
  <c r="AM39" i="93" s="1"/>
  <c r="BH39" i="93"/>
  <c r="G39" i="93" s="1"/>
  <c r="BG39" i="93"/>
  <c r="BE39" i="93"/>
  <c r="BD39" i="93"/>
  <c r="BC39" i="93"/>
  <c r="BB39" i="93"/>
  <c r="BA39" i="93"/>
  <c r="AZ39" i="93"/>
  <c r="AY39" i="93"/>
  <c r="AX39" i="93"/>
  <c r="AW39" i="93"/>
  <c r="AU39" i="93"/>
  <c r="AT39" i="93"/>
  <c r="AS39" i="93"/>
  <c r="AR39" i="93"/>
  <c r="AV39" i="93" s="1"/>
  <c r="AQ39" i="93"/>
  <c r="AP39" i="93"/>
  <c r="AO39" i="93"/>
  <c r="AL39" i="93"/>
  <c r="AJ39" i="93"/>
  <c r="AI39" i="93"/>
  <c r="AH39" i="93"/>
  <c r="AN39" i="93" s="1"/>
  <c r="AG39" i="93"/>
  <c r="C39" i="93"/>
  <c r="B39" i="93"/>
  <c r="BN38" i="93"/>
  <c r="BK38" i="93"/>
  <c r="I38" i="93" s="1"/>
  <c r="BJ38" i="93"/>
  <c r="H38" i="93" s="1"/>
  <c r="BF38" i="93" s="1"/>
  <c r="BI38" i="93"/>
  <c r="AK38" i="93" s="1"/>
  <c r="AM38" i="93" s="1"/>
  <c r="BH38" i="93"/>
  <c r="G38" i="93" s="1"/>
  <c r="BG38" i="93"/>
  <c r="BE38" i="93"/>
  <c r="BD38" i="93"/>
  <c r="BC38" i="93"/>
  <c r="BB38" i="93"/>
  <c r="BA38" i="93"/>
  <c r="AZ38" i="93"/>
  <c r="AY38" i="93"/>
  <c r="AX38" i="93"/>
  <c r="AW38" i="93"/>
  <c r="AU38" i="93"/>
  <c r="AT38" i="93"/>
  <c r="AS38" i="93"/>
  <c r="AR38" i="93"/>
  <c r="AV38" i="93" s="1"/>
  <c r="AQ38" i="93"/>
  <c r="AP38" i="93"/>
  <c r="AO38" i="93"/>
  <c r="AL38" i="93"/>
  <c r="AJ38" i="93"/>
  <c r="AI38" i="93"/>
  <c r="AH38" i="93"/>
  <c r="AN38" i="93" s="1"/>
  <c r="AG38" i="93"/>
  <c r="C38" i="93"/>
  <c r="B38" i="93"/>
  <c r="BN37" i="93"/>
  <c r="BL37" i="93"/>
  <c r="BK37" i="93"/>
  <c r="I37" i="93" s="1"/>
  <c r="BJ37" i="93"/>
  <c r="H37" i="93" s="1"/>
  <c r="BF37" i="93" s="1"/>
  <c r="BI37" i="93"/>
  <c r="BM37" i="93" s="1"/>
  <c r="BH37" i="93"/>
  <c r="BG37" i="93"/>
  <c r="BE37" i="93"/>
  <c r="BD37" i="93"/>
  <c r="BC37" i="93"/>
  <c r="BB37" i="93"/>
  <c r="BA37" i="93"/>
  <c r="AZ37" i="93"/>
  <c r="AY37" i="93"/>
  <c r="AX37" i="93"/>
  <c r="AW37" i="93"/>
  <c r="AU37" i="93"/>
  <c r="AT37" i="93"/>
  <c r="AS37" i="93"/>
  <c r="AR37" i="93"/>
  <c r="AV37" i="93" s="1"/>
  <c r="AQ37" i="93"/>
  <c r="AP37" i="93"/>
  <c r="AO37" i="93"/>
  <c r="AL37" i="93"/>
  <c r="AJ37" i="93"/>
  <c r="AI37" i="93"/>
  <c r="AH37" i="93"/>
  <c r="AN37" i="93" s="1"/>
  <c r="AG37" i="93"/>
  <c r="G37" i="93"/>
  <c r="C37" i="93"/>
  <c r="B37" i="93"/>
  <c r="BN36" i="93"/>
  <c r="BK36" i="93"/>
  <c r="I36" i="93" s="1"/>
  <c r="BJ36" i="93"/>
  <c r="H36" i="93" s="1"/>
  <c r="BF36" i="93" s="1"/>
  <c r="BI36" i="93"/>
  <c r="BM36" i="93" s="1"/>
  <c r="BH36" i="93"/>
  <c r="BL36" i="93" s="1"/>
  <c r="BG36" i="93"/>
  <c r="BE36" i="93"/>
  <c r="BD36" i="93"/>
  <c r="BC36" i="93"/>
  <c r="BB36" i="93"/>
  <c r="BA36" i="93"/>
  <c r="AZ36" i="93"/>
  <c r="AY36" i="93"/>
  <c r="AX36" i="93"/>
  <c r="AW36" i="93"/>
  <c r="AU36" i="93"/>
  <c r="AT36" i="93"/>
  <c r="AS36" i="93"/>
  <c r="AR36" i="93"/>
  <c r="AV36" i="93" s="1"/>
  <c r="AQ36" i="93"/>
  <c r="AP36" i="93"/>
  <c r="AO36" i="93"/>
  <c r="AL36" i="93"/>
  <c r="AJ36" i="93"/>
  <c r="AI36" i="93"/>
  <c r="AH36" i="93"/>
  <c r="AN36" i="93" s="1"/>
  <c r="AG36" i="93"/>
  <c r="G36" i="93"/>
  <c r="C36" i="93"/>
  <c r="B36" i="93"/>
  <c r="BN35" i="93"/>
  <c r="BL35" i="93"/>
  <c r="BK35" i="93"/>
  <c r="I35" i="93" s="1"/>
  <c r="BJ35" i="93"/>
  <c r="H35" i="93" s="1"/>
  <c r="BF35" i="93" s="1"/>
  <c r="BI35" i="93"/>
  <c r="AK35" i="93" s="1"/>
  <c r="AM35" i="93" s="1"/>
  <c r="BH35" i="93"/>
  <c r="G35" i="93" s="1"/>
  <c r="BG35" i="93"/>
  <c r="BE35" i="93"/>
  <c r="BD35" i="93"/>
  <c r="BC35" i="93"/>
  <c r="BB35" i="93"/>
  <c r="BA35" i="93"/>
  <c r="AZ35" i="93"/>
  <c r="AY35" i="93"/>
  <c r="AX35" i="93"/>
  <c r="AW35" i="93"/>
  <c r="AU35" i="93"/>
  <c r="AT35" i="93"/>
  <c r="AS35" i="93"/>
  <c r="AR35" i="93"/>
  <c r="AV35" i="93" s="1"/>
  <c r="AQ35" i="93"/>
  <c r="AP35" i="93"/>
  <c r="AO35" i="93"/>
  <c r="AL35" i="93"/>
  <c r="AJ35" i="93"/>
  <c r="AI35" i="93"/>
  <c r="AH35" i="93"/>
  <c r="AN35" i="93" s="1"/>
  <c r="AG35" i="93"/>
  <c r="C35" i="93"/>
  <c r="B35" i="93"/>
  <c r="BN34" i="93"/>
  <c r="BK34" i="93"/>
  <c r="I34" i="93" s="1"/>
  <c r="BJ34" i="93"/>
  <c r="H34" i="93" s="1"/>
  <c r="BF34" i="93" s="1"/>
  <c r="BI34" i="93"/>
  <c r="AK34" i="93" s="1"/>
  <c r="AM34" i="93" s="1"/>
  <c r="BH34" i="93"/>
  <c r="G34" i="93" s="1"/>
  <c r="BG34" i="93"/>
  <c r="BE34" i="93"/>
  <c r="BD34" i="93"/>
  <c r="BC34" i="93"/>
  <c r="BB34" i="93"/>
  <c r="BA34" i="93"/>
  <c r="AZ34" i="93"/>
  <c r="AY34" i="93"/>
  <c r="AX34" i="93"/>
  <c r="AW34" i="93"/>
  <c r="AU34" i="93"/>
  <c r="AT34" i="93"/>
  <c r="AS34" i="93"/>
  <c r="AR34" i="93"/>
  <c r="AV34" i="93" s="1"/>
  <c r="AQ34" i="93"/>
  <c r="AP34" i="93"/>
  <c r="AO34" i="93"/>
  <c r="AL34" i="93"/>
  <c r="AJ34" i="93"/>
  <c r="AI34" i="93"/>
  <c r="AH34" i="93"/>
  <c r="AN34" i="93" s="1"/>
  <c r="AG34" i="93"/>
  <c r="C34" i="93"/>
  <c r="B34" i="93"/>
  <c r="BL33" i="93"/>
  <c r="BK33" i="93"/>
  <c r="I33" i="93" s="1"/>
  <c r="BI33" i="93"/>
  <c r="AK33" i="93" s="1"/>
  <c r="AR33" i="93" s="1"/>
  <c r="AV33" i="93" s="1"/>
  <c r="BH33" i="93"/>
  <c r="BE33" i="93"/>
  <c r="BD33" i="93"/>
  <c r="BC33" i="93"/>
  <c r="BA33" i="93"/>
  <c r="AY33" i="93"/>
  <c r="AW33" i="93"/>
  <c r="AU33" i="93"/>
  <c r="AS33" i="93"/>
  <c r="AQ33" i="93"/>
  <c r="AO33" i="93"/>
  <c r="AL33" i="93"/>
  <c r="AH33" i="93"/>
  <c r="AN33" i="93" s="1"/>
  <c r="AG33" i="93"/>
  <c r="G33" i="93"/>
  <c r="BB33" i="93" s="1"/>
  <c r="BH32" i="93"/>
  <c r="BL32" i="93" s="1"/>
  <c r="BE32" i="93"/>
  <c r="BD32" i="93"/>
  <c r="BC32" i="93"/>
  <c r="BA32" i="93"/>
  <c r="AU32" i="93"/>
  <c r="AS32" i="93"/>
  <c r="AQ32" i="93"/>
  <c r="AO32" i="93"/>
  <c r="AL32" i="93"/>
  <c r="AH32" i="93"/>
  <c r="AN32" i="93" s="1"/>
  <c r="AG32" i="93"/>
  <c r="G32" i="93"/>
  <c r="BB32" i="93" s="1"/>
  <c r="BL31" i="93"/>
  <c r="BH31" i="93"/>
  <c r="BE31" i="93"/>
  <c r="BD31" i="93"/>
  <c r="BC31" i="93"/>
  <c r="AU31" i="93"/>
  <c r="AS31" i="93"/>
  <c r="AQ31" i="93"/>
  <c r="AO31" i="93"/>
  <c r="AL31" i="93"/>
  <c r="AH31" i="93"/>
  <c r="AN31" i="93" s="1"/>
  <c r="AG31" i="93"/>
  <c r="BH30" i="93"/>
  <c r="BE30" i="93"/>
  <c r="BD30" i="93"/>
  <c r="BC30" i="93"/>
  <c r="AU30" i="93"/>
  <c r="AS30" i="93"/>
  <c r="AQ30" i="93"/>
  <c r="AO30" i="93"/>
  <c r="AL30" i="93"/>
  <c r="AH30" i="93"/>
  <c r="AN30" i="93" s="1"/>
  <c r="AG30" i="93"/>
  <c r="BU29" i="93"/>
  <c r="BT29" i="93"/>
  <c r="BS29" i="93"/>
  <c r="BR29" i="93"/>
  <c r="BQ29" i="93"/>
  <c r="BJ29" i="93"/>
  <c r="H29" i="93" s="1"/>
  <c r="BF29" i="93" s="1"/>
  <c r="BH29" i="93"/>
  <c r="BE29" i="93"/>
  <c r="BD29" i="93"/>
  <c r="BC29" i="93"/>
  <c r="AU29" i="93"/>
  <c r="AS29" i="93"/>
  <c r="AQ29" i="93"/>
  <c r="AO29" i="93"/>
  <c r="AL29" i="93"/>
  <c r="AH29" i="93"/>
  <c r="AN29" i="93" s="1"/>
  <c r="AG29" i="93"/>
  <c r="B29" i="93"/>
  <c r="BU28" i="93"/>
  <c r="BT28" i="93"/>
  <c r="BS28" i="93"/>
  <c r="BR28" i="93"/>
  <c r="BQ28" i="93"/>
  <c r="BL28" i="93"/>
  <c r="BK28" i="93"/>
  <c r="I28" i="93" s="1"/>
  <c r="BH28" i="93"/>
  <c r="BE28" i="93"/>
  <c r="BD28" i="93"/>
  <c r="BC28" i="93"/>
  <c r="AY28" i="93"/>
  <c r="AU28" i="93"/>
  <c r="AS28" i="93"/>
  <c r="AQ28" i="93"/>
  <c r="AO28" i="93"/>
  <c r="AL28" i="93"/>
  <c r="AH28" i="93"/>
  <c r="AN28" i="93" s="1"/>
  <c r="AG28" i="93"/>
  <c r="G28" i="93"/>
  <c r="BB28" i="93" s="1"/>
  <c r="BU27" i="93"/>
  <c r="BT27" i="93"/>
  <c r="BS27" i="93"/>
  <c r="BR27" i="93"/>
  <c r="BQ27" i="93"/>
  <c r="BH27" i="93"/>
  <c r="BE27" i="93"/>
  <c r="BD27" i="93"/>
  <c r="BC27" i="93"/>
  <c r="AU27" i="93"/>
  <c r="AS27" i="93"/>
  <c r="AQ27" i="93"/>
  <c r="AO27" i="93"/>
  <c r="AL27" i="93"/>
  <c r="AH27" i="93"/>
  <c r="AG27" i="93"/>
  <c r="BU26" i="93"/>
  <c r="BT26" i="93"/>
  <c r="BS26" i="93"/>
  <c r="BR26" i="93"/>
  <c r="BQ26" i="93"/>
  <c r="BH26" i="93"/>
  <c r="BE26" i="93"/>
  <c r="BD26" i="93"/>
  <c r="BC26" i="93"/>
  <c r="AU26" i="93"/>
  <c r="AS26" i="93"/>
  <c r="AQ26" i="93"/>
  <c r="AO26" i="93"/>
  <c r="AL26" i="93"/>
  <c r="AH26" i="93"/>
  <c r="AN26" i="93" s="1"/>
  <c r="AG26" i="93"/>
  <c r="BU25" i="93"/>
  <c r="BT25" i="93"/>
  <c r="BS25" i="93"/>
  <c r="BR25" i="93"/>
  <c r="BQ25" i="93"/>
  <c r="BL25" i="93"/>
  <c r="BK25" i="93"/>
  <c r="I25" i="93" s="1"/>
  <c r="BH25" i="93"/>
  <c r="BE25" i="93"/>
  <c r="BD25" i="93"/>
  <c r="BC25" i="93"/>
  <c r="AY25" i="93"/>
  <c r="AU25" i="93"/>
  <c r="AS25" i="93"/>
  <c r="AQ25" i="93"/>
  <c r="AO25" i="93"/>
  <c r="AL25" i="93"/>
  <c r="AH25" i="93"/>
  <c r="AN25" i="93" s="1"/>
  <c r="AG25" i="93"/>
  <c r="G25" i="93"/>
  <c r="BB25" i="93" s="1"/>
  <c r="BU24" i="93"/>
  <c r="BT24" i="93"/>
  <c r="BS24" i="93"/>
  <c r="BR24" i="93"/>
  <c r="BQ24" i="93"/>
  <c r="BH24" i="93"/>
  <c r="BE24" i="93"/>
  <c r="BD24" i="93"/>
  <c r="BC24" i="93"/>
  <c r="AU24" i="93"/>
  <c r="AS24" i="93"/>
  <c r="AQ24" i="93"/>
  <c r="AO24" i="93"/>
  <c r="AL24" i="93"/>
  <c r="AI24" i="93"/>
  <c r="C24" i="93" s="1"/>
  <c r="AH24" i="93"/>
  <c r="AG24" i="93"/>
  <c r="BU23" i="93"/>
  <c r="BT23" i="93"/>
  <c r="BS23" i="93"/>
  <c r="BR23" i="93"/>
  <c r="BQ23" i="93"/>
  <c r="BH23" i="93"/>
  <c r="BE23" i="93"/>
  <c r="BD23" i="93"/>
  <c r="BC23" i="93"/>
  <c r="AU23" i="93"/>
  <c r="AS23" i="93"/>
  <c r="AQ23" i="93"/>
  <c r="AO23" i="93"/>
  <c r="AL23" i="93"/>
  <c r="AH23" i="93"/>
  <c r="AN23" i="93" s="1"/>
  <c r="AG23" i="93"/>
  <c r="BU22" i="93"/>
  <c r="BT22" i="93"/>
  <c r="BS22" i="93"/>
  <c r="BR22" i="93"/>
  <c r="BQ22" i="93"/>
  <c r="BL22" i="93"/>
  <c r="BH22" i="93"/>
  <c r="BE22" i="93"/>
  <c r="BD22" i="93"/>
  <c r="BC22" i="93"/>
  <c r="AY22" i="93"/>
  <c r="AU22" i="93"/>
  <c r="AS22" i="93"/>
  <c r="AQ22" i="93"/>
  <c r="AO22" i="93"/>
  <c r="AL22" i="93"/>
  <c r="AH22" i="93"/>
  <c r="AN22" i="93" s="1"/>
  <c r="AG22" i="93"/>
  <c r="G22" i="93"/>
  <c r="BK22" i="93" s="1"/>
  <c r="I22" i="93" s="1"/>
  <c r="BU21" i="93"/>
  <c r="BT21" i="93"/>
  <c r="BS21" i="93"/>
  <c r="BR21" i="93"/>
  <c r="BQ21" i="93"/>
  <c r="BH21" i="93"/>
  <c r="BE21" i="93"/>
  <c r="BD21" i="93"/>
  <c r="BC21" i="93"/>
  <c r="AU21" i="93"/>
  <c r="AS21" i="93"/>
  <c r="AQ21" i="93"/>
  <c r="AO21" i="93"/>
  <c r="AL21" i="93"/>
  <c r="AH21" i="93"/>
  <c r="AG21" i="93"/>
  <c r="BL20" i="93"/>
  <c r="BK20" i="93"/>
  <c r="I20" i="93" s="1"/>
  <c r="BI20" i="93"/>
  <c r="AK20" i="93" s="1"/>
  <c r="AR20" i="93" s="1"/>
  <c r="AV20" i="93" s="1"/>
  <c r="BH20" i="93"/>
  <c r="BE20" i="93"/>
  <c r="BD20" i="93"/>
  <c r="BC20" i="93"/>
  <c r="BA20" i="93"/>
  <c r="AY20" i="93"/>
  <c r="AW20" i="93"/>
  <c r="AU20" i="93"/>
  <c r="AS20" i="93"/>
  <c r="AQ20" i="93"/>
  <c r="AI20" i="93" s="1"/>
  <c r="C20" i="93" s="1"/>
  <c r="AO20" i="93"/>
  <c r="AL20" i="93"/>
  <c r="AH20" i="93"/>
  <c r="AN20" i="93" s="1"/>
  <c r="AG20" i="93"/>
  <c r="G20" i="93"/>
  <c r="BB20" i="93" s="1"/>
  <c r="BJ19" i="93"/>
  <c r="H19" i="93" s="1"/>
  <c r="BF19" i="93" s="1"/>
  <c r="BH19" i="93"/>
  <c r="BL19" i="93" s="1"/>
  <c r="BE19" i="93"/>
  <c r="BD19" i="93"/>
  <c r="BC19" i="93"/>
  <c r="BB19" i="93"/>
  <c r="BA19" i="93"/>
  <c r="AU19" i="93"/>
  <c r="AS19" i="93"/>
  <c r="AQ19" i="93"/>
  <c r="AO19" i="93"/>
  <c r="AL19" i="93"/>
  <c r="AH19" i="93"/>
  <c r="AN19" i="93" s="1"/>
  <c r="AG19" i="93"/>
  <c r="G19" i="93"/>
  <c r="B19" i="93"/>
  <c r="BL18" i="93"/>
  <c r="BH18" i="93"/>
  <c r="BE18" i="93"/>
  <c r="BD18" i="93"/>
  <c r="BC18" i="93"/>
  <c r="AU18" i="93"/>
  <c r="AS18" i="93"/>
  <c r="AQ18" i="93"/>
  <c r="AO18" i="93"/>
  <c r="AL18" i="93"/>
  <c r="AH18" i="93"/>
  <c r="AN18" i="93" s="1"/>
  <c r="AG18" i="93"/>
  <c r="BH17" i="93"/>
  <c r="BE17" i="93"/>
  <c r="BD17" i="93"/>
  <c r="BC17" i="93"/>
  <c r="AU17" i="93"/>
  <c r="AS17" i="93"/>
  <c r="AQ17" i="93"/>
  <c r="AO17" i="93"/>
  <c r="AL17" i="93"/>
  <c r="AH17" i="93"/>
  <c r="AN17" i="93" s="1"/>
  <c r="AG17" i="93"/>
  <c r="BL16" i="93"/>
  <c r="BK16" i="93"/>
  <c r="I16" i="93" s="1"/>
  <c r="BI16" i="93"/>
  <c r="BH16" i="93"/>
  <c r="BE16" i="93"/>
  <c r="BD16" i="93"/>
  <c r="BC16" i="93"/>
  <c r="BA16" i="93"/>
  <c r="AY16" i="93"/>
  <c r="AW16" i="93"/>
  <c r="AU16" i="93"/>
  <c r="AS16" i="93"/>
  <c r="AQ16" i="93"/>
  <c r="AO16" i="93"/>
  <c r="AL16" i="93"/>
  <c r="AH16" i="93"/>
  <c r="AG16" i="93"/>
  <c r="G16" i="93"/>
  <c r="BB16" i="93" s="1"/>
  <c r="BJ15" i="93"/>
  <c r="H15" i="93" s="1"/>
  <c r="BF15" i="93" s="1"/>
  <c r="BH15" i="93"/>
  <c r="BL15" i="93" s="1"/>
  <c r="BE15" i="93"/>
  <c r="BD15" i="93"/>
  <c r="BC15" i="93"/>
  <c r="AU15" i="93"/>
  <c r="AS15" i="93"/>
  <c r="AQ15" i="93"/>
  <c r="AO15" i="93"/>
  <c r="AL15" i="93"/>
  <c r="AH15" i="93"/>
  <c r="AN15" i="93" s="1"/>
  <c r="AG15" i="93"/>
  <c r="G15" i="93"/>
  <c r="B15" i="93"/>
  <c r="BL14" i="93"/>
  <c r="BJ14" i="93"/>
  <c r="H14" i="93" s="1"/>
  <c r="BF14" i="93" s="1"/>
  <c r="BH14" i="93"/>
  <c r="BE14" i="93"/>
  <c r="BD14" i="93"/>
  <c r="BC14" i="93"/>
  <c r="AU14" i="93"/>
  <c r="AS14" i="93"/>
  <c r="AQ14" i="93"/>
  <c r="AO14" i="93"/>
  <c r="AL14" i="93"/>
  <c r="AH14" i="93"/>
  <c r="AN14" i="93" s="1"/>
  <c r="AG14" i="93"/>
  <c r="B14" i="93"/>
  <c r="BH13" i="93"/>
  <c r="BE13" i="93"/>
  <c r="BD13" i="93"/>
  <c r="BC13" i="93"/>
  <c r="AU13" i="93"/>
  <c r="AS13" i="93"/>
  <c r="AQ13" i="93"/>
  <c r="AL13" i="93"/>
  <c r="AH13" i="93"/>
  <c r="AN13" i="93" s="1"/>
  <c r="AG13" i="93"/>
  <c r="BL12" i="93"/>
  <c r="BH12" i="93"/>
  <c r="BE12" i="93"/>
  <c r="BD12" i="93"/>
  <c r="BC12" i="93"/>
  <c r="BA12" i="93"/>
  <c r="AY12" i="93"/>
  <c r="AX12" i="93"/>
  <c r="AW12" i="93"/>
  <c r="AU12" i="93"/>
  <c r="AS12" i="93"/>
  <c r="AQ12" i="93"/>
  <c r="AL12" i="93"/>
  <c r="AH12" i="93"/>
  <c r="BI12" i="93" s="1"/>
  <c r="BJ12" i="93" s="1"/>
  <c r="H12" i="93" s="1"/>
  <c r="BF12" i="93" s="1"/>
  <c r="AG12" i="93"/>
  <c r="BK12" i="93" s="1"/>
  <c r="G12" i="93"/>
  <c r="BB12" i="93" s="1"/>
  <c r="BH11" i="93"/>
  <c r="BE11" i="93"/>
  <c r="BD11" i="93"/>
  <c r="BC11" i="93"/>
  <c r="AU11" i="93"/>
  <c r="AS11" i="93"/>
  <c r="AQ11" i="93"/>
  <c r="AL11" i="93"/>
  <c r="AH11" i="93"/>
  <c r="AN11" i="93" s="1"/>
  <c r="AG11" i="93"/>
  <c r="BL10" i="93"/>
  <c r="BH10" i="93"/>
  <c r="BE10" i="93"/>
  <c r="BD10" i="93"/>
  <c r="BD4" i="93" s="1"/>
  <c r="BC10" i="93"/>
  <c r="AU10" i="93"/>
  <c r="AS10" i="93"/>
  <c r="AQ10" i="93"/>
  <c r="AL10" i="93"/>
  <c r="AH10" i="93"/>
  <c r="AN10" i="93" s="1"/>
  <c r="AG10" i="93"/>
  <c r="BH9" i="93"/>
  <c r="BE9" i="93"/>
  <c r="BD9" i="93"/>
  <c r="BC9" i="93"/>
  <c r="AU9" i="93"/>
  <c r="AS9" i="93"/>
  <c r="AQ9" i="93"/>
  <c r="AI27" i="93" s="1"/>
  <c r="C27" i="93" s="1"/>
  <c r="AL9" i="93"/>
  <c r="AJ9" i="93"/>
  <c r="AH9" i="93"/>
  <c r="AG9" i="93"/>
  <c r="G9" i="93"/>
  <c r="BL8" i="93"/>
  <c r="BK8" i="93"/>
  <c r="I8" i="93" s="1"/>
  <c r="BJ8" i="93"/>
  <c r="H8" i="93" s="1"/>
  <c r="BF8" i="93" s="1"/>
  <c r="BI8" i="93"/>
  <c r="BH8" i="93"/>
  <c r="BE8" i="93"/>
  <c r="BD8" i="93"/>
  <c r="BC8" i="93"/>
  <c r="BA8" i="93"/>
  <c r="AY8" i="93"/>
  <c r="AX8" i="93"/>
  <c r="AW8" i="93"/>
  <c r="AU8" i="93"/>
  <c r="AS8" i="93"/>
  <c r="AS41" i="93" s="1"/>
  <c r="AQ8" i="93"/>
  <c r="AQ41" i="93" s="1"/>
  <c r="AL8" i="93"/>
  <c r="AJ8" i="93"/>
  <c r="AH8" i="93"/>
  <c r="AN8" i="93" s="1"/>
  <c r="AG8" i="93"/>
  <c r="G8" i="93"/>
  <c r="BB8" i="93" s="1"/>
  <c r="B8" i="93"/>
  <c r="AV6" i="93"/>
  <c r="BF30" i="96" l="1"/>
  <c r="BE30" i="96"/>
  <c r="BE4" i="96" s="1"/>
  <c r="BF28" i="95"/>
  <c r="BE28" i="95"/>
  <c r="BE4" i="95" s="1"/>
  <c r="AO12" i="94"/>
  <c r="AZ12" i="94"/>
  <c r="BN12" i="94"/>
  <c r="AN6" i="94"/>
  <c r="BN8" i="93"/>
  <c r="BJ12" i="94"/>
  <c r="H12" i="94" s="1"/>
  <c r="BF12" i="94" s="1"/>
  <c r="AK12" i="94"/>
  <c r="AT12" i="94" s="1"/>
  <c r="AK36" i="93"/>
  <c r="AM36" i="93" s="1"/>
  <c r="BM20" i="93"/>
  <c r="AN41" i="94"/>
  <c r="BF9" i="96"/>
  <c r="AP9" i="96"/>
  <c r="BG9" i="96" s="1"/>
  <c r="AM17" i="96"/>
  <c r="AR17" i="96"/>
  <c r="AV17" i="96" s="1"/>
  <c r="AT17" i="96"/>
  <c r="AX17" i="96"/>
  <c r="BM33" i="93"/>
  <c r="AM23" i="96"/>
  <c r="AT23" i="96"/>
  <c r="AR23" i="96"/>
  <c r="AV23" i="96" s="1"/>
  <c r="AX23" i="96"/>
  <c r="AY4" i="95"/>
  <c r="AT16" i="96"/>
  <c r="AR16" i="96"/>
  <c r="AV16" i="96" s="1"/>
  <c r="AM16" i="96"/>
  <c r="AX16" i="96"/>
  <c r="AJ23" i="96"/>
  <c r="AJ24" i="96" s="1"/>
  <c r="AJ25" i="96" s="1"/>
  <c r="AJ26" i="96" s="1"/>
  <c r="AJ27" i="96" s="1"/>
  <c r="AJ28" i="96" s="1"/>
  <c r="AJ29" i="96" s="1"/>
  <c r="AJ30" i="96" s="1"/>
  <c r="AJ31" i="96" s="1"/>
  <c r="AJ32" i="96" s="1"/>
  <c r="AT8" i="96"/>
  <c r="AR8" i="96"/>
  <c r="AM8" i="96"/>
  <c r="AM13" i="96"/>
  <c r="AR13" i="96"/>
  <c r="AV13" i="96" s="1"/>
  <c r="AT13" i="96"/>
  <c r="AN12" i="93"/>
  <c r="AP11" i="96"/>
  <c r="BG11" i="96" s="1"/>
  <c r="B12" i="96"/>
  <c r="AM24" i="96"/>
  <c r="AR24" i="96"/>
  <c r="AV24" i="96" s="1"/>
  <c r="AT24" i="96"/>
  <c r="AX24" i="96"/>
  <c r="AM30" i="96"/>
  <c r="AR30" i="96"/>
  <c r="AV30" i="96" s="1"/>
  <c r="AT30" i="96"/>
  <c r="AX30" i="96"/>
  <c r="AM21" i="96"/>
  <c r="AP21" i="96" s="1"/>
  <c r="BG21" i="96" s="1"/>
  <c r="AR21" i="96"/>
  <c r="AV21" i="96" s="1"/>
  <c r="AT21" i="96"/>
  <c r="AZ4" i="96"/>
  <c r="BG19" i="94"/>
  <c r="AT12" i="96"/>
  <c r="AR12" i="96"/>
  <c r="AV12" i="96" s="1"/>
  <c r="AM12" i="96"/>
  <c r="AT33" i="96"/>
  <c r="AR33" i="96"/>
  <c r="AV33" i="96" s="1"/>
  <c r="AM33" i="96"/>
  <c r="AX33" i="96"/>
  <c r="AM27" i="96"/>
  <c r="AR27" i="96"/>
  <c r="AV27" i="96" s="1"/>
  <c r="AT27" i="96"/>
  <c r="AX27" i="96"/>
  <c r="AT20" i="96"/>
  <c r="AR20" i="96"/>
  <c r="AV20" i="96" s="1"/>
  <c r="AM20" i="96"/>
  <c r="AX20" i="96"/>
  <c r="AM9" i="96"/>
  <c r="AR9" i="96"/>
  <c r="AV9" i="96" s="1"/>
  <c r="AT9" i="96"/>
  <c r="H41" i="96" s="1"/>
  <c r="BA4" i="95"/>
  <c r="AZ33" i="93"/>
  <c r="AK27" i="95"/>
  <c r="BN27" i="95"/>
  <c r="BM27" i="95"/>
  <c r="AX25" i="95"/>
  <c r="AT25" i="95"/>
  <c r="AR25" i="95"/>
  <c r="AV25" i="95" s="1"/>
  <c r="AM25" i="95"/>
  <c r="AK23" i="95"/>
  <c r="BJ23" i="95"/>
  <c r="H23" i="95" s="1"/>
  <c r="BF23" i="95" s="1"/>
  <c r="BM23" i="95"/>
  <c r="BN23" i="95"/>
  <c r="AM11" i="95"/>
  <c r="AT11" i="95"/>
  <c r="AR11" i="95"/>
  <c r="AV11" i="95" s="1"/>
  <c r="AR19" i="95"/>
  <c r="AV19" i="95" s="1"/>
  <c r="AM19" i="95"/>
  <c r="AT19" i="95"/>
  <c r="AX19" i="95"/>
  <c r="AM28" i="95"/>
  <c r="AX28" i="95"/>
  <c r="AT28" i="95"/>
  <c r="AR28" i="95"/>
  <c r="AV28" i="95" s="1"/>
  <c r="BB4" i="95"/>
  <c r="AK26" i="95"/>
  <c r="BJ26" i="95"/>
  <c r="H26" i="95" s="1"/>
  <c r="BF26" i="95" s="1"/>
  <c r="BN26" i="95"/>
  <c r="BM26" i="95"/>
  <c r="BJ21" i="95"/>
  <c r="H21" i="95" s="1"/>
  <c r="BF21" i="95" s="1"/>
  <c r="AK21" i="95"/>
  <c r="BM21" i="95"/>
  <c r="BN21" i="95"/>
  <c r="AO10" i="95"/>
  <c r="BJ10" i="95"/>
  <c r="H10" i="95" s="1"/>
  <c r="BF10" i="95" s="1"/>
  <c r="AK10" i="95"/>
  <c r="BN10" i="95"/>
  <c r="BM10" i="95"/>
  <c r="BE4" i="93"/>
  <c r="AR15" i="95"/>
  <c r="AV15" i="95" s="1"/>
  <c r="AM15" i="95"/>
  <c r="AP15" i="95" s="1"/>
  <c r="BG15" i="95" s="1"/>
  <c r="AT15" i="95"/>
  <c r="AK13" i="95"/>
  <c r="AO13" i="95"/>
  <c r="BJ13" i="95"/>
  <c r="H13" i="95" s="1"/>
  <c r="BF13" i="95" s="1"/>
  <c r="BM13" i="95"/>
  <c r="BN13" i="95"/>
  <c r="AP8" i="95"/>
  <c r="BG8" i="95" s="1"/>
  <c r="AZ12" i="93"/>
  <c r="BJ17" i="95"/>
  <c r="H17" i="95" s="1"/>
  <c r="BF17" i="95" s="1"/>
  <c r="AK17" i="95"/>
  <c r="BN17" i="95"/>
  <c r="BM17" i="95"/>
  <c r="AK14" i="95"/>
  <c r="BN14" i="95"/>
  <c r="BM14" i="95"/>
  <c r="BN11" i="94"/>
  <c r="B12" i="95"/>
  <c r="AP12" i="95" s="1"/>
  <c r="BG12" i="95" s="1"/>
  <c r="AZ23" i="95"/>
  <c r="BN20" i="93"/>
  <c r="BJ18" i="95"/>
  <c r="H18" i="95" s="1"/>
  <c r="BF18" i="95" s="1"/>
  <c r="AK18" i="95"/>
  <c r="BN18" i="95"/>
  <c r="BM18" i="95"/>
  <c r="BJ24" i="95"/>
  <c r="H24" i="95" s="1"/>
  <c r="BF24" i="95" s="1"/>
  <c r="AK24" i="95"/>
  <c r="BN24" i="95"/>
  <c r="BM24" i="95"/>
  <c r="AJ17" i="95"/>
  <c r="B11" i="95"/>
  <c r="AP11" i="95" s="1"/>
  <c r="BG11" i="95" s="1"/>
  <c r="AK9" i="95"/>
  <c r="BJ9" i="95"/>
  <c r="H9" i="95" s="1"/>
  <c r="AO9" i="95"/>
  <c r="BM9" i="95"/>
  <c r="BN9" i="95"/>
  <c r="BN16" i="93"/>
  <c r="AX22" i="95"/>
  <c r="AT22" i="95"/>
  <c r="AR22" i="95"/>
  <c r="AV22" i="95" s="1"/>
  <c r="AM22" i="95"/>
  <c r="AT20" i="93"/>
  <c r="AK37" i="93"/>
  <c r="AM37" i="93" s="1"/>
  <c r="BM16" i="93"/>
  <c r="AN24" i="93"/>
  <c r="AK12" i="93"/>
  <c r="AT12" i="93" s="1"/>
  <c r="BJ20" i="93"/>
  <c r="H20" i="93" s="1"/>
  <c r="BF20" i="93" s="1"/>
  <c r="AZ16" i="93"/>
  <c r="BB18" i="94"/>
  <c r="BA18" i="94"/>
  <c r="BI18" i="94"/>
  <c r="AZ18" i="94" s="1"/>
  <c r="AW18" i="94"/>
  <c r="BK18" i="94"/>
  <c r="I18" i="94" s="1"/>
  <c r="AY18" i="94"/>
  <c r="BB14" i="94"/>
  <c r="BA14" i="94"/>
  <c r="BA4" i="94" s="1"/>
  <c r="BI14" i="94"/>
  <c r="AW14" i="94"/>
  <c r="BK14" i="94"/>
  <c r="I14" i="94" s="1"/>
  <c r="AY14" i="94"/>
  <c r="AX14" i="94"/>
  <c r="BM17" i="94"/>
  <c r="BJ17" i="94"/>
  <c r="H17" i="94" s="1"/>
  <c r="BF17" i="94" s="1"/>
  <c r="BN17" i="94"/>
  <c r="AK17" i="94"/>
  <c r="BM9" i="94"/>
  <c r="AM23" i="94"/>
  <c r="AT23" i="94"/>
  <c r="AR23" i="94"/>
  <c r="AV23" i="94" s="1"/>
  <c r="BB10" i="94"/>
  <c r="BI10" i="94"/>
  <c r="AZ10" i="94" s="1"/>
  <c r="AW10" i="94"/>
  <c r="BA10" i="94"/>
  <c r="BK10" i="94"/>
  <c r="I10" i="94" s="1"/>
  <c r="AY10" i="94"/>
  <c r="AX10" i="94"/>
  <c r="AJ16" i="94"/>
  <c r="AJ17" i="94" s="1"/>
  <c r="AJ18" i="94" s="1"/>
  <c r="AJ19" i="94" s="1"/>
  <c r="E41" i="94"/>
  <c r="AV41" i="94"/>
  <c r="AV45" i="94" s="1"/>
  <c r="Q5" i="94"/>
  <c r="AY24" i="94"/>
  <c r="BB24" i="94"/>
  <c r="BK24" i="94"/>
  <c r="I24" i="94" s="1"/>
  <c r="BA24" i="94"/>
  <c r="AW24" i="94"/>
  <c r="BI24" i="94"/>
  <c r="BN33" i="93"/>
  <c r="BB21" i="94"/>
  <c r="BK21" i="94"/>
  <c r="I21" i="94" s="1"/>
  <c r="AY21" i="94"/>
  <c r="AW21" i="94"/>
  <c r="BA21" i="94"/>
  <c r="BI21" i="94"/>
  <c r="AK16" i="93"/>
  <c r="AT16" i="93" s="1"/>
  <c r="AX20" i="93"/>
  <c r="AM33" i="93"/>
  <c r="AN27" i="93"/>
  <c r="BM12" i="93"/>
  <c r="AZ20" i="93"/>
  <c r="BJ33" i="93"/>
  <c r="H33" i="93" s="1"/>
  <c r="BF33" i="93" s="1"/>
  <c r="AK22" i="94"/>
  <c r="BN22" i="94"/>
  <c r="BM22" i="94"/>
  <c r="BJ22" i="94"/>
  <c r="H22" i="94" s="1"/>
  <c r="BF22" i="94" s="1"/>
  <c r="BK13" i="94"/>
  <c r="I13" i="94" s="1"/>
  <c r="AY13" i="94"/>
  <c r="BA13" i="94"/>
  <c r="AW13" i="94"/>
  <c r="AX13" i="94"/>
  <c r="BI13" i="94"/>
  <c r="AZ13" i="94" s="1"/>
  <c r="BB13" i="94"/>
  <c r="B11" i="94"/>
  <c r="AO9" i="94"/>
  <c r="BN9" i="94"/>
  <c r="AK9" i="94"/>
  <c r="BJ9" i="94"/>
  <c r="H9" i="94" s="1"/>
  <c r="BF9" i="94" s="1"/>
  <c r="AR20" i="94"/>
  <c r="AV20" i="94" s="1"/>
  <c r="AM20" i="94"/>
  <c r="AX20" i="94"/>
  <c r="AT20" i="94"/>
  <c r="AM11" i="94"/>
  <c r="AT11" i="94"/>
  <c r="AR11" i="94"/>
  <c r="AV11" i="94" s="1"/>
  <c r="C9" i="94"/>
  <c r="BN26" i="94"/>
  <c r="BN19" i="94"/>
  <c r="I19" i="94"/>
  <c r="BN8" i="94"/>
  <c r="AO8" i="94"/>
  <c r="BM8" i="94"/>
  <c r="AK8" i="94"/>
  <c r="AR26" i="94"/>
  <c r="AV26" i="94" s="1"/>
  <c r="AM26" i="94"/>
  <c r="AT26" i="94"/>
  <c r="AM12" i="94"/>
  <c r="AR12" i="94"/>
  <c r="AV12" i="94" s="1"/>
  <c r="BJ16" i="93"/>
  <c r="H16" i="93" s="1"/>
  <c r="BF16" i="93" s="1"/>
  <c r="AX33" i="93"/>
  <c r="BM15" i="94"/>
  <c r="BN15" i="94"/>
  <c r="AZ15" i="94"/>
  <c r="AK15" i="94"/>
  <c r="AM16" i="94"/>
  <c r="AR16" i="94"/>
  <c r="AV16" i="94" s="1"/>
  <c r="AX16" i="94"/>
  <c r="AT16" i="94"/>
  <c r="AK25" i="94"/>
  <c r="AZ25" i="94"/>
  <c r="BN25" i="94"/>
  <c r="BM25" i="94"/>
  <c r="I12" i="93"/>
  <c r="AO12" i="93"/>
  <c r="AJ10" i="93"/>
  <c r="AJ11" i="93" s="1"/>
  <c r="AJ12" i="93" s="1"/>
  <c r="AJ13" i="93" s="1"/>
  <c r="AJ14" i="93" s="1"/>
  <c r="AI26" i="93"/>
  <c r="C26" i="93" s="1"/>
  <c r="AZ8" i="93"/>
  <c r="BK9" i="93"/>
  <c r="AY9" i="93"/>
  <c r="BA9" i="93"/>
  <c r="AK8" i="93"/>
  <c r="AW9" i="93"/>
  <c r="AI23" i="93"/>
  <c r="C23" i="93" s="1"/>
  <c r="AI33" i="93"/>
  <c r="C33" i="93" s="1"/>
  <c r="AI21" i="93"/>
  <c r="C21" i="93" s="1"/>
  <c r="AI11" i="93"/>
  <c r="C11" i="93" s="1"/>
  <c r="BK15" i="93"/>
  <c r="I15" i="93" s="1"/>
  <c r="AY15" i="93"/>
  <c r="BI15" i="93"/>
  <c r="AX15" i="93"/>
  <c r="AW15" i="93"/>
  <c r="BC4" i="93"/>
  <c r="AI12" i="93"/>
  <c r="C12" i="93" s="1"/>
  <c r="G17" i="93"/>
  <c r="BL17" i="93"/>
  <c r="AM20" i="93"/>
  <c r="B9" i="93"/>
  <c r="AI10" i="93"/>
  <c r="C10" i="93" s="1"/>
  <c r="AV43" i="93"/>
  <c r="AV44" i="93" s="1"/>
  <c r="AI18" i="93"/>
  <c r="C18" i="93" s="1"/>
  <c r="AU41" i="93"/>
  <c r="BL11" i="93"/>
  <c r="G21" i="93"/>
  <c r="BL21" i="93"/>
  <c r="BN12" i="93"/>
  <c r="BA15" i="93"/>
  <c r="AN9" i="93"/>
  <c r="AX9" i="93"/>
  <c r="G11" i="93"/>
  <c r="BB15" i="93"/>
  <c r="AO8" i="93"/>
  <c r="AI9" i="93"/>
  <c r="C9" i="93" s="1"/>
  <c r="BB9" i="93"/>
  <c r="AN16" i="93"/>
  <c r="AI32" i="93"/>
  <c r="C32" i="93" s="1"/>
  <c r="G24" i="93"/>
  <c r="BL24" i="93"/>
  <c r="AI16" i="93"/>
  <c r="C16" i="93" s="1"/>
  <c r="AI30" i="93"/>
  <c r="C30" i="93" s="1"/>
  <c r="AI13" i="93"/>
  <c r="C13" i="93" s="1"/>
  <c r="BB22" i="93"/>
  <c r="BA22" i="93"/>
  <c r="BI22" i="93"/>
  <c r="AW22" i="93"/>
  <c r="AI31" i="93"/>
  <c r="C31" i="93" s="1"/>
  <c r="AI25" i="93"/>
  <c r="C25" i="93" s="1"/>
  <c r="AI22" i="93"/>
  <c r="C22" i="93" s="1"/>
  <c r="AI28" i="93"/>
  <c r="C28" i="93" s="1"/>
  <c r="BL9" i="93"/>
  <c r="BM8" i="93"/>
  <c r="BI9" i="93"/>
  <c r="G13" i="93"/>
  <c r="BL13" i="93"/>
  <c r="BK19" i="93"/>
  <c r="I19" i="93" s="1"/>
  <c r="AY19" i="93"/>
  <c r="AW19" i="93"/>
  <c r="AX19" i="93"/>
  <c r="BI19" i="93"/>
  <c r="AN21" i="93"/>
  <c r="BL27" i="93"/>
  <c r="BL30" i="93"/>
  <c r="BL34" i="93"/>
  <c r="BL38" i="93"/>
  <c r="BM34" i="93"/>
  <c r="BM38" i="93"/>
  <c r="G27" i="93"/>
  <c r="G30" i="93"/>
  <c r="AW32" i="93"/>
  <c r="BI32" i="93"/>
  <c r="AZ32" i="93" s="1"/>
  <c r="AT33" i="93"/>
  <c r="BL23" i="93"/>
  <c r="BL26" i="93"/>
  <c r="BL29" i="93"/>
  <c r="BM35" i="93"/>
  <c r="BM39" i="93"/>
  <c r="G10" i="93"/>
  <c r="G14" i="93"/>
  <c r="G18" i="93"/>
  <c r="AW25" i="93"/>
  <c r="BI25" i="93"/>
  <c r="AW28" i="93"/>
  <c r="BI28" i="93"/>
  <c r="G31" i="93"/>
  <c r="AY32" i="93"/>
  <c r="BK32" i="93"/>
  <c r="I32" i="93" s="1"/>
  <c r="G23" i="93"/>
  <c r="G26" i="93"/>
  <c r="G29" i="93"/>
  <c r="BA25" i="93"/>
  <c r="BA28" i="93"/>
  <c r="U48" i="92"/>
  <c r="BE43" i="92"/>
  <c r="AT43" i="92"/>
  <c r="AT44" i="92" s="1"/>
  <c r="AR44" i="92" s="1"/>
  <c r="AI23" i="92" s="1"/>
  <c r="C23" i="92" s="1"/>
  <c r="BN39" i="92"/>
  <c r="BK39" i="92"/>
  <c r="I39" i="92" s="1"/>
  <c r="BJ39" i="92"/>
  <c r="H39" i="92" s="1"/>
  <c r="BF39" i="92" s="1"/>
  <c r="BI39" i="92"/>
  <c r="AK39" i="92" s="1"/>
  <c r="AM39" i="92" s="1"/>
  <c r="BH39" i="92"/>
  <c r="BG39" i="92"/>
  <c r="BE39" i="92"/>
  <c r="BD39" i="92"/>
  <c r="BC39" i="92"/>
  <c r="BB39" i="92"/>
  <c r="BA39" i="92"/>
  <c r="AZ39" i="92"/>
  <c r="AY39" i="92"/>
  <c r="AX39" i="92"/>
  <c r="AW39" i="92"/>
  <c r="AU39" i="92"/>
  <c r="AT39" i="92"/>
  <c r="AS39" i="92"/>
  <c r="AR39" i="92"/>
  <c r="AV39" i="92" s="1"/>
  <c r="AQ39" i="92"/>
  <c r="AP39" i="92"/>
  <c r="AO39" i="92"/>
  <c r="AL39" i="92"/>
  <c r="AJ39" i="92"/>
  <c r="AI39" i="92"/>
  <c r="AH39" i="92"/>
  <c r="AN39" i="92" s="1"/>
  <c r="AG39" i="92"/>
  <c r="G39" i="92"/>
  <c r="C39" i="92"/>
  <c r="B39" i="92"/>
  <c r="BN38" i="92"/>
  <c r="BL38" i="92"/>
  <c r="BK38" i="92"/>
  <c r="I38" i="92" s="1"/>
  <c r="BJ38" i="92"/>
  <c r="H38" i="92" s="1"/>
  <c r="BF38" i="92" s="1"/>
  <c r="BI38" i="92"/>
  <c r="AK38" i="92" s="1"/>
  <c r="AM38" i="92" s="1"/>
  <c r="BH38" i="92"/>
  <c r="G38" i="92" s="1"/>
  <c r="BG38" i="92"/>
  <c r="BE38" i="92"/>
  <c r="BD38" i="92"/>
  <c r="BC38" i="92"/>
  <c r="BB38" i="92"/>
  <c r="BA38" i="92"/>
  <c r="AZ38" i="92"/>
  <c r="AY38" i="92"/>
  <c r="AX38" i="92"/>
  <c r="AW38" i="92"/>
  <c r="AU38" i="92"/>
  <c r="AT38" i="92"/>
  <c r="AS38" i="92"/>
  <c r="AR38" i="92"/>
  <c r="AV38" i="92" s="1"/>
  <c r="AQ38" i="92"/>
  <c r="AP38" i="92"/>
  <c r="AO38" i="92"/>
  <c r="AL38" i="92"/>
  <c r="AJ38" i="92"/>
  <c r="AI38" i="92"/>
  <c r="AH38" i="92"/>
  <c r="AN38" i="92" s="1"/>
  <c r="AG38" i="92"/>
  <c r="C38" i="92"/>
  <c r="B38" i="92"/>
  <c r="BN37" i="92"/>
  <c r="BK37" i="92"/>
  <c r="I37" i="92" s="1"/>
  <c r="BJ37" i="92"/>
  <c r="H37" i="92" s="1"/>
  <c r="BF37" i="92" s="1"/>
  <c r="BI37" i="92"/>
  <c r="AK37" i="92" s="1"/>
  <c r="AM37" i="92" s="1"/>
  <c r="BH37" i="92"/>
  <c r="BG37" i="92"/>
  <c r="BE37" i="92"/>
  <c r="BD37" i="92"/>
  <c r="BC37" i="92"/>
  <c r="BB37" i="92"/>
  <c r="BA37" i="92"/>
  <c r="AZ37" i="92"/>
  <c r="AY37" i="92"/>
  <c r="AX37" i="92"/>
  <c r="AW37" i="92"/>
  <c r="AU37" i="92"/>
  <c r="AT37" i="92"/>
  <c r="AS37" i="92"/>
  <c r="AR37" i="92"/>
  <c r="AV37" i="92" s="1"/>
  <c r="AQ37" i="92"/>
  <c r="AP37" i="92"/>
  <c r="AO37" i="92"/>
  <c r="AL37" i="92"/>
  <c r="AJ37" i="92"/>
  <c r="AI37" i="92"/>
  <c r="AH37" i="92"/>
  <c r="AN37" i="92" s="1"/>
  <c r="AG37" i="92"/>
  <c r="G37" i="92"/>
  <c r="C37" i="92"/>
  <c r="B37" i="92"/>
  <c r="BN36" i="92"/>
  <c r="BL36" i="92"/>
  <c r="BK36" i="92"/>
  <c r="I36" i="92" s="1"/>
  <c r="BJ36" i="92"/>
  <c r="H36" i="92" s="1"/>
  <c r="BF36" i="92" s="1"/>
  <c r="BI36" i="92"/>
  <c r="BM36" i="92" s="1"/>
  <c r="BH36" i="92"/>
  <c r="BG36" i="92"/>
  <c r="BE36" i="92"/>
  <c r="BD36" i="92"/>
  <c r="BC36" i="92"/>
  <c r="BB36" i="92"/>
  <c r="BA36" i="92"/>
  <c r="AZ36" i="92"/>
  <c r="AY36" i="92"/>
  <c r="AX36" i="92"/>
  <c r="AW36" i="92"/>
  <c r="AU36" i="92"/>
  <c r="AT36" i="92"/>
  <c r="AS36" i="92"/>
  <c r="AR36" i="92"/>
  <c r="AV36" i="92" s="1"/>
  <c r="AQ36" i="92"/>
  <c r="AP36" i="92"/>
  <c r="AO36" i="92"/>
  <c r="AL36" i="92"/>
  <c r="AJ36" i="92"/>
  <c r="AI36" i="92"/>
  <c r="AH36" i="92"/>
  <c r="AN36" i="92" s="1"/>
  <c r="AG36" i="92"/>
  <c r="G36" i="92"/>
  <c r="C36" i="92"/>
  <c r="B36" i="92"/>
  <c r="BN35" i="92"/>
  <c r="BK35" i="92"/>
  <c r="I35" i="92" s="1"/>
  <c r="BJ35" i="92"/>
  <c r="H35" i="92" s="1"/>
  <c r="BF35" i="92" s="1"/>
  <c r="BI35" i="92"/>
  <c r="AK35" i="92" s="1"/>
  <c r="AM35" i="92" s="1"/>
  <c r="BH35" i="92"/>
  <c r="BG35" i="92"/>
  <c r="BE35" i="92"/>
  <c r="BD35" i="92"/>
  <c r="BC35" i="92"/>
  <c r="BB35" i="92"/>
  <c r="BA35" i="92"/>
  <c r="AZ35" i="92"/>
  <c r="AY35" i="92"/>
  <c r="AX35" i="92"/>
  <c r="AW35" i="92"/>
  <c r="AU35" i="92"/>
  <c r="AT35" i="92"/>
  <c r="AS35" i="92"/>
  <c r="AR35" i="92"/>
  <c r="AV35" i="92" s="1"/>
  <c r="AQ35" i="92"/>
  <c r="AP35" i="92"/>
  <c r="AO35" i="92"/>
  <c r="AL35" i="92"/>
  <c r="AJ35" i="92"/>
  <c r="AI35" i="92"/>
  <c r="AH35" i="92"/>
  <c r="AN35" i="92" s="1"/>
  <c r="AG35" i="92"/>
  <c r="G35" i="92"/>
  <c r="C35" i="92"/>
  <c r="B35" i="92"/>
  <c r="BN34" i="92"/>
  <c r="BL34" i="92"/>
  <c r="BK34" i="92"/>
  <c r="I34" i="92" s="1"/>
  <c r="BJ34" i="92"/>
  <c r="H34" i="92" s="1"/>
  <c r="BF34" i="92" s="1"/>
  <c r="BI34" i="92"/>
  <c r="BM34" i="92" s="1"/>
  <c r="BH34" i="92"/>
  <c r="G34" i="92" s="1"/>
  <c r="BG34" i="92"/>
  <c r="BE34" i="92"/>
  <c r="BD34" i="92"/>
  <c r="BC34" i="92"/>
  <c r="BB34" i="92"/>
  <c r="BA34" i="92"/>
  <c r="AZ34" i="92"/>
  <c r="AY34" i="92"/>
  <c r="AX34" i="92"/>
  <c r="AW34" i="92"/>
  <c r="AU34" i="92"/>
  <c r="AT34" i="92"/>
  <c r="AS34" i="92"/>
  <c r="AR34" i="92"/>
  <c r="AV34" i="92" s="1"/>
  <c r="AQ34" i="92"/>
  <c r="AP34" i="92"/>
  <c r="AO34" i="92"/>
  <c r="AL34" i="92"/>
  <c r="AJ34" i="92"/>
  <c r="AI34" i="92"/>
  <c r="AH34" i="92"/>
  <c r="AN34" i="92" s="1"/>
  <c r="AG34" i="92"/>
  <c r="C34" i="92"/>
  <c r="B34" i="92"/>
  <c r="BN33" i="92"/>
  <c r="BK33" i="92"/>
  <c r="I33" i="92" s="1"/>
  <c r="BJ33" i="92"/>
  <c r="H33" i="92" s="1"/>
  <c r="BF33" i="92" s="1"/>
  <c r="BI33" i="92"/>
  <c r="AK33" i="92" s="1"/>
  <c r="AM33" i="92" s="1"/>
  <c r="BH33" i="92"/>
  <c r="BG33" i="92"/>
  <c r="BE33" i="92"/>
  <c r="BD33" i="92"/>
  <c r="BC33" i="92"/>
  <c r="BB33" i="92"/>
  <c r="BA33" i="92"/>
  <c r="AZ33" i="92"/>
  <c r="AY33" i="92"/>
  <c r="AX33" i="92"/>
  <c r="AW33" i="92"/>
  <c r="AU33" i="92"/>
  <c r="AT33" i="92"/>
  <c r="AS33" i="92"/>
  <c r="AR33" i="92"/>
  <c r="AV33" i="92" s="1"/>
  <c r="AQ33" i="92"/>
  <c r="AP33" i="92"/>
  <c r="AO33" i="92"/>
  <c r="AL33" i="92"/>
  <c r="AJ33" i="92"/>
  <c r="AI33" i="92"/>
  <c r="AH33" i="92"/>
  <c r="AN33" i="92" s="1"/>
  <c r="AG33" i="92"/>
  <c r="G33" i="92"/>
  <c r="C33" i="92"/>
  <c r="B33" i="92"/>
  <c r="BN32" i="92"/>
  <c r="BL32" i="92"/>
  <c r="BK32" i="92"/>
  <c r="I32" i="92" s="1"/>
  <c r="BJ32" i="92"/>
  <c r="H32" i="92" s="1"/>
  <c r="BF32" i="92" s="1"/>
  <c r="BI32" i="92"/>
  <c r="BM32" i="92" s="1"/>
  <c r="BH32" i="92"/>
  <c r="BG32" i="92"/>
  <c r="BE32" i="92"/>
  <c r="BD32" i="92"/>
  <c r="BC32" i="92"/>
  <c r="BB32" i="92"/>
  <c r="BA32" i="92"/>
  <c r="AZ32" i="92"/>
  <c r="AY32" i="92"/>
  <c r="AX32" i="92"/>
  <c r="AW32" i="92"/>
  <c r="AU32" i="92"/>
  <c r="AT32" i="92"/>
  <c r="AS32" i="92"/>
  <c r="AR32" i="92"/>
  <c r="AV32" i="92" s="1"/>
  <c r="AQ32" i="92"/>
  <c r="AP32" i="92"/>
  <c r="AO32" i="92"/>
  <c r="AL32" i="92"/>
  <c r="AJ32" i="92"/>
  <c r="AI32" i="92"/>
  <c r="AH32" i="92"/>
  <c r="AN32" i="92" s="1"/>
  <c r="AG32" i="92"/>
  <c r="G32" i="92"/>
  <c r="C32" i="92"/>
  <c r="B32" i="92"/>
  <c r="BI31" i="92"/>
  <c r="BH31" i="92"/>
  <c r="BE31" i="92"/>
  <c r="BD31" i="92"/>
  <c r="BC31" i="92"/>
  <c r="AW31" i="92"/>
  <c r="AU31" i="92"/>
  <c r="AS31" i="92"/>
  <c r="AQ31" i="92"/>
  <c r="AO31" i="92"/>
  <c r="AL31" i="92"/>
  <c r="AH31" i="92"/>
  <c r="AN31" i="92" s="1"/>
  <c r="AG31" i="92"/>
  <c r="G31" i="92"/>
  <c r="BB31" i="92" s="1"/>
  <c r="BL30" i="92"/>
  <c r="BH30" i="92"/>
  <c r="BE30" i="92"/>
  <c r="BD30" i="92"/>
  <c r="BC30" i="92"/>
  <c r="AU30" i="92"/>
  <c r="AS30" i="92"/>
  <c r="AQ30" i="92"/>
  <c r="AO30" i="92"/>
  <c r="AL30" i="92"/>
  <c r="AH30" i="92"/>
  <c r="AN30" i="92" s="1"/>
  <c r="AG30" i="92"/>
  <c r="BU29" i="92"/>
  <c r="BT29" i="92"/>
  <c r="BS29" i="92"/>
  <c r="BR29" i="92"/>
  <c r="BQ29" i="92"/>
  <c r="BH29" i="92"/>
  <c r="BE29" i="92"/>
  <c r="BD29" i="92"/>
  <c r="BC29" i="92"/>
  <c r="AU29" i="92"/>
  <c r="AS29" i="92"/>
  <c r="AQ29" i="92"/>
  <c r="AO29" i="92"/>
  <c r="AL29" i="92"/>
  <c r="AH29" i="92"/>
  <c r="AN29" i="92" s="1"/>
  <c r="AG29" i="92"/>
  <c r="BU28" i="92"/>
  <c r="BT28" i="92"/>
  <c r="BS28" i="92"/>
  <c r="BR28" i="92"/>
  <c r="BQ28" i="92"/>
  <c r="BL28" i="92"/>
  <c r="BI28" i="92"/>
  <c r="AK28" i="92" s="1"/>
  <c r="BH28" i="92"/>
  <c r="BE28" i="92"/>
  <c r="BD28" i="92"/>
  <c r="BC28" i="92"/>
  <c r="BA28" i="92"/>
  <c r="AW28" i="92"/>
  <c r="AU28" i="92"/>
  <c r="AS28" i="92"/>
  <c r="AQ28" i="92"/>
  <c r="AO28" i="92"/>
  <c r="AL28" i="92"/>
  <c r="AH28" i="92"/>
  <c r="AN28" i="92" s="1"/>
  <c r="AG28" i="92"/>
  <c r="G28" i="92"/>
  <c r="BB28" i="92" s="1"/>
  <c r="BU27" i="92"/>
  <c r="BT27" i="92"/>
  <c r="BS27" i="92"/>
  <c r="BR27" i="92"/>
  <c r="BQ27" i="92"/>
  <c r="BL27" i="92"/>
  <c r="BJ27" i="92"/>
  <c r="H27" i="92" s="1"/>
  <c r="BF27" i="92" s="1"/>
  <c r="BH27" i="92"/>
  <c r="BE27" i="92"/>
  <c r="BD27" i="92"/>
  <c r="BC27" i="92"/>
  <c r="AU27" i="92"/>
  <c r="AS27" i="92"/>
  <c r="AQ27" i="92"/>
  <c r="AO27" i="92"/>
  <c r="AL27" i="92"/>
  <c r="AH27" i="92"/>
  <c r="AN27" i="92" s="1"/>
  <c r="AG27" i="92"/>
  <c r="B27" i="92"/>
  <c r="BU26" i="92"/>
  <c r="BT26" i="92"/>
  <c r="BS26" i="92"/>
  <c r="BR26" i="92"/>
  <c r="BQ26" i="92"/>
  <c r="BH26" i="92"/>
  <c r="BE26" i="92"/>
  <c r="BD26" i="92"/>
  <c r="BC26" i="92"/>
  <c r="AU26" i="92"/>
  <c r="AS26" i="92"/>
  <c r="AQ26" i="92"/>
  <c r="AO26" i="92"/>
  <c r="AL26" i="92"/>
  <c r="AH26" i="92"/>
  <c r="AN26" i="92" s="1"/>
  <c r="AG26" i="92"/>
  <c r="BU25" i="92"/>
  <c r="BT25" i="92"/>
  <c r="BS25" i="92"/>
  <c r="BR25" i="92"/>
  <c r="BQ25" i="92"/>
  <c r="BN25" i="92"/>
  <c r="BM25" i="92"/>
  <c r="BL25" i="92"/>
  <c r="BI25" i="92"/>
  <c r="AZ25" i="92" s="1"/>
  <c r="BH25" i="92"/>
  <c r="BE25" i="92"/>
  <c r="BD25" i="92"/>
  <c r="BC25" i="92"/>
  <c r="BA25" i="92"/>
  <c r="AW25" i="92"/>
  <c r="AU25" i="92"/>
  <c r="AS25" i="92"/>
  <c r="AQ25" i="92"/>
  <c r="AO25" i="92"/>
  <c r="AL25" i="92"/>
  <c r="AH25" i="92"/>
  <c r="AN25" i="92" s="1"/>
  <c r="AG25" i="92"/>
  <c r="G25" i="92"/>
  <c r="BB25" i="92" s="1"/>
  <c r="BU24" i="92"/>
  <c r="BT24" i="92"/>
  <c r="BS24" i="92"/>
  <c r="BR24" i="92"/>
  <c r="BQ24" i="92"/>
  <c r="BL24" i="92"/>
  <c r="BH24" i="92"/>
  <c r="BE24" i="92"/>
  <c r="BD24" i="92"/>
  <c r="BC24" i="92"/>
  <c r="AU24" i="92"/>
  <c r="AS24" i="92"/>
  <c r="AQ24" i="92"/>
  <c r="AO24" i="92"/>
  <c r="AL24" i="92"/>
  <c r="AH24" i="92"/>
  <c r="AN24" i="92" s="1"/>
  <c r="AG24" i="92"/>
  <c r="BU23" i="92"/>
  <c r="BT23" i="92"/>
  <c r="BS23" i="92"/>
  <c r="BR23" i="92"/>
  <c r="BQ23" i="92"/>
  <c r="BH23" i="92"/>
  <c r="BE23" i="92"/>
  <c r="BD23" i="92"/>
  <c r="BC23" i="92"/>
  <c r="AU23" i="92"/>
  <c r="AS23" i="92"/>
  <c r="AQ23" i="92"/>
  <c r="AO23" i="92"/>
  <c r="AL23" i="92"/>
  <c r="AH23" i="92"/>
  <c r="AN23" i="92" s="1"/>
  <c r="AG23" i="92"/>
  <c r="BU22" i="92"/>
  <c r="BT22" i="92"/>
  <c r="BS22" i="92"/>
  <c r="BR22" i="92"/>
  <c r="BQ22" i="92"/>
  <c r="BL22" i="92"/>
  <c r="BI22" i="92"/>
  <c r="AK22" i="92" s="1"/>
  <c r="BH22" i="92"/>
  <c r="BE22" i="92"/>
  <c r="BD22" i="92"/>
  <c r="BC22" i="92"/>
  <c r="BA22" i="92"/>
  <c r="AW22" i="92"/>
  <c r="AU22" i="92"/>
  <c r="AS22" i="92"/>
  <c r="AQ22" i="92"/>
  <c r="AO22" i="92"/>
  <c r="AL22" i="92"/>
  <c r="AH22" i="92"/>
  <c r="AN22" i="92" s="1"/>
  <c r="AG22" i="92"/>
  <c r="G22" i="92"/>
  <c r="BB22" i="92" s="1"/>
  <c r="BU21" i="92"/>
  <c r="BT21" i="92"/>
  <c r="BS21" i="92"/>
  <c r="BR21" i="92"/>
  <c r="BQ21" i="92"/>
  <c r="BH21" i="92"/>
  <c r="BE21" i="92"/>
  <c r="BD21" i="92"/>
  <c r="BC21" i="92"/>
  <c r="AU21" i="92"/>
  <c r="AS21" i="92"/>
  <c r="AQ21" i="92"/>
  <c r="AO21" i="92"/>
  <c r="AL21" i="92"/>
  <c r="AH21" i="92"/>
  <c r="AN21" i="92" s="1"/>
  <c r="AG21" i="92"/>
  <c r="BJ20" i="92"/>
  <c r="H20" i="92" s="1"/>
  <c r="BF20" i="92" s="1"/>
  <c r="BH20" i="92"/>
  <c r="BE20" i="92"/>
  <c r="BD20" i="92"/>
  <c r="BC20" i="92"/>
  <c r="AY20" i="92"/>
  <c r="AU20" i="92"/>
  <c r="AS20" i="92"/>
  <c r="AQ20" i="92"/>
  <c r="AO20" i="92"/>
  <c r="AL20" i="92"/>
  <c r="AH20" i="92"/>
  <c r="AN20" i="92" s="1"/>
  <c r="AG20" i="92"/>
  <c r="G20" i="92"/>
  <c r="BB20" i="92" s="1"/>
  <c r="B20" i="92"/>
  <c r="BL19" i="92"/>
  <c r="BH19" i="92"/>
  <c r="BE19" i="92"/>
  <c r="BD19" i="92"/>
  <c r="BC19" i="92"/>
  <c r="AY19" i="92"/>
  <c r="AU19" i="92"/>
  <c r="AS19" i="92"/>
  <c r="AQ19" i="92"/>
  <c r="AO19" i="92"/>
  <c r="AL19" i="92"/>
  <c r="AH19" i="92"/>
  <c r="AN19" i="92" s="1"/>
  <c r="AG19" i="92"/>
  <c r="G19" i="92"/>
  <c r="BK19" i="92" s="1"/>
  <c r="I19" i="92" s="1"/>
  <c r="BH18" i="92"/>
  <c r="BE18" i="92"/>
  <c r="BD18" i="92"/>
  <c r="BC18" i="92"/>
  <c r="BB18" i="92"/>
  <c r="AW18" i="92"/>
  <c r="AU18" i="92"/>
  <c r="AS18" i="92"/>
  <c r="AQ18" i="92"/>
  <c r="AO18" i="92"/>
  <c r="AL18" i="92"/>
  <c r="AH18" i="92"/>
  <c r="AG18" i="92"/>
  <c r="G18" i="92"/>
  <c r="BI18" i="92" s="1"/>
  <c r="BL17" i="92"/>
  <c r="BH17" i="92"/>
  <c r="BE17" i="92"/>
  <c r="BD17" i="92"/>
  <c r="BC17" i="92"/>
  <c r="AU17" i="92"/>
  <c r="AS17" i="92"/>
  <c r="AQ17" i="92"/>
  <c r="AO17" i="92"/>
  <c r="AL17" i="92"/>
  <c r="AH17" i="92"/>
  <c r="AN17" i="92" s="1"/>
  <c r="AG17" i="92"/>
  <c r="BH16" i="92"/>
  <c r="BL16" i="92" s="1"/>
  <c r="BE16" i="92"/>
  <c r="BD16" i="92"/>
  <c r="BC16" i="92"/>
  <c r="AU16" i="92"/>
  <c r="AS16" i="92"/>
  <c r="AQ16" i="92"/>
  <c r="AO16" i="92"/>
  <c r="AL16" i="92"/>
  <c r="AH16" i="92"/>
  <c r="AN16" i="92" s="1"/>
  <c r="AG16" i="92"/>
  <c r="BL15" i="92"/>
  <c r="BJ15" i="92"/>
  <c r="H15" i="92" s="1"/>
  <c r="BF15" i="92" s="1"/>
  <c r="BH15" i="92"/>
  <c r="BE15" i="92"/>
  <c r="BD15" i="92"/>
  <c r="BC15" i="92"/>
  <c r="AU15" i="92"/>
  <c r="AS15" i="92"/>
  <c r="AQ15" i="92"/>
  <c r="AO15" i="92"/>
  <c r="AL15" i="92"/>
  <c r="AH15" i="92"/>
  <c r="AN15" i="92" s="1"/>
  <c r="AG15" i="92"/>
  <c r="G15" i="92"/>
  <c r="BB15" i="92" s="1"/>
  <c r="B15" i="92"/>
  <c r="BJ14" i="92"/>
  <c r="H14" i="92" s="1"/>
  <c r="BF14" i="92" s="1"/>
  <c r="BH14" i="92"/>
  <c r="BE14" i="92"/>
  <c r="BD14" i="92"/>
  <c r="BC14" i="92"/>
  <c r="AU14" i="92"/>
  <c r="AS14" i="92"/>
  <c r="AQ14" i="92"/>
  <c r="AO14" i="92"/>
  <c r="AL14" i="92"/>
  <c r="AH14" i="92"/>
  <c r="AN14" i="92" s="1"/>
  <c r="AG14" i="92"/>
  <c r="G14" i="92"/>
  <c r="AX14" i="92" s="1"/>
  <c r="B14" i="92"/>
  <c r="BH13" i="92"/>
  <c r="BE13" i="92"/>
  <c r="BD13" i="92"/>
  <c r="BC13" i="92"/>
  <c r="AU13" i="92"/>
  <c r="AS13" i="92"/>
  <c r="AQ13" i="92"/>
  <c r="AL13" i="92"/>
  <c r="AH13" i="92"/>
  <c r="AN13" i="92" s="1"/>
  <c r="AG13" i="92"/>
  <c r="BL12" i="92"/>
  <c r="BH12" i="92"/>
  <c r="BE12" i="92"/>
  <c r="BD12" i="92"/>
  <c r="BC12" i="92"/>
  <c r="AU12" i="92"/>
  <c r="AS12" i="92"/>
  <c r="AQ12" i="92"/>
  <c r="AL12" i="92"/>
  <c r="AH12" i="92"/>
  <c r="AN12" i="92" s="1"/>
  <c r="AG12" i="92"/>
  <c r="G12" i="92"/>
  <c r="BL11" i="92"/>
  <c r="BH11" i="92"/>
  <c r="BE11" i="92"/>
  <c r="BD11" i="92"/>
  <c r="BC11" i="92"/>
  <c r="AU11" i="92"/>
  <c r="AS11" i="92"/>
  <c r="AQ11" i="92"/>
  <c r="AL11" i="92"/>
  <c r="AI11" i="92"/>
  <c r="C11" i="92" s="1"/>
  <c r="AH11" i="92"/>
  <c r="AN11" i="92" s="1"/>
  <c r="AG11" i="92"/>
  <c r="G11" i="92"/>
  <c r="BH10" i="92"/>
  <c r="BE10" i="92"/>
  <c r="BD10" i="92"/>
  <c r="BC10" i="92"/>
  <c r="BB10" i="92"/>
  <c r="AX10" i="92"/>
  <c r="AU10" i="92"/>
  <c r="AS10" i="92"/>
  <c r="AQ10" i="92"/>
  <c r="AL10" i="92"/>
  <c r="AH10" i="92"/>
  <c r="AN10" i="92" s="1"/>
  <c r="AG10" i="92"/>
  <c r="G10" i="92"/>
  <c r="BL9" i="92"/>
  <c r="BH9" i="92"/>
  <c r="BE9" i="92"/>
  <c r="BD9" i="92"/>
  <c r="BC9" i="92"/>
  <c r="AU9" i="92"/>
  <c r="AV43" i="92" s="1"/>
  <c r="AS9" i="92"/>
  <c r="AQ9" i="92"/>
  <c r="AL9" i="92"/>
  <c r="AH9" i="92"/>
  <c r="AN9" i="92" s="1"/>
  <c r="AG9" i="92"/>
  <c r="B9" i="92"/>
  <c r="BL8" i="92"/>
  <c r="BJ8" i="92"/>
  <c r="H8" i="92" s="1"/>
  <c r="BF8" i="92" s="1"/>
  <c r="BH8" i="92"/>
  <c r="BE8" i="92"/>
  <c r="BD8" i="92"/>
  <c r="BD4" i="92" s="1"/>
  <c r="BC8" i="92"/>
  <c r="BC4" i="92" s="1"/>
  <c r="BB8" i="92"/>
  <c r="AY8" i="92"/>
  <c r="AU8" i="92"/>
  <c r="AS8" i="92"/>
  <c r="AQ8" i="92"/>
  <c r="AL8" i="92"/>
  <c r="AJ8" i="92"/>
  <c r="AH8" i="92"/>
  <c r="AN8" i="92" s="1"/>
  <c r="AG8" i="92"/>
  <c r="G8" i="92"/>
  <c r="BK8" i="92" s="1"/>
  <c r="B8" i="92"/>
  <c r="AV6" i="92"/>
  <c r="U48" i="91"/>
  <c r="BE43" i="91"/>
  <c r="AT43" i="91"/>
  <c r="AT44" i="91" s="1"/>
  <c r="AR44" i="91" s="1"/>
  <c r="BN39" i="91"/>
  <c r="BK39" i="91"/>
  <c r="I39" i="91" s="1"/>
  <c r="BJ39" i="91"/>
  <c r="H39" i="91" s="1"/>
  <c r="BF39" i="91" s="1"/>
  <c r="BI39" i="91"/>
  <c r="AK39" i="91" s="1"/>
  <c r="AM39" i="91" s="1"/>
  <c r="BH39" i="91"/>
  <c r="BL39" i="91" s="1"/>
  <c r="BG39" i="91"/>
  <c r="BE39" i="91"/>
  <c r="BD39" i="91"/>
  <c r="BC39" i="91"/>
  <c r="BB39" i="91"/>
  <c r="BA39" i="91"/>
  <c r="AZ39" i="91"/>
  <c r="AY39" i="91"/>
  <c r="AX39" i="91"/>
  <c r="AW39" i="91"/>
  <c r="AU39" i="91"/>
  <c r="AT39" i="91"/>
  <c r="AS39" i="91"/>
  <c r="AR39" i="91"/>
  <c r="AV39" i="91" s="1"/>
  <c r="AQ39" i="91"/>
  <c r="AP39" i="91"/>
  <c r="AO39" i="91"/>
  <c r="AL39" i="91"/>
  <c r="AJ39" i="91"/>
  <c r="AI39" i="91"/>
  <c r="AH39" i="91"/>
  <c r="AN39" i="91" s="1"/>
  <c r="AG39" i="91"/>
  <c r="G39" i="91"/>
  <c r="C39" i="91"/>
  <c r="B39" i="91"/>
  <c r="BN38" i="91"/>
  <c r="BL38" i="91"/>
  <c r="BK38" i="91"/>
  <c r="I38" i="91" s="1"/>
  <c r="BJ38" i="91"/>
  <c r="H38" i="91" s="1"/>
  <c r="BF38" i="91" s="1"/>
  <c r="BI38" i="91"/>
  <c r="AK38" i="91" s="1"/>
  <c r="AM38" i="91" s="1"/>
  <c r="BH38" i="91"/>
  <c r="G38" i="91" s="1"/>
  <c r="BG38" i="91"/>
  <c r="BE38" i="91"/>
  <c r="BD38" i="91"/>
  <c r="BC38" i="91"/>
  <c r="BB38" i="91"/>
  <c r="BA38" i="91"/>
  <c r="AZ38" i="91"/>
  <c r="AY38" i="91"/>
  <c r="AX38" i="91"/>
  <c r="AW38" i="91"/>
  <c r="AU38" i="91"/>
  <c r="AT38" i="91"/>
  <c r="AS38" i="91"/>
  <c r="AR38" i="91"/>
  <c r="AV38" i="91" s="1"/>
  <c r="AQ38" i="91"/>
  <c r="AP38" i="91"/>
  <c r="AO38" i="91"/>
  <c r="AL38" i="91"/>
  <c r="AJ38" i="91"/>
  <c r="AI38" i="91"/>
  <c r="AH38" i="91"/>
  <c r="AN38" i="91" s="1"/>
  <c r="AG38" i="91"/>
  <c r="C38" i="91"/>
  <c r="B38" i="91"/>
  <c r="BN37" i="91"/>
  <c r="BK37" i="91"/>
  <c r="I37" i="91" s="1"/>
  <c r="BJ37" i="91"/>
  <c r="H37" i="91" s="1"/>
  <c r="BF37" i="91" s="1"/>
  <c r="BI37" i="91"/>
  <c r="AK37" i="91" s="1"/>
  <c r="AM37" i="91" s="1"/>
  <c r="BH37" i="91"/>
  <c r="G37" i="91" s="1"/>
  <c r="BG37" i="91"/>
  <c r="BE37" i="91"/>
  <c r="BD37" i="91"/>
  <c r="BC37" i="91"/>
  <c r="BB37" i="91"/>
  <c r="BA37" i="91"/>
  <c r="AZ37" i="91"/>
  <c r="AY37" i="91"/>
  <c r="AX37" i="91"/>
  <c r="AW37" i="91"/>
  <c r="AU37" i="91"/>
  <c r="AT37" i="91"/>
  <c r="AS37" i="91"/>
  <c r="AR37" i="91"/>
  <c r="AV37" i="91" s="1"/>
  <c r="AQ37" i="91"/>
  <c r="AP37" i="91"/>
  <c r="AO37" i="91"/>
  <c r="AL37" i="91"/>
  <c r="AJ37" i="91"/>
  <c r="AI37" i="91"/>
  <c r="AH37" i="91"/>
  <c r="AN37" i="91" s="1"/>
  <c r="AG37" i="91"/>
  <c r="C37" i="91"/>
  <c r="B37" i="91"/>
  <c r="BN36" i="91"/>
  <c r="BL36" i="91"/>
  <c r="BK36" i="91"/>
  <c r="I36" i="91" s="1"/>
  <c r="BJ36" i="91"/>
  <c r="H36" i="91" s="1"/>
  <c r="BF36" i="91" s="1"/>
  <c r="BI36" i="91"/>
  <c r="BH36" i="91"/>
  <c r="BG36" i="91"/>
  <c r="BE36" i="91"/>
  <c r="BD36" i="91"/>
  <c r="BC36" i="91"/>
  <c r="BB36" i="91"/>
  <c r="BA36" i="91"/>
  <c r="AZ36" i="91"/>
  <c r="AY36" i="91"/>
  <c r="AX36" i="91"/>
  <c r="AW36" i="91"/>
  <c r="AU36" i="91"/>
  <c r="AT36" i="91"/>
  <c r="AS36" i="91"/>
  <c r="AR36" i="91"/>
  <c r="AV36" i="91" s="1"/>
  <c r="AQ36" i="91"/>
  <c r="AP36" i="91"/>
  <c r="AO36" i="91"/>
  <c r="AL36" i="91"/>
  <c r="AJ36" i="91"/>
  <c r="AI36" i="91"/>
  <c r="AH36" i="91"/>
  <c r="AN36" i="91" s="1"/>
  <c r="AG36" i="91"/>
  <c r="G36" i="91"/>
  <c r="C36" i="91"/>
  <c r="B36" i="91"/>
  <c r="BN35" i="91"/>
  <c r="BK35" i="91"/>
  <c r="I35" i="91" s="1"/>
  <c r="BJ35" i="91"/>
  <c r="H35" i="91" s="1"/>
  <c r="BF35" i="91" s="1"/>
  <c r="BI35" i="91"/>
  <c r="AK35" i="91" s="1"/>
  <c r="AM35" i="91" s="1"/>
  <c r="BH35" i="91"/>
  <c r="BL35" i="91" s="1"/>
  <c r="BG35" i="91"/>
  <c r="BE35" i="91"/>
  <c r="BD35" i="91"/>
  <c r="BC35" i="91"/>
  <c r="BB35" i="91"/>
  <c r="BA35" i="91"/>
  <c r="AZ35" i="91"/>
  <c r="AY35" i="91"/>
  <c r="AX35" i="91"/>
  <c r="AW35" i="91"/>
  <c r="AU35" i="91"/>
  <c r="AT35" i="91"/>
  <c r="AS35" i="91"/>
  <c r="AR35" i="91"/>
  <c r="AV35" i="91" s="1"/>
  <c r="AQ35" i="91"/>
  <c r="AP35" i="91"/>
  <c r="AO35" i="91"/>
  <c r="AL35" i="91"/>
  <c r="AJ35" i="91"/>
  <c r="AI35" i="91"/>
  <c r="AH35" i="91"/>
  <c r="AN35" i="91" s="1"/>
  <c r="AG35" i="91"/>
  <c r="G35" i="91"/>
  <c r="C35" i="91"/>
  <c r="B35" i="91"/>
  <c r="BN34" i="91"/>
  <c r="BL34" i="91"/>
  <c r="BK34" i="91"/>
  <c r="I34" i="91" s="1"/>
  <c r="BJ34" i="91"/>
  <c r="H34" i="91" s="1"/>
  <c r="BF34" i="91" s="1"/>
  <c r="BI34" i="91"/>
  <c r="AK34" i="91" s="1"/>
  <c r="AM34" i="91" s="1"/>
  <c r="BH34" i="91"/>
  <c r="G34" i="91" s="1"/>
  <c r="BG34" i="91"/>
  <c r="BE34" i="91"/>
  <c r="BD34" i="91"/>
  <c r="BC34" i="91"/>
  <c r="BB34" i="91"/>
  <c r="BA34" i="91"/>
  <c r="AZ34" i="91"/>
  <c r="AY34" i="91"/>
  <c r="AX34" i="91"/>
  <c r="AW34" i="91"/>
  <c r="AU34" i="91"/>
  <c r="AT34" i="91"/>
  <c r="AS34" i="91"/>
  <c r="AR34" i="91"/>
  <c r="AV34" i="91" s="1"/>
  <c r="AQ34" i="91"/>
  <c r="AP34" i="91"/>
  <c r="AO34" i="91"/>
  <c r="AL34" i="91"/>
  <c r="AJ34" i="91"/>
  <c r="AI34" i="91"/>
  <c r="AH34" i="91"/>
  <c r="AN34" i="91" s="1"/>
  <c r="AG34" i="91"/>
  <c r="C34" i="91"/>
  <c r="B34" i="91"/>
  <c r="BN33" i="91"/>
  <c r="BK33" i="91"/>
  <c r="I33" i="91" s="1"/>
  <c r="BJ33" i="91"/>
  <c r="H33" i="91" s="1"/>
  <c r="BF33" i="91" s="1"/>
  <c r="BI33" i="91"/>
  <c r="AK33" i="91" s="1"/>
  <c r="AM33" i="91" s="1"/>
  <c r="BH33" i="91"/>
  <c r="G33" i="91" s="1"/>
  <c r="BG33" i="91"/>
  <c r="BE33" i="91"/>
  <c r="BD33" i="91"/>
  <c r="BC33" i="91"/>
  <c r="BB33" i="91"/>
  <c r="BA33" i="91"/>
  <c r="AZ33" i="91"/>
  <c r="AY33" i="91"/>
  <c r="AX33" i="91"/>
  <c r="AW33" i="91"/>
  <c r="AU33" i="91"/>
  <c r="AT33" i="91"/>
  <c r="AS33" i="91"/>
  <c r="AR33" i="91"/>
  <c r="AV33" i="91" s="1"/>
  <c r="AQ33" i="91"/>
  <c r="AP33" i="91"/>
  <c r="AO33" i="91"/>
  <c r="AL33" i="91"/>
  <c r="AJ33" i="91"/>
  <c r="AI33" i="91"/>
  <c r="AH33" i="91"/>
  <c r="AN33" i="91" s="1"/>
  <c r="AG33" i="91"/>
  <c r="C33" i="91"/>
  <c r="B33" i="91"/>
  <c r="BN32" i="91"/>
  <c r="BL32" i="91"/>
  <c r="BK32" i="91"/>
  <c r="I32" i="91" s="1"/>
  <c r="BJ32" i="91"/>
  <c r="H32" i="91" s="1"/>
  <c r="BF32" i="91" s="1"/>
  <c r="BI32" i="91"/>
  <c r="BM32" i="91" s="1"/>
  <c r="BH32" i="91"/>
  <c r="BG32" i="91"/>
  <c r="BE32" i="91"/>
  <c r="BD32" i="91"/>
  <c r="BC32" i="91"/>
  <c r="BB32" i="91"/>
  <c r="BA32" i="91"/>
  <c r="AZ32" i="91"/>
  <c r="AY32" i="91"/>
  <c r="AX32" i="91"/>
  <c r="AW32" i="91"/>
  <c r="AU32" i="91"/>
  <c r="AT32" i="91"/>
  <c r="AS32" i="91"/>
  <c r="AR32" i="91"/>
  <c r="AV32" i="91" s="1"/>
  <c r="AQ32" i="91"/>
  <c r="AP32" i="91"/>
  <c r="AO32" i="91"/>
  <c r="AL32" i="91"/>
  <c r="AJ32" i="91"/>
  <c r="AI32" i="91"/>
  <c r="AH32" i="91"/>
  <c r="AN32" i="91" s="1"/>
  <c r="AG32" i="91"/>
  <c r="G32" i="91"/>
  <c r="C32" i="91"/>
  <c r="B32" i="91"/>
  <c r="BN31" i="91"/>
  <c r="BK31" i="91"/>
  <c r="I31" i="91" s="1"/>
  <c r="BJ31" i="91"/>
  <c r="H31" i="91" s="1"/>
  <c r="BF31" i="91" s="1"/>
  <c r="BI31" i="91"/>
  <c r="BH31" i="91"/>
  <c r="BL31" i="91" s="1"/>
  <c r="BG31" i="91"/>
  <c r="BE31" i="91"/>
  <c r="BD31" i="91"/>
  <c r="BC31" i="91"/>
  <c r="BB31" i="91"/>
  <c r="BA31" i="91"/>
  <c r="AZ31" i="91"/>
  <c r="AY31" i="91"/>
  <c r="AX31" i="91"/>
  <c r="AW31" i="91"/>
  <c r="AU31" i="91"/>
  <c r="AT31" i="91"/>
  <c r="AS31" i="91"/>
  <c r="AR31" i="91"/>
  <c r="AV31" i="91" s="1"/>
  <c r="AQ31" i="91"/>
  <c r="AP31" i="91"/>
  <c r="AO31" i="91"/>
  <c r="AL31" i="91"/>
  <c r="AJ31" i="91"/>
  <c r="AI31" i="91"/>
  <c r="AH31" i="91"/>
  <c r="AN31" i="91" s="1"/>
  <c r="AG31" i="91"/>
  <c r="G31" i="91"/>
  <c r="C31" i="91"/>
  <c r="B31" i="91"/>
  <c r="BN30" i="91"/>
  <c r="BL30" i="91"/>
  <c r="BK30" i="91"/>
  <c r="I30" i="91" s="1"/>
  <c r="BJ30" i="91"/>
  <c r="H30" i="91" s="1"/>
  <c r="BF30" i="91" s="1"/>
  <c r="BI30" i="91"/>
  <c r="AK30" i="91" s="1"/>
  <c r="AM30" i="91" s="1"/>
  <c r="BH30" i="91"/>
  <c r="G30" i="91" s="1"/>
  <c r="BG30" i="91"/>
  <c r="BE30" i="91"/>
  <c r="BD30" i="91"/>
  <c r="BC30" i="91"/>
  <c r="BB30" i="91"/>
  <c r="BA30" i="91"/>
  <c r="AZ30" i="91"/>
  <c r="AY30" i="91"/>
  <c r="AX30" i="91"/>
  <c r="AW30" i="91"/>
  <c r="AU30" i="91"/>
  <c r="AT30" i="91"/>
  <c r="AS30" i="91"/>
  <c r="AR30" i="91"/>
  <c r="AV30" i="91" s="1"/>
  <c r="AQ30" i="91"/>
  <c r="AP30" i="91"/>
  <c r="AO30" i="91"/>
  <c r="AL30" i="91"/>
  <c r="AJ30" i="91"/>
  <c r="AI30" i="91"/>
  <c r="AH30" i="91"/>
  <c r="AN30" i="91" s="1"/>
  <c r="AG30" i="91"/>
  <c r="C30" i="91"/>
  <c r="B30" i="91"/>
  <c r="BU29" i="91"/>
  <c r="BT29" i="91"/>
  <c r="BS29" i="91"/>
  <c r="BR29" i="91"/>
  <c r="BQ29" i="91"/>
  <c r="BN29" i="91"/>
  <c r="BL29" i="91"/>
  <c r="BK29" i="91"/>
  <c r="I29" i="91" s="1"/>
  <c r="BJ29" i="91"/>
  <c r="H29" i="91" s="1"/>
  <c r="BF29" i="91" s="1"/>
  <c r="BI29" i="91"/>
  <c r="AK29" i="91" s="1"/>
  <c r="AM29" i="91" s="1"/>
  <c r="BH29" i="91"/>
  <c r="BG29" i="91"/>
  <c r="BE29" i="91"/>
  <c r="BD29" i="91"/>
  <c r="BC29" i="91"/>
  <c r="BB29" i="91"/>
  <c r="BA29" i="91"/>
  <c r="AZ29" i="91"/>
  <c r="AY29" i="91"/>
  <c r="AX29" i="91"/>
  <c r="AW29" i="91"/>
  <c r="AU29" i="91"/>
  <c r="AT29" i="91"/>
  <c r="AS29" i="91"/>
  <c r="AR29" i="91"/>
  <c r="AV29" i="91" s="1"/>
  <c r="AQ29" i="91"/>
  <c r="AP29" i="91"/>
  <c r="AO29" i="91"/>
  <c r="AL29" i="91"/>
  <c r="AJ29" i="91"/>
  <c r="AI29" i="91"/>
  <c r="AH29" i="91"/>
  <c r="AN29" i="91" s="1"/>
  <c r="AG29" i="91"/>
  <c r="G29" i="91"/>
  <c r="C29" i="91"/>
  <c r="B29" i="91"/>
  <c r="BU28" i="91"/>
  <c r="BT28" i="91"/>
  <c r="BS28" i="91"/>
  <c r="BR28" i="91"/>
  <c r="BQ28" i="91"/>
  <c r="BN28" i="91"/>
  <c r="BK28" i="91"/>
  <c r="I28" i="91" s="1"/>
  <c r="BJ28" i="91"/>
  <c r="H28" i="91" s="1"/>
  <c r="BF28" i="91" s="1"/>
  <c r="BI28" i="91"/>
  <c r="AK28" i="91" s="1"/>
  <c r="AM28" i="91" s="1"/>
  <c r="BH28" i="91"/>
  <c r="G28" i="91" s="1"/>
  <c r="BG28" i="91"/>
  <c r="BE28" i="91"/>
  <c r="BD28" i="91"/>
  <c r="BC28" i="91"/>
  <c r="BB28" i="91"/>
  <c r="BA28" i="91"/>
  <c r="AZ28" i="91"/>
  <c r="AY28" i="91"/>
  <c r="AX28" i="91"/>
  <c r="AW28" i="91"/>
  <c r="AU28" i="91"/>
  <c r="AT28" i="91"/>
  <c r="AS28" i="91"/>
  <c r="AR28" i="91"/>
  <c r="AV28" i="91" s="1"/>
  <c r="AQ28" i="91"/>
  <c r="AP28" i="91"/>
  <c r="AO28" i="91"/>
  <c r="AL28" i="91"/>
  <c r="AJ28" i="91"/>
  <c r="AI28" i="91"/>
  <c r="AH28" i="91"/>
  <c r="AN28" i="91" s="1"/>
  <c r="AG28" i="91"/>
  <c r="C28" i="91"/>
  <c r="B28" i="91"/>
  <c r="BU27" i="91"/>
  <c r="BT27" i="91"/>
  <c r="BS27" i="91"/>
  <c r="BR27" i="91"/>
  <c r="BQ27" i="91"/>
  <c r="BN27" i="91"/>
  <c r="BL27" i="91"/>
  <c r="BK27" i="91"/>
  <c r="I27" i="91" s="1"/>
  <c r="BJ27" i="91"/>
  <c r="H27" i="91" s="1"/>
  <c r="BF27" i="91" s="1"/>
  <c r="BI27" i="91"/>
  <c r="AK27" i="91" s="1"/>
  <c r="AM27" i="91" s="1"/>
  <c r="BH27" i="91"/>
  <c r="G27" i="91" s="1"/>
  <c r="BG27" i="91"/>
  <c r="BE27" i="91"/>
  <c r="BD27" i="91"/>
  <c r="BC27" i="91"/>
  <c r="BB27" i="91"/>
  <c r="BA27" i="91"/>
  <c r="AZ27" i="91"/>
  <c r="AY27" i="91"/>
  <c r="AX27" i="91"/>
  <c r="AW27" i="91"/>
  <c r="AU27" i="91"/>
  <c r="AT27" i="91"/>
  <c r="AS27" i="91"/>
  <c r="AR27" i="91"/>
  <c r="AV27" i="91" s="1"/>
  <c r="AQ27" i="91"/>
  <c r="AP27" i="91"/>
  <c r="AO27" i="91"/>
  <c r="AL27" i="91"/>
  <c r="AJ27" i="91"/>
  <c r="AI27" i="91"/>
  <c r="AH27" i="91"/>
  <c r="AN27" i="91" s="1"/>
  <c r="AG27" i="91"/>
  <c r="C27" i="91"/>
  <c r="B27" i="91"/>
  <c r="BU26" i="91"/>
  <c r="BT26" i="91"/>
  <c r="BS26" i="91"/>
  <c r="BR26" i="91"/>
  <c r="BQ26" i="91"/>
  <c r="BN26" i="91"/>
  <c r="BL26" i="91"/>
  <c r="BK26" i="91"/>
  <c r="I26" i="91" s="1"/>
  <c r="BJ26" i="91"/>
  <c r="H26" i="91" s="1"/>
  <c r="BF26" i="91" s="1"/>
  <c r="BI26" i="91"/>
  <c r="AK26" i="91" s="1"/>
  <c r="AM26" i="91" s="1"/>
  <c r="BH26" i="91"/>
  <c r="BG26" i="91"/>
  <c r="BE26" i="91"/>
  <c r="BD26" i="91"/>
  <c r="BC26" i="91"/>
  <c r="BB26" i="91"/>
  <c r="BA26" i="91"/>
  <c r="AZ26" i="91"/>
  <c r="AY26" i="91"/>
  <c r="AX26" i="91"/>
  <c r="AW26" i="91"/>
  <c r="AU26" i="91"/>
  <c r="AT26" i="91"/>
  <c r="AS26" i="91"/>
  <c r="AR26" i="91"/>
  <c r="AV26" i="91" s="1"/>
  <c r="AQ26" i="91"/>
  <c r="AP26" i="91"/>
  <c r="AO26" i="91"/>
  <c r="AL26" i="91"/>
  <c r="AJ26" i="91"/>
  <c r="AI26" i="91"/>
  <c r="AH26" i="91"/>
  <c r="AN26" i="91" s="1"/>
  <c r="AG26" i="91"/>
  <c r="G26" i="91"/>
  <c r="C26" i="91"/>
  <c r="B26" i="91"/>
  <c r="BU25" i="91"/>
  <c r="BT25" i="91"/>
  <c r="BS25" i="91"/>
  <c r="BR25" i="91"/>
  <c r="BQ25" i="91"/>
  <c r="BN25" i="91"/>
  <c r="BK25" i="91"/>
  <c r="I25" i="91" s="1"/>
  <c r="BJ25" i="91"/>
  <c r="H25" i="91" s="1"/>
  <c r="BF25" i="91" s="1"/>
  <c r="BI25" i="91"/>
  <c r="AK25" i="91" s="1"/>
  <c r="AM25" i="91" s="1"/>
  <c r="BH25" i="91"/>
  <c r="BG25" i="91"/>
  <c r="BE25" i="91"/>
  <c r="BD25" i="91"/>
  <c r="BC25" i="91"/>
  <c r="BB25" i="91"/>
  <c r="BA25" i="91"/>
  <c r="AZ25" i="91"/>
  <c r="AY25" i="91"/>
  <c r="AX25" i="91"/>
  <c r="AW25" i="91"/>
  <c r="AU25" i="91"/>
  <c r="AT25" i="91"/>
  <c r="AS25" i="91"/>
  <c r="AR25" i="91"/>
  <c r="AV25" i="91" s="1"/>
  <c r="AQ25" i="91"/>
  <c r="AP25" i="91"/>
  <c r="AO25" i="91"/>
  <c r="AL25" i="91"/>
  <c r="AJ25" i="91"/>
  <c r="AI25" i="91"/>
  <c r="AH25" i="91"/>
  <c r="AN25" i="91" s="1"/>
  <c r="AG25" i="91"/>
  <c r="C25" i="91"/>
  <c r="B25" i="91"/>
  <c r="BU24" i="91"/>
  <c r="BT24" i="91"/>
  <c r="BS24" i="91"/>
  <c r="BR24" i="91"/>
  <c r="BQ24" i="91"/>
  <c r="BN24" i="91"/>
  <c r="BL24" i="91"/>
  <c r="BK24" i="91"/>
  <c r="I24" i="91" s="1"/>
  <c r="BJ24" i="91"/>
  <c r="H24" i="91" s="1"/>
  <c r="BF24" i="91" s="1"/>
  <c r="BI24" i="91"/>
  <c r="AK24" i="91" s="1"/>
  <c r="AM24" i="91" s="1"/>
  <c r="BH24" i="91"/>
  <c r="G24" i="91" s="1"/>
  <c r="BG24" i="91"/>
  <c r="BE24" i="91"/>
  <c r="BD24" i="91"/>
  <c r="BC24" i="91"/>
  <c r="BB24" i="91"/>
  <c r="BA24" i="91"/>
  <c r="AZ24" i="91"/>
  <c r="AY24" i="91"/>
  <c r="AX24" i="91"/>
  <c r="AW24" i="91"/>
  <c r="AU24" i="91"/>
  <c r="AT24" i="91"/>
  <c r="AS24" i="91"/>
  <c r="AR24" i="91"/>
  <c r="AV24" i="91" s="1"/>
  <c r="AQ24" i="91"/>
  <c r="AP24" i="91"/>
  <c r="AO24" i="91"/>
  <c r="AL24" i="91"/>
  <c r="AJ24" i="91"/>
  <c r="AI24" i="91"/>
  <c r="AH24" i="91"/>
  <c r="AN24" i="91" s="1"/>
  <c r="AG24" i="91"/>
  <c r="C24" i="91"/>
  <c r="B24" i="91"/>
  <c r="BU23" i="91"/>
  <c r="BT23" i="91"/>
  <c r="BS23" i="91"/>
  <c r="BR23" i="91"/>
  <c r="BQ23" i="91"/>
  <c r="BN23" i="91"/>
  <c r="BL23" i="91"/>
  <c r="BK23" i="91"/>
  <c r="I23" i="91" s="1"/>
  <c r="BJ23" i="91"/>
  <c r="H23" i="91" s="1"/>
  <c r="BF23" i="91" s="1"/>
  <c r="BI23" i="91"/>
  <c r="AK23" i="91" s="1"/>
  <c r="AM23" i="91" s="1"/>
  <c r="BH23" i="91"/>
  <c r="BG23" i="91"/>
  <c r="BE23" i="91"/>
  <c r="BD23" i="91"/>
  <c r="BC23" i="91"/>
  <c r="BB23" i="91"/>
  <c r="BA23" i="91"/>
  <c r="AZ23" i="91"/>
  <c r="AY23" i="91"/>
  <c r="AX23" i="91"/>
  <c r="AW23" i="91"/>
  <c r="AU23" i="91"/>
  <c r="AT23" i="91"/>
  <c r="AS23" i="91"/>
  <c r="AR23" i="91"/>
  <c r="AV23" i="91" s="1"/>
  <c r="AQ23" i="91"/>
  <c r="AP23" i="91"/>
  <c r="AO23" i="91"/>
  <c r="AL23" i="91"/>
  <c r="AJ23" i="91"/>
  <c r="AI23" i="91"/>
  <c r="AH23" i="91"/>
  <c r="AN23" i="91" s="1"/>
  <c r="AG23" i="91"/>
  <c r="G23" i="91"/>
  <c r="C23" i="91"/>
  <c r="B23" i="91"/>
  <c r="BU22" i="91"/>
  <c r="BT22" i="91"/>
  <c r="BS22" i="91"/>
  <c r="BR22" i="91"/>
  <c r="BQ22" i="91"/>
  <c r="BH22" i="91"/>
  <c r="BE22" i="91"/>
  <c r="BD22" i="91"/>
  <c r="BC22" i="91"/>
  <c r="AU22" i="91"/>
  <c r="AS22" i="91"/>
  <c r="AQ22" i="91"/>
  <c r="AO22" i="91"/>
  <c r="AL22" i="91"/>
  <c r="AH22" i="91"/>
  <c r="AG22" i="91"/>
  <c r="BU21" i="91"/>
  <c r="BT21" i="91"/>
  <c r="BS21" i="91"/>
  <c r="BR21" i="91"/>
  <c r="BQ21" i="91"/>
  <c r="BL21" i="91"/>
  <c r="BH21" i="91"/>
  <c r="BE21" i="91"/>
  <c r="BD21" i="91"/>
  <c r="BC21" i="91"/>
  <c r="AU21" i="91"/>
  <c r="AS21" i="91"/>
  <c r="AQ21" i="91"/>
  <c r="AO21" i="91"/>
  <c r="AL21" i="91"/>
  <c r="AH21" i="91"/>
  <c r="AN21" i="91" s="1"/>
  <c r="AG21" i="91"/>
  <c r="BH20" i="91"/>
  <c r="BE20" i="91"/>
  <c r="BD20" i="91"/>
  <c r="BC20" i="91"/>
  <c r="AU20" i="91"/>
  <c r="AS20" i="91"/>
  <c r="AQ20" i="91"/>
  <c r="AO20" i="91"/>
  <c r="AL20" i="91"/>
  <c r="AH20" i="91"/>
  <c r="AG20" i="91"/>
  <c r="BL19" i="91"/>
  <c r="BK19" i="91"/>
  <c r="I19" i="91" s="1"/>
  <c r="BH19" i="91"/>
  <c r="BE19" i="91"/>
  <c r="BD19" i="91"/>
  <c r="BC19" i="91"/>
  <c r="BA19" i="91"/>
  <c r="AY19" i="91"/>
  <c r="AU19" i="91"/>
  <c r="AS19" i="91"/>
  <c r="AQ19" i="91"/>
  <c r="AO19" i="91"/>
  <c r="AL19" i="91"/>
  <c r="AH19" i="91"/>
  <c r="AG19" i="91"/>
  <c r="G19" i="91"/>
  <c r="BB19" i="91" s="1"/>
  <c r="BL18" i="91"/>
  <c r="BJ18" i="91"/>
  <c r="H18" i="91" s="1"/>
  <c r="BF18" i="91" s="1"/>
  <c r="BH18" i="91"/>
  <c r="BE18" i="91"/>
  <c r="BD18" i="91"/>
  <c r="BC18" i="91"/>
  <c r="BB18" i="91"/>
  <c r="BA18" i="91"/>
  <c r="AU18" i="91"/>
  <c r="AS18" i="91"/>
  <c r="AQ18" i="91"/>
  <c r="AO18" i="91"/>
  <c r="AL18" i="91"/>
  <c r="AH18" i="91"/>
  <c r="AN18" i="91" s="1"/>
  <c r="AG18" i="91"/>
  <c r="G18" i="91"/>
  <c r="B18" i="91"/>
  <c r="BL17" i="91"/>
  <c r="BH17" i="91"/>
  <c r="BE17" i="91"/>
  <c r="BD17" i="91"/>
  <c r="BC17" i="91"/>
  <c r="AU17" i="91"/>
  <c r="AS17" i="91"/>
  <c r="AQ17" i="91"/>
  <c r="AO17" i="91"/>
  <c r="AL17" i="91"/>
  <c r="AH17" i="91"/>
  <c r="AG17" i="91"/>
  <c r="BH16" i="91"/>
  <c r="BE16" i="91"/>
  <c r="BD16" i="91"/>
  <c r="BC16" i="91"/>
  <c r="AU16" i="91"/>
  <c r="AS16" i="91"/>
  <c r="AQ16" i="91"/>
  <c r="AO16" i="91"/>
  <c r="AL16" i="91"/>
  <c r="AH16" i="91"/>
  <c r="AG16" i="91"/>
  <c r="BL15" i="91"/>
  <c r="BK15" i="91"/>
  <c r="I15" i="91" s="1"/>
  <c r="BJ15" i="91"/>
  <c r="H15" i="91" s="1"/>
  <c r="BF15" i="91" s="1"/>
  <c r="BH15" i="91"/>
  <c r="BE15" i="91"/>
  <c r="BD15" i="91"/>
  <c r="BC15" i="91"/>
  <c r="BA15" i="91"/>
  <c r="AY15" i="91"/>
  <c r="AX15" i="91"/>
  <c r="AU15" i="91"/>
  <c r="AS15" i="91"/>
  <c r="AQ15" i="91"/>
  <c r="AO15" i="91"/>
  <c r="AL15" i="91"/>
  <c r="AH15" i="91"/>
  <c r="AN15" i="91" s="1"/>
  <c r="AG15" i="91"/>
  <c r="G15" i="91"/>
  <c r="BB15" i="91" s="1"/>
  <c r="B15" i="91"/>
  <c r="BL14" i="91"/>
  <c r="BH14" i="91"/>
  <c r="BE14" i="91"/>
  <c r="BD14" i="91"/>
  <c r="BC14" i="91"/>
  <c r="BB14" i="91"/>
  <c r="BA14" i="91"/>
  <c r="AU14" i="91"/>
  <c r="AS14" i="91"/>
  <c r="AQ14" i="91"/>
  <c r="AO14" i="91"/>
  <c r="AL14" i="91"/>
  <c r="AH14" i="91"/>
  <c r="AN14" i="91" s="1"/>
  <c r="AG14" i="91"/>
  <c r="G14" i="91"/>
  <c r="BL13" i="91"/>
  <c r="BH13" i="91"/>
  <c r="BE13" i="91"/>
  <c r="BD13" i="91"/>
  <c r="BC13" i="91"/>
  <c r="AU13" i="91"/>
  <c r="AS13" i="91"/>
  <c r="AQ13" i="91"/>
  <c r="AO13" i="91"/>
  <c r="AL13" i="91"/>
  <c r="AH13" i="91"/>
  <c r="AG13" i="91"/>
  <c r="BJ12" i="91"/>
  <c r="H12" i="91" s="1"/>
  <c r="BF12" i="91" s="1"/>
  <c r="BH12" i="91"/>
  <c r="BE12" i="91"/>
  <c r="BD12" i="91"/>
  <c r="BC12" i="91"/>
  <c r="AU12" i="91"/>
  <c r="AS12" i="91"/>
  <c r="AQ12" i="91"/>
  <c r="AO12" i="91"/>
  <c r="AL12" i="91"/>
  <c r="AH12" i="91"/>
  <c r="AN12" i="91" s="1"/>
  <c r="AG12" i="91"/>
  <c r="B12" i="91"/>
  <c r="BL11" i="91"/>
  <c r="BK11" i="91"/>
  <c r="I11" i="91" s="1"/>
  <c r="BJ11" i="91"/>
  <c r="H11" i="91" s="1"/>
  <c r="BF11" i="91" s="1"/>
  <c r="BH11" i="91"/>
  <c r="BE11" i="91"/>
  <c r="BD11" i="91"/>
  <c r="BC11" i="91"/>
  <c r="BA11" i="91"/>
  <c r="AY11" i="91"/>
  <c r="AX11" i="91"/>
  <c r="AU11" i="91"/>
  <c r="AS11" i="91"/>
  <c r="AQ11" i="91"/>
  <c r="AO11" i="91"/>
  <c r="AL11" i="91"/>
  <c r="AH11" i="91"/>
  <c r="AN11" i="91" s="1"/>
  <c r="AG11" i="91"/>
  <c r="G11" i="91"/>
  <c r="BB11" i="91" s="1"/>
  <c r="B11" i="91"/>
  <c r="BL10" i="91"/>
  <c r="BH10" i="91"/>
  <c r="BE10" i="91"/>
  <c r="BD10" i="91"/>
  <c r="BC10" i="91"/>
  <c r="BB10" i="91"/>
  <c r="BA10" i="91"/>
  <c r="AU10" i="91"/>
  <c r="AS10" i="91"/>
  <c r="AQ10" i="91"/>
  <c r="AL10" i="91"/>
  <c r="AH10" i="91"/>
  <c r="AG10" i="91"/>
  <c r="G10" i="91"/>
  <c r="BL9" i="91"/>
  <c r="BH9" i="91"/>
  <c r="BE9" i="91"/>
  <c r="BD9" i="91"/>
  <c r="BC9" i="91"/>
  <c r="AU9" i="91"/>
  <c r="AS9" i="91"/>
  <c r="AQ9" i="91"/>
  <c r="AL9" i="91"/>
  <c r="AH9" i="91"/>
  <c r="AG9" i="91"/>
  <c r="B9" i="91"/>
  <c r="BJ8" i="91"/>
  <c r="H8" i="91" s="1"/>
  <c r="BF8" i="91" s="1"/>
  <c r="BH8" i="91"/>
  <c r="BE8" i="91"/>
  <c r="BD8" i="91"/>
  <c r="BC8" i="91"/>
  <c r="AU8" i="91"/>
  <c r="AS8" i="91"/>
  <c r="AQ8" i="91"/>
  <c r="AL8" i="91"/>
  <c r="AJ8" i="91"/>
  <c r="AH8" i="91"/>
  <c r="AN8" i="91" s="1"/>
  <c r="AG8" i="91"/>
  <c r="B8" i="91"/>
  <c r="AV6" i="91"/>
  <c r="AR12" i="93" l="1"/>
  <c r="AV12" i="93" s="1"/>
  <c r="BK11" i="92"/>
  <c r="I11" i="92" s="1"/>
  <c r="AK25" i="92"/>
  <c r="AM25" i="92" s="1"/>
  <c r="BM33" i="92"/>
  <c r="BM35" i="92"/>
  <c r="BM35" i="91"/>
  <c r="AP9" i="94"/>
  <c r="BG9" i="94" s="1"/>
  <c r="AN9" i="91"/>
  <c r="AN10" i="91"/>
  <c r="AI14" i="91"/>
  <c r="C14" i="91" s="1"/>
  <c r="AQ41" i="91"/>
  <c r="AN17" i="91"/>
  <c r="AN13" i="91"/>
  <c r="B16" i="96"/>
  <c r="AP16" i="96" s="1"/>
  <c r="BG16" i="96" s="1"/>
  <c r="AJ33" i="96"/>
  <c r="AI15" i="96" s="1"/>
  <c r="C15" i="96" s="1"/>
  <c r="BM39" i="92"/>
  <c r="AM41" i="96"/>
  <c r="AX4" i="96" s="1"/>
  <c r="AM6" i="96"/>
  <c r="AP8" i="96"/>
  <c r="BG8" i="96" s="1"/>
  <c r="AP12" i="96"/>
  <c r="BG12" i="96" s="1"/>
  <c r="AV8" i="96"/>
  <c r="AR41" i="96"/>
  <c r="B13" i="96"/>
  <c r="AT41" i="96"/>
  <c r="AM17" i="95"/>
  <c r="AR17" i="95"/>
  <c r="AV17" i="95" s="1"/>
  <c r="AT17" i="95"/>
  <c r="AX17" i="95"/>
  <c r="AR13" i="95"/>
  <c r="AV13" i="95" s="1"/>
  <c r="AT13" i="95"/>
  <c r="AM13" i="95"/>
  <c r="AM21" i="95"/>
  <c r="AT21" i="95"/>
  <c r="AR21" i="95"/>
  <c r="AV21" i="95" s="1"/>
  <c r="AX21" i="95"/>
  <c r="AM27" i="95"/>
  <c r="AP27" i="95" s="1"/>
  <c r="BG27" i="95" s="1"/>
  <c r="AT27" i="95"/>
  <c r="AR27" i="95"/>
  <c r="AV27" i="95" s="1"/>
  <c r="AM12" i="93"/>
  <c r="AM24" i="95"/>
  <c r="AT24" i="95"/>
  <c r="AR24" i="95"/>
  <c r="AV24" i="95" s="1"/>
  <c r="AX24" i="95"/>
  <c r="AY4" i="94"/>
  <c r="H41" i="94" s="1"/>
  <c r="B13" i="95"/>
  <c r="AV44" i="92"/>
  <c r="AI25" i="92" s="1"/>
  <c r="C25" i="92" s="1"/>
  <c r="BF9" i="95"/>
  <c r="AP9" i="95"/>
  <c r="BG9" i="95" s="1"/>
  <c r="AT14" i="95"/>
  <c r="AM14" i="95"/>
  <c r="AP14" i="95" s="1"/>
  <c r="BG14" i="95" s="1"/>
  <c r="AR14" i="95"/>
  <c r="AV14" i="95" s="1"/>
  <c r="AT23" i="95"/>
  <c r="AM23" i="95"/>
  <c r="AR23" i="95"/>
  <c r="AV23" i="95" s="1"/>
  <c r="AX23" i="95"/>
  <c r="AR9" i="95"/>
  <c r="AT9" i="95"/>
  <c r="H41" i="95" s="1"/>
  <c r="AM9" i="95"/>
  <c r="AT18" i="95"/>
  <c r="AM18" i="95"/>
  <c r="AR18" i="95"/>
  <c r="AV18" i="95" s="1"/>
  <c r="AX18" i="95"/>
  <c r="AT26" i="95"/>
  <c r="AR26" i="95"/>
  <c r="AV26" i="95" s="1"/>
  <c r="AM26" i="95"/>
  <c r="AX26" i="95"/>
  <c r="AZ4" i="95"/>
  <c r="AJ18" i="95"/>
  <c r="AP10" i="95"/>
  <c r="BG10" i="95" s="1"/>
  <c r="AM10" i="95"/>
  <c r="AT10" i="95"/>
  <c r="AR10" i="95"/>
  <c r="AV10" i="95" s="1"/>
  <c r="BM24" i="94"/>
  <c r="BJ24" i="94"/>
  <c r="H24" i="94" s="1"/>
  <c r="BF24" i="94" s="1"/>
  <c r="AK24" i="94"/>
  <c r="BN24" i="94"/>
  <c r="BK12" i="92"/>
  <c r="AO12" i="92" s="1"/>
  <c r="AJ20" i="94"/>
  <c r="AK34" i="92"/>
  <c r="AM34" i="92" s="1"/>
  <c r="AT22" i="94"/>
  <c r="AR22" i="94"/>
  <c r="AV22" i="94" s="1"/>
  <c r="AM22" i="94"/>
  <c r="AX22" i="94"/>
  <c r="AK21" i="94"/>
  <c r="BJ21" i="94"/>
  <c r="H21" i="94" s="1"/>
  <c r="BF21" i="94" s="1"/>
  <c r="BN21" i="94"/>
  <c r="BM21" i="94"/>
  <c r="AM17" i="94"/>
  <c r="AR17" i="94"/>
  <c r="AV17" i="94" s="1"/>
  <c r="AX17" i="94"/>
  <c r="AT17" i="94"/>
  <c r="AM9" i="94"/>
  <c r="AR9" i="94"/>
  <c r="AV9" i="94" s="1"/>
  <c r="AT9" i="94"/>
  <c r="BM14" i="94"/>
  <c r="AK14" i="94"/>
  <c r="BN14" i="94"/>
  <c r="AN20" i="91"/>
  <c r="BM26" i="91"/>
  <c r="AM15" i="94"/>
  <c r="AP15" i="94" s="1"/>
  <c r="BG15" i="94" s="1"/>
  <c r="AT15" i="94"/>
  <c r="AR15" i="94"/>
  <c r="AV15" i="94" s="1"/>
  <c r="AK13" i="94"/>
  <c r="BJ13" i="94"/>
  <c r="H13" i="94" s="1"/>
  <c r="BF13" i="94" s="1"/>
  <c r="AO13" i="94"/>
  <c r="BN13" i="94"/>
  <c r="BM13" i="94"/>
  <c r="AZ24" i="94"/>
  <c r="AP11" i="94"/>
  <c r="BG11" i="94" s="1"/>
  <c r="B13" i="94"/>
  <c r="AN41" i="93"/>
  <c r="AR8" i="94"/>
  <c r="AM8" i="94"/>
  <c r="AT8" i="94"/>
  <c r="B16" i="94"/>
  <c r="AP16" i="94" s="1"/>
  <c r="BG16" i="94" s="1"/>
  <c r="AZ21" i="94"/>
  <c r="AK10" i="94"/>
  <c r="AO10" i="94"/>
  <c r="BJ10" i="94"/>
  <c r="H10" i="94" s="1"/>
  <c r="BM10" i="94"/>
  <c r="BN10" i="94"/>
  <c r="AZ14" i="94"/>
  <c r="AK18" i="94"/>
  <c r="BJ18" i="94"/>
  <c r="H18" i="94" s="1"/>
  <c r="BF18" i="94" s="1"/>
  <c r="BM18" i="94"/>
  <c r="BN18" i="94"/>
  <c r="AR16" i="93"/>
  <c r="AV16" i="93" s="1"/>
  <c r="AM16" i="93"/>
  <c r="AX16" i="93"/>
  <c r="AT25" i="94"/>
  <c r="AR25" i="94"/>
  <c r="AV25" i="94" s="1"/>
  <c r="AM25" i="94"/>
  <c r="AP25" i="94" s="1"/>
  <c r="BG25" i="94" s="1"/>
  <c r="B12" i="94"/>
  <c r="AP12" i="94" s="1"/>
  <c r="BG12" i="94" s="1"/>
  <c r="BB4" i="94"/>
  <c r="AM28" i="92"/>
  <c r="AR28" i="92"/>
  <c r="AV28" i="92" s="1"/>
  <c r="BM29" i="91"/>
  <c r="BM39" i="91"/>
  <c r="BB26" i="93"/>
  <c r="BA26" i="93"/>
  <c r="AY26" i="93"/>
  <c r="BK26" i="93"/>
  <c r="I26" i="93" s="1"/>
  <c r="BI26" i="93"/>
  <c r="AZ26" i="93" s="1"/>
  <c r="AW26" i="93"/>
  <c r="AK36" i="92"/>
  <c r="AM36" i="92" s="1"/>
  <c r="BM38" i="92"/>
  <c r="BB18" i="93"/>
  <c r="BA18" i="93"/>
  <c r="BK18" i="93"/>
  <c r="I18" i="93" s="1"/>
  <c r="AY18" i="93"/>
  <c r="BI18" i="93"/>
  <c r="AZ18" i="93" s="1"/>
  <c r="AW18" i="93"/>
  <c r="AZ22" i="92"/>
  <c r="BB23" i="93"/>
  <c r="BA23" i="93"/>
  <c r="AY23" i="93"/>
  <c r="BK23" i="93"/>
  <c r="I23" i="93" s="1"/>
  <c r="BI23" i="93"/>
  <c r="AZ23" i="93" s="1"/>
  <c r="AW23" i="93"/>
  <c r="BB14" i="93"/>
  <c r="BA14" i="93"/>
  <c r="BK14" i="93"/>
  <c r="I14" i="93" s="1"/>
  <c r="AY14" i="93"/>
  <c r="AX14" i="93"/>
  <c r="AW14" i="93"/>
  <c r="BI14" i="93"/>
  <c r="AZ14" i="93" s="1"/>
  <c r="BK13" i="93"/>
  <c r="AY13" i="93"/>
  <c r="BB13" i="93"/>
  <c r="BA13" i="93"/>
  <c r="AX13" i="93"/>
  <c r="AW13" i="93"/>
  <c r="BI13" i="93"/>
  <c r="BI10" i="92"/>
  <c r="BJ10" i="92" s="1"/>
  <c r="H10" i="92" s="1"/>
  <c r="BF10" i="92" s="1"/>
  <c r="BB10" i="93"/>
  <c r="BA10" i="93"/>
  <c r="AX10" i="93"/>
  <c r="BI10" i="93"/>
  <c r="AW10" i="93"/>
  <c r="BK10" i="93"/>
  <c r="AY10" i="93"/>
  <c r="BN32" i="93"/>
  <c r="BM32" i="93"/>
  <c r="BJ32" i="93"/>
  <c r="H32" i="93" s="1"/>
  <c r="BF32" i="93" s="1"/>
  <c r="AK32" i="93"/>
  <c r="BK21" i="93"/>
  <c r="I21" i="93" s="1"/>
  <c r="AY21" i="93"/>
  <c r="BI21" i="93"/>
  <c r="AZ21" i="93" s="1"/>
  <c r="AW21" i="93"/>
  <c r="BB21" i="93"/>
  <c r="BA21" i="93"/>
  <c r="BB31" i="93"/>
  <c r="BA31" i="93"/>
  <c r="BK31" i="93"/>
  <c r="I31" i="93" s="1"/>
  <c r="AY31" i="93"/>
  <c r="BI31" i="93"/>
  <c r="AZ31" i="93" s="1"/>
  <c r="AW31" i="93"/>
  <c r="BK30" i="93"/>
  <c r="I30" i="93" s="1"/>
  <c r="AY30" i="93"/>
  <c r="BI30" i="93"/>
  <c r="AW30" i="93"/>
  <c r="BB30" i="93"/>
  <c r="BA30" i="93"/>
  <c r="BJ9" i="93"/>
  <c r="H9" i="93" s="1"/>
  <c r="BF9" i="93" s="1"/>
  <c r="AK9" i="93"/>
  <c r="BN9" i="93"/>
  <c r="BN22" i="93"/>
  <c r="BM22" i="93"/>
  <c r="BJ22" i="93"/>
  <c r="H22" i="93" s="1"/>
  <c r="BF22" i="93" s="1"/>
  <c r="AK22" i="93"/>
  <c r="AZ22" i="93"/>
  <c r="AK15" i="93"/>
  <c r="BN15" i="93"/>
  <c r="BM15" i="93"/>
  <c r="AR8" i="93"/>
  <c r="AM8" i="93"/>
  <c r="AT8" i="93"/>
  <c r="AN22" i="91"/>
  <c r="AK32" i="92"/>
  <c r="AM32" i="92" s="1"/>
  <c r="BK27" i="93"/>
  <c r="I27" i="93" s="1"/>
  <c r="AY27" i="93"/>
  <c r="BI27" i="93"/>
  <c r="AZ27" i="93" s="1"/>
  <c r="AW27" i="93"/>
  <c r="BB27" i="93"/>
  <c r="BA27" i="93"/>
  <c r="AK19" i="93"/>
  <c r="BN19" i="93"/>
  <c r="BM19" i="93"/>
  <c r="BK11" i="93"/>
  <c r="AY11" i="93"/>
  <c r="BI11" i="93"/>
  <c r="AZ11" i="93" s="1"/>
  <c r="AX11" i="93"/>
  <c r="AW11" i="93"/>
  <c r="BB11" i="93"/>
  <c r="BA11" i="93"/>
  <c r="AZ9" i="93"/>
  <c r="AJ15" i="93"/>
  <c r="BN28" i="93"/>
  <c r="BM28" i="93"/>
  <c r="AZ28" i="93"/>
  <c r="BJ28" i="93"/>
  <c r="H28" i="93" s="1"/>
  <c r="BF28" i="93" s="1"/>
  <c r="AK28" i="93"/>
  <c r="BK24" i="93"/>
  <c r="I24" i="93" s="1"/>
  <c r="AY24" i="93"/>
  <c r="BI24" i="93"/>
  <c r="AZ24" i="93" s="1"/>
  <c r="AW24" i="93"/>
  <c r="BB24" i="93"/>
  <c r="BA24" i="93"/>
  <c r="AZ15" i="93"/>
  <c r="I9" i="93"/>
  <c r="AO9" i="93"/>
  <c r="BB29" i="93"/>
  <c r="BA29" i="93"/>
  <c r="BK29" i="93"/>
  <c r="I29" i="93" s="1"/>
  <c r="AY29" i="93"/>
  <c r="AX29" i="93"/>
  <c r="BI29" i="93"/>
  <c r="AZ29" i="93" s="1"/>
  <c r="AW29" i="93"/>
  <c r="BN25" i="93"/>
  <c r="BM25" i="93"/>
  <c r="BJ25" i="93"/>
  <c r="H25" i="93" s="1"/>
  <c r="BF25" i="93" s="1"/>
  <c r="AK25" i="93"/>
  <c r="AZ25" i="93"/>
  <c r="BM9" i="93"/>
  <c r="E41" i="93"/>
  <c r="AV41" i="93"/>
  <c r="AV45" i="93" s="1"/>
  <c r="Q5" i="93"/>
  <c r="AN6" i="93"/>
  <c r="BM37" i="92"/>
  <c r="AZ19" i="93"/>
  <c r="B10" i="93"/>
  <c r="BK17" i="93"/>
  <c r="I17" i="93" s="1"/>
  <c r="AY17" i="93"/>
  <c r="BI17" i="93"/>
  <c r="AZ17" i="93" s="1"/>
  <c r="AW17" i="93"/>
  <c r="BB17" i="93"/>
  <c r="BA17" i="93"/>
  <c r="AO11" i="92"/>
  <c r="AO8" i="92"/>
  <c r="I8" i="92"/>
  <c r="AK18" i="92"/>
  <c r="AX18" i="92" s="1"/>
  <c r="BJ18" i="92"/>
  <c r="H18" i="92" s="1"/>
  <c r="BF18" i="92" s="1"/>
  <c r="AW14" i="92"/>
  <c r="AM22" i="92"/>
  <c r="AT22" i="92"/>
  <c r="AN16" i="91"/>
  <c r="BM23" i="91"/>
  <c r="AY15" i="92"/>
  <c r="AI16" i="92"/>
  <c r="C16" i="92" s="1"/>
  <c r="G17" i="92"/>
  <c r="BA14" i="92"/>
  <c r="BK14" i="92"/>
  <c r="I14" i="92" s="1"/>
  <c r="AY14" i="92"/>
  <c r="AQ41" i="92"/>
  <c r="BE4" i="92"/>
  <c r="BB14" i="92"/>
  <c r="G16" i="92"/>
  <c r="BM18" i="92"/>
  <c r="BL18" i="92"/>
  <c r="AK32" i="91"/>
  <c r="AM32" i="91" s="1"/>
  <c r="AK31" i="91"/>
  <c r="AM31" i="91" s="1"/>
  <c r="BM31" i="91"/>
  <c r="BB12" i="92"/>
  <c r="BA15" i="92"/>
  <c r="AX15" i="92"/>
  <c r="BI15" i="92"/>
  <c r="AZ15" i="92" s="1"/>
  <c r="AW15" i="92"/>
  <c r="BM36" i="91"/>
  <c r="AK36" i="91"/>
  <c r="AM36" i="91" s="1"/>
  <c r="B10" i="92"/>
  <c r="G9" i="92"/>
  <c r="BL10" i="92"/>
  <c r="BM22" i="92"/>
  <c r="BJ22" i="92"/>
  <c r="H22" i="92" s="1"/>
  <c r="BF22" i="92" s="1"/>
  <c r="BM31" i="92"/>
  <c r="BA8" i="92"/>
  <c r="AX8" i="92"/>
  <c r="BI8" i="92"/>
  <c r="BM8" i="92" s="1"/>
  <c r="AW8" i="92"/>
  <c r="AI10" i="92"/>
  <c r="C10" i="92" s="1"/>
  <c r="AI22" i="92"/>
  <c r="C22" i="92" s="1"/>
  <c r="G29" i="92"/>
  <c r="BL29" i="92"/>
  <c r="BJ31" i="92"/>
  <c r="H31" i="92" s="1"/>
  <c r="BF31" i="92" s="1"/>
  <c r="AI9" i="92"/>
  <c r="C9" i="92" s="1"/>
  <c r="AS41" i="92"/>
  <c r="AI12" i="92"/>
  <c r="C12" i="92" s="1"/>
  <c r="G13" i="92"/>
  <c r="AR22" i="92"/>
  <c r="AV22" i="92" s="1"/>
  <c r="AK31" i="92"/>
  <c r="BA18" i="92"/>
  <c r="AZ18" i="92"/>
  <c r="BK18" i="92"/>
  <c r="I18" i="92" s="1"/>
  <c r="AY18" i="92"/>
  <c r="BA19" i="92"/>
  <c r="BI19" i="92"/>
  <c r="AZ19" i="92" s="1"/>
  <c r="AW19" i="92"/>
  <c r="G23" i="92"/>
  <c r="BL23" i="92"/>
  <c r="G26" i="92"/>
  <c r="BL26" i="92"/>
  <c r="BA11" i="92"/>
  <c r="AX11" i="92"/>
  <c r="BI11" i="92"/>
  <c r="AZ11" i="92" s="1"/>
  <c r="AW11" i="92"/>
  <c r="AY11" i="92"/>
  <c r="BA12" i="92"/>
  <c r="AX12" i="92"/>
  <c r="BI12" i="92"/>
  <c r="BM12" i="92" s="1"/>
  <c r="AW12" i="92"/>
  <c r="AI13" i="92"/>
  <c r="C13" i="92" s="1"/>
  <c r="BL14" i="92"/>
  <c r="BA20" i="92"/>
  <c r="AX20" i="92"/>
  <c r="BI20" i="92"/>
  <c r="AW20" i="92"/>
  <c r="BK20" i="92"/>
  <c r="I20" i="92" s="1"/>
  <c r="G21" i="92"/>
  <c r="BA10" i="92"/>
  <c r="BK10" i="92"/>
  <c r="AY10" i="92"/>
  <c r="AW10" i="92"/>
  <c r="BB11" i="92"/>
  <c r="BL13" i="92"/>
  <c r="BI14" i="92"/>
  <c r="AK14" i="92" s="1"/>
  <c r="AN18" i="92"/>
  <c r="AN6" i="92" s="1"/>
  <c r="BB19" i="92"/>
  <c r="BL20" i="92"/>
  <c r="AI29" i="92"/>
  <c r="C29" i="92" s="1"/>
  <c r="AI26" i="92"/>
  <c r="C26" i="92" s="1"/>
  <c r="AI31" i="92"/>
  <c r="C31" i="92" s="1"/>
  <c r="AI18" i="92"/>
  <c r="C18" i="92" s="1"/>
  <c r="AI30" i="92"/>
  <c r="C30" i="92" s="1"/>
  <c r="AI24" i="92"/>
  <c r="C24" i="92" s="1"/>
  <c r="AI21" i="92"/>
  <c r="C21" i="92" s="1"/>
  <c r="AI17" i="92"/>
  <c r="C17" i="92" s="1"/>
  <c r="AI28" i="92"/>
  <c r="C28" i="92" s="1"/>
  <c r="AJ9" i="92"/>
  <c r="AJ10" i="92" s="1"/>
  <c r="AJ11" i="92" s="1"/>
  <c r="AJ12" i="92" s="1"/>
  <c r="AJ13" i="92" s="1"/>
  <c r="AJ14" i="92" s="1"/>
  <c r="AY12" i="92"/>
  <c r="BK15" i="92"/>
  <c r="I15" i="92" s="1"/>
  <c r="AI19" i="92"/>
  <c r="C19" i="92" s="1"/>
  <c r="BL21" i="92"/>
  <c r="AN19" i="91"/>
  <c r="G24" i="92"/>
  <c r="G27" i="92"/>
  <c r="AT28" i="92"/>
  <c r="G30" i="92"/>
  <c r="AY31" i="92"/>
  <c r="BK31" i="92"/>
  <c r="I31" i="92" s="1"/>
  <c r="AZ31" i="92"/>
  <c r="BL31" i="92"/>
  <c r="BL35" i="92"/>
  <c r="BL39" i="92"/>
  <c r="BA31" i="92"/>
  <c r="AX22" i="92"/>
  <c r="AX25" i="92"/>
  <c r="BJ25" i="92"/>
  <c r="H25" i="92" s="1"/>
  <c r="BF25" i="92" s="1"/>
  <c r="AX28" i="92"/>
  <c r="BJ28" i="92"/>
  <c r="H28" i="92" s="1"/>
  <c r="BF28" i="92" s="1"/>
  <c r="AY22" i="92"/>
  <c r="BK22" i="92"/>
  <c r="I22" i="92" s="1"/>
  <c r="AY25" i="92"/>
  <c r="BK25" i="92"/>
  <c r="I25" i="92" s="1"/>
  <c r="AY28" i="92"/>
  <c r="BK28" i="92"/>
  <c r="I28" i="92" s="1"/>
  <c r="AU41" i="92"/>
  <c r="AZ28" i="92"/>
  <c r="BM28" i="92"/>
  <c r="BL33" i="92"/>
  <c r="BL37" i="92"/>
  <c r="BC4" i="91"/>
  <c r="AI9" i="91"/>
  <c r="C9" i="91" s="1"/>
  <c r="AS41" i="91"/>
  <c r="AU41" i="91"/>
  <c r="BI14" i="91"/>
  <c r="BK14" i="91"/>
  <c r="I14" i="91" s="1"/>
  <c r="AY14" i="91"/>
  <c r="AW14" i="91"/>
  <c r="AI19" i="91"/>
  <c r="C19" i="91" s="1"/>
  <c r="BD4" i="91"/>
  <c r="BI18" i="91"/>
  <c r="AW18" i="91"/>
  <c r="BK18" i="91"/>
  <c r="I18" i="91" s="1"/>
  <c r="AY18" i="91"/>
  <c r="AX18" i="91"/>
  <c r="AJ9" i="91"/>
  <c r="G8" i="91"/>
  <c r="BL8" i="91"/>
  <c r="G22" i="91"/>
  <c r="BL22" i="91"/>
  <c r="AI10" i="91"/>
  <c r="C10" i="91" s="1"/>
  <c r="G20" i="91"/>
  <c r="BL20" i="91"/>
  <c r="G12" i="91"/>
  <c r="BL12" i="91"/>
  <c r="AI21" i="91"/>
  <c r="C21" i="91" s="1"/>
  <c r="AI17" i="91"/>
  <c r="C17" i="91" s="1"/>
  <c r="AI13" i="91"/>
  <c r="C13" i="91" s="1"/>
  <c r="AI22" i="91"/>
  <c r="C22" i="91" s="1"/>
  <c r="AW10" i="91"/>
  <c r="BK10" i="91"/>
  <c r="I10" i="91" s="1"/>
  <c r="AY10" i="91"/>
  <c r="BI10" i="91"/>
  <c r="AX10" i="91"/>
  <c r="G25" i="91"/>
  <c r="BM25" i="91"/>
  <c r="BL25" i="91"/>
  <c r="BE4" i="91"/>
  <c r="AI20" i="91"/>
  <c r="C20" i="91" s="1"/>
  <c r="AV43" i="91"/>
  <c r="AV44" i="91" s="1"/>
  <c r="AI16" i="91"/>
  <c r="C16" i="91" s="1"/>
  <c r="G16" i="91"/>
  <c r="BL16" i="91"/>
  <c r="BM24" i="91"/>
  <c r="BM27" i="91"/>
  <c r="BM30" i="91"/>
  <c r="BM34" i="91"/>
  <c r="BM38" i="91"/>
  <c r="G9" i="91"/>
  <c r="G13" i="91"/>
  <c r="G17" i="91"/>
  <c r="G21" i="91"/>
  <c r="B13" i="91"/>
  <c r="B10" i="91"/>
  <c r="AW11" i="91"/>
  <c r="BI11" i="91"/>
  <c r="AW15" i="91"/>
  <c r="BI15" i="91"/>
  <c r="AW19" i="91"/>
  <c r="BI19" i="91"/>
  <c r="BL28" i="91"/>
  <c r="BM28" i="91"/>
  <c r="BL33" i="91"/>
  <c r="BL37" i="91"/>
  <c r="BM33" i="91"/>
  <c r="BM37" i="91"/>
  <c r="U48" i="90"/>
  <c r="BE43" i="90"/>
  <c r="AT43" i="90"/>
  <c r="AT44" i="90" s="1"/>
  <c r="AR44" i="90" s="1"/>
  <c r="BN39" i="90"/>
  <c r="BK39" i="90"/>
  <c r="I39" i="90" s="1"/>
  <c r="BJ39" i="90"/>
  <c r="H39" i="90" s="1"/>
  <c r="BF39" i="90" s="1"/>
  <c r="BI39" i="90"/>
  <c r="AK39" i="90" s="1"/>
  <c r="AM39" i="90" s="1"/>
  <c r="BH39" i="90"/>
  <c r="BG39" i="90"/>
  <c r="BE39" i="90"/>
  <c r="BD39" i="90"/>
  <c r="BC39" i="90"/>
  <c r="BB39" i="90"/>
  <c r="BA39" i="90"/>
  <c r="AZ39" i="90"/>
  <c r="AY39" i="90"/>
  <c r="AX39" i="90"/>
  <c r="AW39" i="90"/>
  <c r="AU39" i="90"/>
  <c r="AT39" i="90"/>
  <c r="AS39" i="90"/>
  <c r="AR39" i="90"/>
  <c r="AV39" i="90" s="1"/>
  <c r="AQ39" i="90"/>
  <c r="AP39" i="90"/>
  <c r="AO39" i="90"/>
  <c r="AL39" i="90"/>
  <c r="AJ39" i="90"/>
  <c r="AI39" i="90"/>
  <c r="AH39" i="90"/>
  <c r="AN39" i="90" s="1"/>
  <c r="AG39" i="90"/>
  <c r="G39" i="90"/>
  <c r="C39" i="90"/>
  <c r="B39" i="90"/>
  <c r="BN38" i="90"/>
  <c r="BL38" i="90"/>
  <c r="BK38" i="90"/>
  <c r="I38" i="90" s="1"/>
  <c r="BJ38" i="90"/>
  <c r="H38" i="90" s="1"/>
  <c r="BF38" i="90" s="1"/>
  <c r="BI38" i="90"/>
  <c r="BM38" i="90" s="1"/>
  <c r="BH38" i="90"/>
  <c r="BG38" i="90"/>
  <c r="BE38" i="90"/>
  <c r="BD38" i="90"/>
  <c r="BC38" i="90"/>
  <c r="BB38" i="90"/>
  <c r="BA38" i="90"/>
  <c r="AZ38" i="90"/>
  <c r="AY38" i="90"/>
  <c r="AX38" i="90"/>
  <c r="AW38" i="90"/>
  <c r="AU38" i="90"/>
  <c r="AT38" i="90"/>
  <c r="AS38" i="90"/>
  <c r="AR38" i="90"/>
  <c r="AV38" i="90" s="1"/>
  <c r="AQ38" i="90"/>
  <c r="AP38" i="90"/>
  <c r="AO38" i="90"/>
  <c r="AL38" i="90"/>
  <c r="AJ38" i="90"/>
  <c r="AI38" i="90"/>
  <c r="AH38" i="90"/>
  <c r="AN38" i="90" s="1"/>
  <c r="AG38" i="90"/>
  <c r="G38" i="90"/>
  <c r="C38" i="90"/>
  <c r="B38" i="90"/>
  <c r="BN37" i="90"/>
  <c r="BL37" i="90"/>
  <c r="BK37" i="90"/>
  <c r="I37" i="90" s="1"/>
  <c r="BJ37" i="90"/>
  <c r="H37" i="90" s="1"/>
  <c r="BF37" i="90" s="1"/>
  <c r="BI37" i="90"/>
  <c r="BM37" i="90" s="1"/>
  <c r="BH37" i="90"/>
  <c r="G37" i="90" s="1"/>
  <c r="BG37" i="90"/>
  <c r="BE37" i="90"/>
  <c r="BD37" i="90"/>
  <c r="BC37" i="90"/>
  <c r="BB37" i="90"/>
  <c r="BA37" i="90"/>
  <c r="AZ37" i="90"/>
  <c r="AY37" i="90"/>
  <c r="AX37" i="90"/>
  <c r="AW37" i="90"/>
  <c r="AU37" i="90"/>
  <c r="AT37" i="90"/>
  <c r="AS37" i="90"/>
  <c r="AR37" i="90"/>
  <c r="AV37" i="90" s="1"/>
  <c r="AQ37" i="90"/>
  <c r="AP37" i="90"/>
  <c r="AO37" i="90"/>
  <c r="AL37" i="90"/>
  <c r="AJ37" i="90"/>
  <c r="AI37" i="90"/>
  <c r="AH37" i="90"/>
  <c r="AN37" i="90" s="1"/>
  <c r="AG37" i="90"/>
  <c r="C37" i="90"/>
  <c r="B37" i="90"/>
  <c r="BN36" i="90"/>
  <c r="BK36" i="90"/>
  <c r="I36" i="90" s="1"/>
  <c r="BJ36" i="90"/>
  <c r="H36" i="90" s="1"/>
  <c r="BF36" i="90" s="1"/>
  <c r="BI36" i="90"/>
  <c r="AK36" i="90" s="1"/>
  <c r="AM36" i="90" s="1"/>
  <c r="BH36" i="90"/>
  <c r="G36" i="90" s="1"/>
  <c r="BG36" i="90"/>
  <c r="BE36" i="90"/>
  <c r="BD36" i="90"/>
  <c r="BC36" i="90"/>
  <c r="BB36" i="90"/>
  <c r="BA36" i="90"/>
  <c r="AZ36" i="90"/>
  <c r="AY36" i="90"/>
  <c r="AX36" i="90"/>
  <c r="AW36" i="90"/>
  <c r="AU36" i="90"/>
  <c r="AT36" i="90"/>
  <c r="AS36" i="90"/>
  <c r="AR36" i="90"/>
  <c r="AV36" i="90" s="1"/>
  <c r="AQ36" i="90"/>
  <c r="AP36" i="90"/>
  <c r="AO36" i="90"/>
  <c r="AL36" i="90"/>
  <c r="AJ36" i="90"/>
  <c r="AI36" i="90"/>
  <c r="AH36" i="90"/>
  <c r="AN36" i="90" s="1"/>
  <c r="AG36" i="90"/>
  <c r="C36" i="90"/>
  <c r="B36" i="90"/>
  <c r="BN35" i="90"/>
  <c r="BK35" i="90"/>
  <c r="I35" i="90" s="1"/>
  <c r="BJ35" i="90"/>
  <c r="H35" i="90" s="1"/>
  <c r="BF35" i="90" s="1"/>
  <c r="BI35" i="90"/>
  <c r="AK35" i="90" s="1"/>
  <c r="AM35" i="90" s="1"/>
  <c r="BH35" i="90"/>
  <c r="BG35" i="90"/>
  <c r="BE35" i="90"/>
  <c r="BD35" i="90"/>
  <c r="BC35" i="90"/>
  <c r="BB35" i="90"/>
  <c r="BA35" i="90"/>
  <c r="AZ35" i="90"/>
  <c r="AY35" i="90"/>
  <c r="AX35" i="90"/>
  <c r="AW35" i="90"/>
  <c r="AU35" i="90"/>
  <c r="AT35" i="90"/>
  <c r="AS35" i="90"/>
  <c r="AR35" i="90"/>
  <c r="AV35" i="90" s="1"/>
  <c r="AQ35" i="90"/>
  <c r="AP35" i="90"/>
  <c r="AO35" i="90"/>
  <c r="AL35" i="90"/>
  <c r="AJ35" i="90"/>
  <c r="AI35" i="90"/>
  <c r="AH35" i="90"/>
  <c r="AN35" i="90" s="1"/>
  <c r="AG35" i="90"/>
  <c r="G35" i="90"/>
  <c r="C35" i="90"/>
  <c r="B35" i="90"/>
  <c r="BN34" i="90"/>
  <c r="BL34" i="90"/>
  <c r="BK34" i="90"/>
  <c r="I34" i="90" s="1"/>
  <c r="BJ34" i="90"/>
  <c r="H34" i="90" s="1"/>
  <c r="BF34" i="90" s="1"/>
  <c r="BI34" i="90"/>
  <c r="BM34" i="90" s="1"/>
  <c r="BH34" i="90"/>
  <c r="BG34" i="90"/>
  <c r="BE34" i="90"/>
  <c r="BD34" i="90"/>
  <c r="BC34" i="90"/>
  <c r="BB34" i="90"/>
  <c r="BA34" i="90"/>
  <c r="AZ34" i="90"/>
  <c r="AY34" i="90"/>
  <c r="AX34" i="90"/>
  <c r="AW34" i="90"/>
  <c r="AU34" i="90"/>
  <c r="AT34" i="90"/>
  <c r="AS34" i="90"/>
  <c r="AR34" i="90"/>
  <c r="AV34" i="90" s="1"/>
  <c r="AQ34" i="90"/>
  <c r="AP34" i="90"/>
  <c r="AO34" i="90"/>
  <c r="AL34" i="90"/>
  <c r="AJ34" i="90"/>
  <c r="AI34" i="90"/>
  <c r="AH34" i="90"/>
  <c r="AN34" i="90" s="1"/>
  <c r="AG34" i="90"/>
  <c r="G34" i="90"/>
  <c r="C34" i="90"/>
  <c r="B34" i="90"/>
  <c r="BN33" i="90"/>
  <c r="BL33" i="90"/>
  <c r="BK33" i="90"/>
  <c r="I33" i="90" s="1"/>
  <c r="BJ33" i="90"/>
  <c r="H33" i="90" s="1"/>
  <c r="BF33" i="90" s="1"/>
  <c r="BI33" i="90"/>
  <c r="BM33" i="90" s="1"/>
  <c r="BH33" i="90"/>
  <c r="G33" i="90" s="1"/>
  <c r="BG33" i="90"/>
  <c r="BE33" i="90"/>
  <c r="BD33" i="90"/>
  <c r="BC33" i="90"/>
  <c r="BB33" i="90"/>
  <c r="BA33" i="90"/>
  <c r="AZ33" i="90"/>
  <c r="AY33" i="90"/>
  <c r="AX33" i="90"/>
  <c r="AW33" i="90"/>
  <c r="AU33" i="90"/>
  <c r="AT33" i="90"/>
  <c r="AS33" i="90"/>
  <c r="AR33" i="90"/>
  <c r="AV33" i="90" s="1"/>
  <c r="AQ33" i="90"/>
  <c r="AP33" i="90"/>
  <c r="AO33" i="90"/>
  <c r="AL33" i="90"/>
  <c r="AJ33" i="90"/>
  <c r="AI33" i="90"/>
  <c r="AH33" i="90"/>
  <c r="AN33" i="90" s="1"/>
  <c r="AG33" i="90"/>
  <c r="C33" i="90"/>
  <c r="B33" i="90"/>
  <c r="BN32" i="90"/>
  <c r="BK32" i="90"/>
  <c r="I32" i="90" s="1"/>
  <c r="BJ32" i="90"/>
  <c r="H32" i="90" s="1"/>
  <c r="BF32" i="90" s="1"/>
  <c r="BI32" i="90"/>
  <c r="AK32" i="90" s="1"/>
  <c r="AM32" i="90" s="1"/>
  <c r="BH32" i="90"/>
  <c r="G32" i="90" s="1"/>
  <c r="BG32" i="90"/>
  <c r="BE32" i="90"/>
  <c r="BD32" i="90"/>
  <c r="BC32" i="90"/>
  <c r="BB32" i="90"/>
  <c r="BA32" i="90"/>
  <c r="AZ32" i="90"/>
  <c r="AY32" i="90"/>
  <c r="AX32" i="90"/>
  <c r="AW32" i="90"/>
  <c r="AU32" i="90"/>
  <c r="AT32" i="90"/>
  <c r="AS32" i="90"/>
  <c r="AR32" i="90"/>
  <c r="AV32" i="90" s="1"/>
  <c r="AQ32" i="90"/>
  <c r="AP32" i="90"/>
  <c r="AO32" i="90"/>
  <c r="AL32" i="90"/>
  <c r="AJ32" i="90"/>
  <c r="AI32" i="90"/>
  <c r="AH32" i="90"/>
  <c r="AN32" i="90" s="1"/>
  <c r="AG32" i="90"/>
  <c r="C32" i="90"/>
  <c r="B32" i="90"/>
  <c r="BN31" i="90"/>
  <c r="BK31" i="90"/>
  <c r="I31" i="90" s="1"/>
  <c r="BJ31" i="90"/>
  <c r="H31" i="90" s="1"/>
  <c r="BF31" i="90" s="1"/>
  <c r="BI31" i="90"/>
  <c r="AK31" i="90" s="1"/>
  <c r="AM31" i="90" s="1"/>
  <c r="BH31" i="90"/>
  <c r="BG31" i="90"/>
  <c r="BE31" i="90"/>
  <c r="BD31" i="90"/>
  <c r="BC31" i="90"/>
  <c r="BB31" i="90"/>
  <c r="BA31" i="90"/>
  <c r="AZ31" i="90"/>
  <c r="AY31" i="90"/>
  <c r="AX31" i="90"/>
  <c r="AW31" i="90"/>
  <c r="AU31" i="90"/>
  <c r="AT31" i="90"/>
  <c r="AS31" i="90"/>
  <c r="AR31" i="90"/>
  <c r="AV31" i="90" s="1"/>
  <c r="AQ31" i="90"/>
  <c r="AP31" i="90"/>
  <c r="AO31" i="90"/>
  <c r="AL31" i="90"/>
  <c r="AJ31" i="90"/>
  <c r="AI31" i="90"/>
  <c r="AH31" i="90"/>
  <c r="AN31" i="90" s="1"/>
  <c r="AG31" i="90"/>
  <c r="G31" i="90"/>
  <c r="C31" i="90"/>
  <c r="B31" i="90"/>
  <c r="BL30" i="90"/>
  <c r="BH30" i="90"/>
  <c r="BE30" i="90"/>
  <c r="BD30" i="90"/>
  <c r="BC30" i="90"/>
  <c r="BA30" i="90"/>
  <c r="AU30" i="90"/>
  <c r="AS30" i="90"/>
  <c r="AQ30" i="90"/>
  <c r="AO30" i="90"/>
  <c r="AL30" i="90"/>
  <c r="AH30" i="90"/>
  <c r="AN30" i="90" s="1"/>
  <c r="AG30" i="90"/>
  <c r="G30" i="90"/>
  <c r="BK30" i="90" s="1"/>
  <c r="I30" i="90" s="1"/>
  <c r="BU29" i="90"/>
  <c r="BT29" i="90"/>
  <c r="BS29" i="90"/>
  <c r="BR29" i="90"/>
  <c r="BQ29" i="90"/>
  <c r="BJ29" i="90"/>
  <c r="H29" i="90" s="1"/>
  <c r="BF29" i="90" s="1"/>
  <c r="BH29" i="90"/>
  <c r="BE29" i="90"/>
  <c r="BD29" i="90"/>
  <c r="BC29" i="90"/>
  <c r="AU29" i="90"/>
  <c r="AS29" i="90"/>
  <c r="AQ29" i="90"/>
  <c r="AO29" i="90"/>
  <c r="AL29" i="90"/>
  <c r="AH29" i="90"/>
  <c r="AN29" i="90" s="1"/>
  <c r="AG29" i="90"/>
  <c r="B29" i="90"/>
  <c r="BU28" i="90"/>
  <c r="BT28" i="90"/>
  <c r="BS28" i="90"/>
  <c r="BR28" i="90"/>
  <c r="BQ28" i="90"/>
  <c r="BL28" i="90"/>
  <c r="BH28" i="90"/>
  <c r="BE28" i="90"/>
  <c r="BD28" i="90"/>
  <c r="BC28" i="90"/>
  <c r="AU28" i="90"/>
  <c r="AS28" i="90"/>
  <c r="AQ28" i="90"/>
  <c r="AO28" i="90"/>
  <c r="AL28" i="90"/>
  <c r="AH28" i="90"/>
  <c r="AN28" i="90" s="1"/>
  <c r="AG28" i="90"/>
  <c r="G28" i="90"/>
  <c r="BB28" i="90" s="1"/>
  <c r="BU27" i="90"/>
  <c r="BT27" i="90"/>
  <c r="BS27" i="90"/>
  <c r="BR27" i="90"/>
  <c r="BQ27" i="90"/>
  <c r="BL27" i="90"/>
  <c r="BH27" i="90"/>
  <c r="BE27" i="90"/>
  <c r="BD27" i="90"/>
  <c r="BC27" i="90"/>
  <c r="BA27" i="90"/>
  <c r="AU27" i="90"/>
  <c r="AS27" i="90"/>
  <c r="AQ27" i="90"/>
  <c r="AI27" i="90" s="1"/>
  <c r="C27" i="90" s="1"/>
  <c r="AO27" i="90"/>
  <c r="AL27" i="90"/>
  <c r="AH27" i="90"/>
  <c r="AN27" i="90" s="1"/>
  <c r="AG27" i="90"/>
  <c r="G27" i="90"/>
  <c r="BK27" i="90" s="1"/>
  <c r="I27" i="90" s="1"/>
  <c r="BU26" i="90"/>
  <c r="BT26" i="90"/>
  <c r="BS26" i="90"/>
  <c r="BR26" i="90"/>
  <c r="BQ26" i="90"/>
  <c r="BH26" i="90"/>
  <c r="BE26" i="90"/>
  <c r="BD26" i="90"/>
  <c r="BC26" i="90"/>
  <c r="AU26" i="90"/>
  <c r="AS26" i="90"/>
  <c r="AQ26" i="90"/>
  <c r="AO26" i="90"/>
  <c r="AL26" i="90"/>
  <c r="AH26" i="90"/>
  <c r="AG26" i="90"/>
  <c r="BU25" i="90"/>
  <c r="BT25" i="90"/>
  <c r="BS25" i="90"/>
  <c r="BR25" i="90"/>
  <c r="BQ25" i="90"/>
  <c r="BL25" i="90"/>
  <c r="BH25" i="90"/>
  <c r="BE25" i="90"/>
  <c r="BD25" i="90"/>
  <c r="BC25" i="90"/>
  <c r="AU25" i="90"/>
  <c r="AS25" i="90"/>
  <c r="AQ25" i="90"/>
  <c r="AO25" i="90"/>
  <c r="AL25" i="90"/>
  <c r="AH25" i="90"/>
  <c r="AN25" i="90" s="1"/>
  <c r="AG25" i="90"/>
  <c r="G25" i="90"/>
  <c r="BU24" i="90"/>
  <c r="BT24" i="90"/>
  <c r="BS24" i="90"/>
  <c r="BR24" i="90"/>
  <c r="BQ24" i="90"/>
  <c r="BL24" i="90"/>
  <c r="BH24" i="90"/>
  <c r="BE24" i="90"/>
  <c r="BD24" i="90"/>
  <c r="BC24" i="90"/>
  <c r="BB24" i="90"/>
  <c r="AU24" i="90"/>
  <c r="AS24" i="90"/>
  <c r="AQ24" i="90"/>
  <c r="AO24" i="90"/>
  <c r="AL24" i="90"/>
  <c r="AH24" i="90"/>
  <c r="AG24" i="90"/>
  <c r="G24" i="90"/>
  <c r="BU23" i="90"/>
  <c r="BT23" i="90"/>
  <c r="BS23" i="90"/>
  <c r="BR23" i="90"/>
  <c r="BQ23" i="90"/>
  <c r="BH23" i="90"/>
  <c r="BE23" i="90"/>
  <c r="BD23" i="90"/>
  <c r="BC23" i="90"/>
  <c r="AU23" i="90"/>
  <c r="AS23" i="90"/>
  <c r="AQ23" i="90"/>
  <c r="AO23" i="90"/>
  <c r="AL23" i="90"/>
  <c r="AH23" i="90"/>
  <c r="AG23" i="90"/>
  <c r="BU22" i="90"/>
  <c r="BT22" i="90"/>
  <c r="BS22" i="90"/>
  <c r="BR22" i="90"/>
  <c r="BQ22" i="90"/>
  <c r="BL22" i="90"/>
  <c r="BH22" i="90"/>
  <c r="BE22" i="90"/>
  <c r="BD22" i="90"/>
  <c r="BC22" i="90"/>
  <c r="BB22" i="90"/>
  <c r="AU22" i="90"/>
  <c r="AS22" i="90"/>
  <c r="AQ22" i="90"/>
  <c r="AO22" i="90"/>
  <c r="AL22" i="90"/>
  <c r="AH22" i="90"/>
  <c r="AN22" i="90" s="1"/>
  <c r="AG22" i="90"/>
  <c r="G22" i="90"/>
  <c r="BU21" i="90"/>
  <c r="BT21" i="90"/>
  <c r="BS21" i="90"/>
  <c r="BR21" i="90"/>
  <c r="BQ21" i="90"/>
  <c r="BH21" i="90"/>
  <c r="BL21" i="90" s="1"/>
  <c r="BE21" i="90"/>
  <c r="BD21" i="90"/>
  <c r="BC21" i="90"/>
  <c r="AU21" i="90"/>
  <c r="AS21" i="90"/>
  <c r="AQ21" i="90"/>
  <c r="AO21" i="90"/>
  <c r="AL21" i="90"/>
  <c r="AH21" i="90"/>
  <c r="AN21" i="90" s="1"/>
  <c r="AG21" i="90"/>
  <c r="BL20" i="90"/>
  <c r="BJ20" i="90"/>
  <c r="H20" i="90" s="1"/>
  <c r="BF20" i="90" s="1"/>
  <c r="BH20" i="90"/>
  <c r="BE20" i="90"/>
  <c r="BD20" i="90"/>
  <c r="BC20" i="90"/>
  <c r="AU20" i="90"/>
  <c r="AS20" i="90"/>
  <c r="AQ20" i="90"/>
  <c r="AO20" i="90"/>
  <c r="AL20" i="90"/>
  <c r="AH20" i="90"/>
  <c r="AN20" i="90" s="1"/>
  <c r="AG20" i="90"/>
  <c r="B20" i="90"/>
  <c r="BH19" i="90"/>
  <c r="BE19" i="90"/>
  <c r="BD19" i="90"/>
  <c r="BC19" i="90"/>
  <c r="AU19" i="90"/>
  <c r="AS19" i="90"/>
  <c r="AQ19" i="90"/>
  <c r="AI19" i="90" s="1"/>
  <c r="C19" i="90" s="1"/>
  <c r="AO19" i="90"/>
  <c r="AL19" i="90"/>
  <c r="AH19" i="90"/>
  <c r="AN19" i="90" s="1"/>
  <c r="AG19" i="90"/>
  <c r="BK18" i="90"/>
  <c r="I18" i="90" s="1"/>
  <c r="BI18" i="90"/>
  <c r="AK18" i="90" s="1"/>
  <c r="AR18" i="90" s="1"/>
  <c r="AV18" i="90" s="1"/>
  <c r="BH18" i="90"/>
  <c r="BE18" i="90"/>
  <c r="BD18" i="90"/>
  <c r="BC18" i="90"/>
  <c r="AY18" i="90"/>
  <c r="AW18" i="90"/>
  <c r="AU18" i="90"/>
  <c r="AS18" i="90"/>
  <c r="AQ18" i="90"/>
  <c r="AO18" i="90"/>
  <c r="AL18" i="90"/>
  <c r="AH18" i="90"/>
  <c r="AG18" i="90"/>
  <c r="G18" i="90"/>
  <c r="BB18" i="90" s="1"/>
  <c r="BL17" i="90"/>
  <c r="BH17" i="90"/>
  <c r="BE17" i="90"/>
  <c r="BD17" i="90"/>
  <c r="BC17" i="90"/>
  <c r="AW17" i="90"/>
  <c r="AU17" i="90"/>
  <c r="AS17" i="90"/>
  <c r="AQ17" i="90"/>
  <c r="AO17" i="90"/>
  <c r="AL17" i="90"/>
  <c r="AH17" i="90"/>
  <c r="AN17" i="90" s="1"/>
  <c r="AG17" i="90"/>
  <c r="G17" i="90"/>
  <c r="BI17" i="90" s="1"/>
  <c r="BL16" i="90"/>
  <c r="BH16" i="90"/>
  <c r="BE16" i="90"/>
  <c r="BD16" i="90"/>
  <c r="BC16" i="90"/>
  <c r="AU16" i="90"/>
  <c r="AS16" i="90"/>
  <c r="AQ16" i="90"/>
  <c r="AO16" i="90"/>
  <c r="AL16" i="90"/>
  <c r="AH16" i="90"/>
  <c r="AN16" i="90" s="1"/>
  <c r="AG16" i="90"/>
  <c r="BJ15" i="90"/>
  <c r="H15" i="90" s="1"/>
  <c r="BF15" i="90" s="1"/>
  <c r="BH15" i="90"/>
  <c r="BE15" i="90"/>
  <c r="BD15" i="90"/>
  <c r="BC15" i="90"/>
  <c r="AU15" i="90"/>
  <c r="AS15" i="90"/>
  <c r="AQ15" i="90"/>
  <c r="AO15" i="90"/>
  <c r="AL15" i="90"/>
  <c r="AH15" i="90"/>
  <c r="AN15" i="90" s="1"/>
  <c r="AG15" i="90"/>
  <c r="B15" i="90"/>
  <c r="BK14" i="90"/>
  <c r="I14" i="90" s="1"/>
  <c r="BJ14" i="90"/>
  <c r="H14" i="90" s="1"/>
  <c r="BF14" i="90" s="1"/>
  <c r="BI14" i="90"/>
  <c r="AK14" i="90" s="1"/>
  <c r="AR14" i="90" s="1"/>
  <c r="AV14" i="90" s="1"/>
  <c r="BH14" i="90"/>
  <c r="BE14" i="90"/>
  <c r="BD14" i="90"/>
  <c r="BC14" i="90"/>
  <c r="AY14" i="90"/>
  <c r="AX14" i="90"/>
  <c r="AW14" i="90"/>
  <c r="AU14" i="90"/>
  <c r="AS14" i="90"/>
  <c r="AQ14" i="90"/>
  <c r="AO14" i="90"/>
  <c r="AL14" i="90"/>
  <c r="AH14" i="90"/>
  <c r="AN14" i="90" s="1"/>
  <c r="AG14" i="90"/>
  <c r="G14" i="90"/>
  <c r="BB14" i="90" s="1"/>
  <c r="B14" i="90"/>
  <c r="BH13" i="90"/>
  <c r="BE13" i="90"/>
  <c r="BD13" i="90"/>
  <c r="BC13" i="90"/>
  <c r="AU13" i="90"/>
  <c r="AS13" i="90"/>
  <c r="AQ13" i="90"/>
  <c r="AL13" i="90"/>
  <c r="AH13" i="90"/>
  <c r="AN13" i="90" s="1"/>
  <c r="AG13" i="90"/>
  <c r="BL12" i="90"/>
  <c r="BH12" i="90"/>
  <c r="BE12" i="90"/>
  <c r="BD12" i="90"/>
  <c r="BC12" i="90"/>
  <c r="BC4" i="90" s="1"/>
  <c r="AU12" i="90"/>
  <c r="AS12" i="90"/>
  <c r="AQ12" i="90"/>
  <c r="AL12" i="90"/>
  <c r="AH12" i="90"/>
  <c r="AN12" i="90" s="1"/>
  <c r="AG12" i="90"/>
  <c r="BH11" i="90"/>
  <c r="BE11" i="90"/>
  <c r="BD11" i="90"/>
  <c r="BC11" i="90"/>
  <c r="AU11" i="90"/>
  <c r="AS11" i="90"/>
  <c r="AQ11" i="90"/>
  <c r="AI11" i="90" s="1"/>
  <c r="C11" i="90" s="1"/>
  <c r="AL11" i="90"/>
  <c r="AH11" i="90"/>
  <c r="AN11" i="90" s="1"/>
  <c r="AG11" i="90"/>
  <c r="G11" i="90"/>
  <c r="BH10" i="90"/>
  <c r="BE10" i="90"/>
  <c r="BD10" i="90"/>
  <c r="BC10" i="90"/>
  <c r="BB10" i="90"/>
  <c r="AY10" i="90"/>
  <c r="AX10" i="90"/>
  <c r="AU10" i="90"/>
  <c r="AI10" i="90" s="1"/>
  <c r="C10" i="90" s="1"/>
  <c r="AS10" i="90"/>
  <c r="AQ10" i="90"/>
  <c r="AL10" i="90"/>
  <c r="AH10" i="90"/>
  <c r="AN10" i="90" s="1"/>
  <c r="AG10" i="90"/>
  <c r="G10" i="90"/>
  <c r="BH9" i="90"/>
  <c r="BL9" i="90" s="1"/>
  <c r="BE9" i="90"/>
  <c r="BD9" i="90"/>
  <c r="BC9" i="90"/>
  <c r="BB9" i="90"/>
  <c r="BA9" i="90"/>
  <c r="AU9" i="90"/>
  <c r="AS9" i="90"/>
  <c r="AQ9" i="90"/>
  <c r="AL9" i="90"/>
  <c r="AJ9" i="90"/>
  <c r="AJ10" i="90" s="1"/>
  <c r="AJ11" i="90" s="1"/>
  <c r="AJ12" i="90" s="1"/>
  <c r="AJ13" i="90" s="1"/>
  <c r="AJ14" i="90" s="1"/>
  <c r="AH9" i="90"/>
  <c r="BI9" i="90" s="1"/>
  <c r="AG9" i="90"/>
  <c r="G9" i="90"/>
  <c r="AW9" i="90" s="1"/>
  <c r="BL8" i="90"/>
  <c r="BJ8" i="90"/>
  <c r="H8" i="90" s="1"/>
  <c r="BF8" i="90" s="1"/>
  <c r="BH8" i="90"/>
  <c r="BE8" i="90"/>
  <c r="BD8" i="90"/>
  <c r="BD4" i="90" s="1"/>
  <c r="BC8" i="90"/>
  <c r="AU8" i="90"/>
  <c r="AS8" i="90"/>
  <c r="AS41" i="90" s="1"/>
  <c r="AQ8" i="90"/>
  <c r="AL8" i="90"/>
  <c r="AJ8" i="90"/>
  <c r="AH8" i="90"/>
  <c r="AN8" i="90" s="1"/>
  <c r="AG8" i="90"/>
  <c r="B8" i="90"/>
  <c r="AV6" i="90"/>
  <c r="AI21" i="96" l="1"/>
  <c r="C21" i="96" s="1"/>
  <c r="AR25" i="92"/>
  <c r="AV25" i="92" s="1"/>
  <c r="AT25" i="92"/>
  <c r="AR45" i="96"/>
  <c r="AR46" i="96" s="1"/>
  <c r="B41" i="96" s="1"/>
  <c r="AZ10" i="92"/>
  <c r="B17" i="96"/>
  <c r="BM10" i="92"/>
  <c r="I12" i="92"/>
  <c r="AI8" i="96"/>
  <c r="C8" i="96" s="1"/>
  <c r="AI14" i="96"/>
  <c r="AP13" i="96"/>
  <c r="BG13" i="96" s="1"/>
  <c r="AI32" i="96"/>
  <c r="C32" i="96" s="1"/>
  <c r="AW4" i="96"/>
  <c r="F41" i="96" s="1"/>
  <c r="U47" i="96" s="1"/>
  <c r="U49" i="96" s="1"/>
  <c r="AZ8" i="92"/>
  <c r="AP13" i="95"/>
  <c r="BG13" i="95" s="1"/>
  <c r="B16" i="95"/>
  <c r="B17" i="95"/>
  <c r="AP17" i="95" s="1"/>
  <c r="BG17" i="95" s="1"/>
  <c r="AJ19" i="95"/>
  <c r="BN18" i="92"/>
  <c r="AM41" i="95"/>
  <c r="AX4" i="95" s="1"/>
  <c r="AM6" i="95"/>
  <c r="AT41" i="95"/>
  <c r="AV9" i="95"/>
  <c r="AR41" i="95"/>
  <c r="AP8" i="94"/>
  <c r="BG8" i="94" s="1"/>
  <c r="AR14" i="94"/>
  <c r="AV14" i="94" s="1"/>
  <c r="AM14" i="94"/>
  <c r="AP14" i="94" s="1"/>
  <c r="BG14" i="94" s="1"/>
  <c r="AT14" i="94"/>
  <c r="AR21" i="94"/>
  <c r="AV21" i="94" s="1"/>
  <c r="AM21" i="94"/>
  <c r="AT21" i="94"/>
  <c r="AX21" i="94"/>
  <c r="AV8" i="94"/>
  <c r="AR24" i="94"/>
  <c r="AV24" i="94" s="1"/>
  <c r="AM24" i="94"/>
  <c r="AT24" i="94"/>
  <c r="AX24" i="94"/>
  <c r="AK10" i="92"/>
  <c r="AR10" i="92" s="1"/>
  <c r="AV10" i="92" s="1"/>
  <c r="AM18" i="94"/>
  <c r="AT18" i="94"/>
  <c r="AR18" i="94"/>
  <c r="AV18" i="94" s="1"/>
  <c r="AX18" i="94"/>
  <c r="AJ21" i="94"/>
  <c r="AJ22" i="94" s="1"/>
  <c r="AJ23" i="94" s="1"/>
  <c r="AJ24" i="94" s="1"/>
  <c r="AJ25" i="94" s="1"/>
  <c r="AN41" i="91"/>
  <c r="AZ4" i="94"/>
  <c r="AP13" i="94"/>
  <c r="BG13" i="94" s="1"/>
  <c r="AM13" i="94"/>
  <c r="AT13" i="94"/>
  <c r="AR13" i="94"/>
  <c r="AV13" i="94" s="1"/>
  <c r="AY4" i="93"/>
  <c r="H41" i="93" s="1"/>
  <c r="BF10" i="94"/>
  <c r="AP10" i="94"/>
  <c r="BG10" i="94" s="1"/>
  <c r="B17" i="94"/>
  <c r="AP17" i="94" s="1"/>
  <c r="BG17" i="94" s="1"/>
  <c r="AP9" i="93"/>
  <c r="BG9" i="93" s="1"/>
  <c r="AT10" i="94"/>
  <c r="AM10" i="94"/>
  <c r="AR10" i="94"/>
  <c r="AV10" i="94" s="1"/>
  <c r="AT28" i="93"/>
  <c r="AR28" i="93"/>
  <c r="AV28" i="93" s="1"/>
  <c r="AM28" i="93"/>
  <c r="AX28" i="93"/>
  <c r="BJ27" i="93"/>
  <c r="H27" i="93" s="1"/>
  <c r="BF27" i="93" s="1"/>
  <c r="AK27" i="93"/>
  <c r="BM27" i="93"/>
  <c r="BN27" i="93"/>
  <c r="AM15" i="93"/>
  <c r="AP15" i="93" s="1"/>
  <c r="BG15" i="93" s="1"/>
  <c r="AT15" i="93"/>
  <c r="AR15" i="93"/>
  <c r="AV15" i="93" s="1"/>
  <c r="BB4" i="93"/>
  <c r="I13" i="93"/>
  <c r="AO13" i="93"/>
  <c r="BA4" i="93"/>
  <c r="AK29" i="93"/>
  <c r="BM29" i="93"/>
  <c r="BN29" i="93"/>
  <c r="AR32" i="93"/>
  <c r="AV32" i="93" s="1"/>
  <c r="AM32" i="93"/>
  <c r="AT32" i="93"/>
  <c r="AX32" i="93"/>
  <c r="AK14" i="93"/>
  <c r="BN14" i="93"/>
  <c r="BM14" i="93"/>
  <c r="AK38" i="90"/>
  <c r="AM38" i="90" s="1"/>
  <c r="AN6" i="91"/>
  <c r="BJ11" i="93"/>
  <c r="H11" i="93" s="1"/>
  <c r="BF11" i="93" s="1"/>
  <c r="AK11" i="93"/>
  <c r="BN11" i="93"/>
  <c r="BM11" i="93"/>
  <c r="BJ30" i="93"/>
  <c r="H30" i="93" s="1"/>
  <c r="BF30" i="93" s="1"/>
  <c r="AK30" i="93"/>
  <c r="BN30" i="93"/>
  <c r="BM30" i="93"/>
  <c r="AT22" i="93"/>
  <c r="AR22" i="93"/>
  <c r="AV22" i="93" s="1"/>
  <c r="AM22" i="93"/>
  <c r="AX22" i="93"/>
  <c r="AO11" i="93"/>
  <c r="I11" i="93"/>
  <c r="AK13" i="93"/>
  <c r="BJ13" i="93"/>
  <c r="H13" i="93" s="1"/>
  <c r="BF13" i="93" s="1"/>
  <c r="BN13" i="93"/>
  <c r="BM13" i="93"/>
  <c r="AK17" i="93"/>
  <c r="BJ17" i="93"/>
  <c r="H17" i="93" s="1"/>
  <c r="BF17" i="93" s="1"/>
  <c r="BM17" i="93"/>
  <c r="BN17" i="93"/>
  <c r="AJ16" i="93"/>
  <c r="AJ17" i="93" s="1"/>
  <c r="AJ18" i="93" s="1"/>
  <c r="AJ19" i="93" s="1"/>
  <c r="AO10" i="93"/>
  <c r="I10" i="93"/>
  <c r="AM19" i="93"/>
  <c r="AP19" i="93" s="1"/>
  <c r="BG19" i="93" s="1"/>
  <c r="AT19" i="93"/>
  <c r="AR19" i="93"/>
  <c r="AV19" i="93" s="1"/>
  <c r="BJ31" i="93"/>
  <c r="H31" i="93" s="1"/>
  <c r="BF31" i="93" s="1"/>
  <c r="AK31" i="93"/>
  <c r="BM31" i="93"/>
  <c r="BN31" i="93"/>
  <c r="AT25" i="93"/>
  <c r="AR25" i="93"/>
  <c r="AV25" i="93" s="1"/>
  <c r="AM25" i="93"/>
  <c r="AX25" i="93"/>
  <c r="BJ24" i="93"/>
  <c r="H24" i="93" s="1"/>
  <c r="BF24" i="93" s="1"/>
  <c r="AK24" i="93"/>
  <c r="BN24" i="93"/>
  <c r="BM24" i="93"/>
  <c r="AP8" i="93"/>
  <c r="BG8" i="93" s="1"/>
  <c r="AM9" i="93"/>
  <c r="AR9" i="93"/>
  <c r="AV9" i="93" s="1"/>
  <c r="AT9" i="93"/>
  <c r="BJ10" i="93"/>
  <c r="H10" i="93" s="1"/>
  <c r="BF10" i="93" s="1"/>
  <c r="AK10" i="93"/>
  <c r="BN10" i="93"/>
  <c r="BM10" i="93"/>
  <c r="AZ13" i="93"/>
  <c r="BJ26" i="93"/>
  <c r="H26" i="93" s="1"/>
  <c r="BF26" i="93" s="1"/>
  <c r="AK26" i="93"/>
  <c r="BM26" i="93"/>
  <c r="BN26" i="93"/>
  <c r="AV8" i="93"/>
  <c r="B11" i="93"/>
  <c r="AZ30" i="93"/>
  <c r="AK21" i="93"/>
  <c r="BJ21" i="93"/>
  <c r="H21" i="93" s="1"/>
  <c r="BF21" i="93" s="1"/>
  <c r="BN21" i="93"/>
  <c r="BM21" i="93"/>
  <c r="AZ10" i="93"/>
  <c r="BJ23" i="93"/>
  <c r="H23" i="93" s="1"/>
  <c r="BF23" i="93" s="1"/>
  <c r="AK23" i="93"/>
  <c r="BN23" i="93"/>
  <c r="BM23" i="93"/>
  <c r="BJ18" i="93"/>
  <c r="H18" i="93" s="1"/>
  <c r="BF18" i="93" s="1"/>
  <c r="AK18" i="93"/>
  <c r="BN18" i="93"/>
  <c r="BM18" i="93"/>
  <c r="BK30" i="92"/>
  <c r="I30" i="92" s="1"/>
  <c r="AY30" i="92"/>
  <c r="BI30" i="92"/>
  <c r="AZ30" i="92" s="1"/>
  <c r="AW30" i="92"/>
  <c r="BB30" i="92"/>
  <c r="BA30" i="92"/>
  <c r="AK20" i="92"/>
  <c r="BN20" i="92"/>
  <c r="BK27" i="92"/>
  <c r="I27" i="92" s="1"/>
  <c r="AY27" i="92"/>
  <c r="AX27" i="92"/>
  <c r="BI27" i="92"/>
  <c r="AZ27" i="92" s="1"/>
  <c r="AW27" i="92"/>
  <c r="BB27" i="92"/>
  <c r="BA27" i="92"/>
  <c r="I10" i="92"/>
  <c r="AO10" i="92"/>
  <c r="BN10" i="92"/>
  <c r="BM20" i="92"/>
  <c r="AJ15" i="92"/>
  <c r="BM19" i="92"/>
  <c r="BJ19" i="92"/>
  <c r="H19" i="92" s="1"/>
  <c r="BF19" i="92" s="1"/>
  <c r="AK19" i="92"/>
  <c r="BN19" i="92"/>
  <c r="AX13" i="92"/>
  <c r="BB13" i="92"/>
  <c r="AW13" i="92"/>
  <c r="BK13" i="92"/>
  <c r="BI13" i="92"/>
  <c r="AZ13" i="92" s="1"/>
  <c r="AY13" i="92"/>
  <c r="BA13" i="92"/>
  <c r="BN22" i="92"/>
  <c r="B11" i="92"/>
  <c r="BM11" i="92"/>
  <c r="BJ11" i="92"/>
  <c r="H11" i="92" s="1"/>
  <c r="BF11" i="92" s="1"/>
  <c r="AK11" i="92"/>
  <c r="BN11" i="92"/>
  <c r="BB29" i="92"/>
  <c r="BA29" i="92"/>
  <c r="BK29" i="92"/>
  <c r="I29" i="92" s="1"/>
  <c r="AY29" i="92"/>
  <c r="BI29" i="92"/>
  <c r="AZ29" i="92" s="1"/>
  <c r="AW29" i="92"/>
  <c r="AR18" i="92"/>
  <c r="AV18" i="92" s="1"/>
  <c r="AM18" i="92"/>
  <c r="AT18" i="92"/>
  <c r="BK24" i="92"/>
  <c r="I24" i="92" s="1"/>
  <c r="AY24" i="92"/>
  <c r="BI24" i="92"/>
  <c r="AZ24" i="92" s="1"/>
  <c r="AW24" i="92"/>
  <c r="BB24" i="92"/>
  <c r="BA24" i="92"/>
  <c r="BM14" i="92"/>
  <c r="AN41" i="92"/>
  <c r="Q5" i="92"/>
  <c r="AZ14" i="92"/>
  <c r="BN28" i="92"/>
  <c r="BB26" i="92"/>
  <c r="BA26" i="92"/>
  <c r="BK26" i="92"/>
  <c r="I26" i="92" s="1"/>
  <c r="AY26" i="92"/>
  <c r="BI26" i="92"/>
  <c r="AZ26" i="92" s="1"/>
  <c r="AW26" i="92"/>
  <c r="BJ12" i="92"/>
  <c r="H12" i="92" s="1"/>
  <c r="BF12" i="92" s="1"/>
  <c r="AK12" i="92"/>
  <c r="BN12" i="92"/>
  <c r="AZ12" i="92"/>
  <c r="AX9" i="92"/>
  <c r="BB9" i="92"/>
  <c r="AY9" i="92"/>
  <c r="AW9" i="92"/>
  <c r="BK9" i="92"/>
  <c r="BI9" i="92"/>
  <c r="AZ9" i="92" s="1"/>
  <c r="BA9" i="92"/>
  <c r="BA4" i="92" s="1"/>
  <c r="AR14" i="92"/>
  <c r="AV14" i="92" s="1"/>
  <c r="AM14" i="92"/>
  <c r="AP14" i="92" s="1"/>
  <c r="AT14" i="92"/>
  <c r="BB21" i="92"/>
  <c r="BK21" i="92"/>
  <c r="I21" i="92" s="1"/>
  <c r="BI21" i="92"/>
  <c r="AZ21" i="92" s="1"/>
  <c r="BA21" i="92"/>
  <c r="AY21" i="92"/>
  <c r="AW21" i="92"/>
  <c r="AK8" i="92"/>
  <c r="BN8" i="92"/>
  <c r="BB17" i="92"/>
  <c r="BA17" i="92"/>
  <c r="AY17" i="92"/>
  <c r="AW17" i="92"/>
  <c r="BK17" i="92"/>
  <c r="I17" i="92" s="1"/>
  <c r="BI17" i="92"/>
  <c r="AZ17" i="92" s="1"/>
  <c r="AZ20" i="92"/>
  <c r="BB23" i="92"/>
  <c r="BK23" i="92"/>
  <c r="I23" i="92" s="1"/>
  <c r="AY23" i="92"/>
  <c r="BI23" i="92"/>
  <c r="BA23" i="92"/>
  <c r="AW23" i="92"/>
  <c r="BN31" i="92"/>
  <c r="AP10" i="92"/>
  <c r="BN14" i="92"/>
  <c r="AT31" i="92"/>
  <c r="AR31" i="92"/>
  <c r="AV31" i="92" s="1"/>
  <c r="AM31" i="92"/>
  <c r="AX31" i="92"/>
  <c r="BM15" i="92"/>
  <c r="AK15" i="92"/>
  <c r="BN15" i="92"/>
  <c r="BA16" i="92"/>
  <c r="BI16" i="92"/>
  <c r="AZ16" i="92" s="1"/>
  <c r="AW16" i="92"/>
  <c r="BB16" i="92"/>
  <c r="AY16" i="92"/>
  <c r="BK16" i="92"/>
  <c r="I16" i="92" s="1"/>
  <c r="BM9" i="90"/>
  <c r="AZ9" i="90"/>
  <c r="AO9" i="90"/>
  <c r="AK9" i="90"/>
  <c r="AT9" i="90" s="1"/>
  <c r="BB8" i="91"/>
  <c r="BA8" i="91"/>
  <c r="BK8" i="91"/>
  <c r="I8" i="91" s="1"/>
  <c r="AY8" i="91"/>
  <c r="AX8" i="91"/>
  <c r="BI8" i="91"/>
  <c r="AZ8" i="91" s="1"/>
  <c r="AW8" i="91"/>
  <c r="BK21" i="91"/>
  <c r="I21" i="91" s="1"/>
  <c r="AY21" i="91"/>
  <c r="BI21" i="91"/>
  <c r="AZ21" i="91" s="1"/>
  <c r="AW21" i="91"/>
  <c r="BB21" i="91"/>
  <c r="BA21" i="91"/>
  <c r="AK34" i="90"/>
  <c r="AM34" i="90" s="1"/>
  <c r="BN19" i="91"/>
  <c r="BM19" i="91"/>
  <c r="AK19" i="91"/>
  <c r="AZ19" i="91"/>
  <c r="BJ19" i="91"/>
  <c r="H19" i="91" s="1"/>
  <c r="BF19" i="91" s="1"/>
  <c r="BK17" i="91"/>
  <c r="I17" i="91" s="1"/>
  <c r="AY17" i="91"/>
  <c r="BI17" i="91"/>
  <c r="AZ17" i="91" s="1"/>
  <c r="AW17" i="91"/>
  <c r="BB17" i="91"/>
  <c r="BA17" i="91"/>
  <c r="AJ10" i="91"/>
  <c r="AJ11" i="91" s="1"/>
  <c r="BM31" i="90"/>
  <c r="AK33" i="90"/>
  <c r="AM33" i="90" s="1"/>
  <c r="BK13" i="91"/>
  <c r="I13" i="91" s="1"/>
  <c r="AY13" i="91"/>
  <c r="BI13" i="91"/>
  <c r="AZ13" i="91" s="1"/>
  <c r="AW13" i="91"/>
  <c r="BB13" i="91"/>
  <c r="BA13" i="91"/>
  <c r="AN9" i="90"/>
  <c r="AZ15" i="91"/>
  <c r="BN15" i="91"/>
  <c r="BM15" i="91"/>
  <c r="AK15" i="91"/>
  <c r="BK9" i="91"/>
  <c r="I9" i="91" s="1"/>
  <c r="AY9" i="91"/>
  <c r="AX9" i="91"/>
  <c r="BI9" i="91"/>
  <c r="AZ9" i="91" s="1"/>
  <c r="AW9" i="91"/>
  <c r="BB9" i="91"/>
  <c r="BA9" i="91"/>
  <c r="BB12" i="91"/>
  <c r="BK12" i="91"/>
  <c r="I12" i="91" s="1"/>
  <c r="AY12" i="91"/>
  <c r="BI12" i="91"/>
  <c r="BA12" i="91"/>
  <c r="AX12" i="91"/>
  <c r="AW12" i="91"/>
  <c r="BB16" i="91"/>
  <c r="BI16" i="91"/>
  <c r="AZ16" i="91" s="1"/>
  <c r="BK16" i="91"/>
  <c r="I16" i="91" s="1"/>
  <c r="AY16" i="91"/>
  <c r="AW16" i="91"/>
  <c r="BA16" i="91"/>
  <c r="BJ10" i="91"/>
  <c r="H10" i="91" s="1"/>
  <c r="BF10" i="91" s="1"/>
  <c r="AK10" i="91"/>
  <c r="BN10" i="91"/>
  <c r="BM10" i="91"/>
  <c r="AO10" i="91"/>
  <c r="B14" i="91"/>
  <c r="BJ14" i="91"/>
  <c r="H14" i="91" s="1"/>
  <c r="BF14" i="91" s="1"/>
  <c r="AK14" i="91"/>
  <c r="BN14" i="91"/>
  <c r="BM14" i="91"/>
  <c r="BE4" i="90"/>
  <c r="BN11" i="91"/>
  <c r="AK11" i="91"/>
  <c r="BM11" i="91"/>
  <c r="AZ11" i="91"/>
  <c r="AZ14" i="91"/>
  <c r="BB22" i="91"/>
  <c r="BA22" i="91"/>
  <c r="BK22" i="91"/>
  <c r="I22" i="91" s="1"/>
  <c r="AY22" i="91"/>
  <c r="BI22" i="91"/>
  <c r="AZ22" i="91" s="1"/>
  <c r="AW22" i="91"/>
  <c r="AK18" i="91"/>
  <c r="BN18" i="91"/>
  <c r="BM18" i="91"/>
  <c r="E41" i="91"/>
  <c r="AV41" i="91"/>
  <c r="AV45" i="91" s="1"/>
  <c r="Q5" i="91"/>
  <c r="AK37" i="90"/>
  <c r="AM37" i="90" s="1"/>
  <c r="BM14" i="90"/>
  <c r="AZ10" i="91"/>
  <c r="AZ18" i="91"/>
  <c r="BB20" i="91"/>
  <c r="BA20" i="91"/>
  <c r="BI20" i="91"/>
  <c r="AZ20" i="91" s="1"/>
  <c r="BK20" i="91"/>
  <c r="I20" i="91" s="1"/>
  <c r="AY20" i="91"/>
  <c r="AW20" i="91"/>
  <c r="BN18" i="90"/>
  <c r="BJ18" i="90"/>
  <c r="H18" i="90" s="1"/>
  <c r="BF18" i="90" s="1"/>
  <c r="AN24" i="90"/>
  <c r="AJ15" i="90"/>
  <c r="BM17" i="90"/>
  <c r="AK17" i="90"/>
  <c r="AX17" i="90" s="1"/>
  <c r="BJ17" i="90"/>
  <c r="H17" i="90" s="1"/>
  <c r="BF17" i="90" s="1"/>
  <c r="AI24" i="90"/>
  <c r="C24" i="90" s="1"/>
  <c r="AQ41" i="90"/>
  <c r="G8" i="90"/>
  <c r="BA10" i="90"/>
  <c r="AW10" i="90"/>
  <c r="BK10" i="90"/>
  <c r="I10" i="90" s="1"/>
  <c r="AI16" i="90"/>
  <c r="C16" i="90" s="1"/>
  <c r="BM39" i="90"/>
  <c r="BL15" i="90"/>
  <c r="BL11" i="90"/>
  <c r="G15" i="90"/>
  <c r="AI17" i="90"/>
  <c r="C17" i="90" s="1"/>
  <c r="AM18" i="90"/>
  <c r="AI28" i="90"/>
  <c r="C28" i="90" s="1"/>
  <c r="BA11" i="90"/>
  <c r="AX11" i="90"/>
  <c r="BI11" i="90"/>
  <c r="BM11" i="90" s="1"/>
  <c r="AW11" i="90"/>
  <c r="BK11" i="90"/>
  <c r="I11" i="90" s="1"/>
  <c r="G12" i="90"/>
  <c r="AN23" i="90"/>
  <c r="AI25" i="90"/>
  <c r="C25" i="90" s="1"/>
  <c r="AV43" i="90"/>
  <c r="AV44" i="90" s="1"/>
  <c r="AI12" i="90"/>
  <c r="C12" i="90" s="1"/>
  <c r="BM18" i="90"/>
  <c r="BK17" i="90"/>
  <c r="I17" i="90" s="1"/>
  <c r="AY17" i="90"/>
  <c r="AI22" i="90"/>
  <c r="C22" i="90" s="1"/>
  <c r="BK24" i="90"/>
  <c r="I24" i="90" s="1"/>
  <c r="AY24" i="90"/>
  <c r="BI24" i="90"/>
  <c r="AZ24" i="90" s="1"/>
  <c r="AW24" i="90"/>
  <c r="BA24" i="90"/>
  <c r="BL19" i="90"/>
  <c r="AY11" i="90"/>
  <c r="AM14" i="90"/>
  <c r="AP14" i="90" s="1"/>
  <c r="G23" i="90"/>
  <c r="BL23" i="90"/>
  <c r="G29" i="90"/>
  <c r="BL29" i="90"/>
  <c r="BM35" i="90"/>
  <c r="AZ17" i="90"/>
  <c r="G19" i="90"/>
  <c r="BA25" i="90"/>
  <c r="BK25" i="90"/>
  <c r="I25" i="90" s="1"/>
  <c r="AY25" i="90"/>
  <c r="BI25" i="90"/>
  <c r="AZ25" i="90" s="1"/>
  <c r="AW25" i="90"/>
  <c r="BB25" i="90"/>
  <c r="AI26" i="90"/>
  <c r="C26" i="90" s="1"/>
  <c r="AI23" i="90"/>
  <c r="C23" i="90" s="1"/>
  <c r="AU41" i="90"/>
  <c r="BL13" i="90"/>
  <c r="BA17" i="90"/>
  <c r="AI13" i="90"/>
  <c r="C13" i="90" s="1"/>
  <c r="AT18" i="90"/>
  <c r="AI21" i="90"/>
  <c r="C21" i="90" s="1"/>
  <c r="BJ9" i="90"/>
  <c r="H9" i="90" s="1"/>
  <c r="BF9" i="90" s="1"/>
  <c r="G13" i="90"/>
  <c r="AX18" i="90"/>
  <c r="BK22" i="90"/>
  <c r="I22" i="90" s="1"/>
  <c r="AY22" i="90"/>
  <c r="BI22" i="90"/>
  <c r="AZ22" i="90" s="1"/>
  <c r="AW22" i="90"/>
  <c r="BN14" i="90"/>
  <c r="BB17" i="90"/>
  <c r="AN18" i="90"/>
  <c r="AN26" i="90"/>
  <c r="G26" i="90"/>
  <c r="BL26" i="90"/>
  <c r="B9" i="90"/>
  <c r="BK9" i="90"/>
  <c r="AY9" i="90"/>
  <c r="BB11" i="90"/>
  <c r="AI9" i="90"/>
  <c r="C9" i="90" s="1"/>
  <c r="AX9" i="90"/>
  <c r="BI10" i="90"/>
  <c r="BM10" i="90" s="1"/>
  <c r="AT14" i="90"/>
  <c r="AI18" i="90"/>
  <c r="C18" i="90" s="1"/>
  <c r="G21" i="90"/>
  <c r="BA22" i="90"/>
  <c r="AI30" i="90"/>
  <c r="C30" i="90" s="1"/>
  <c r="AZ18" i="90"/>
  <c r="BL18" i="90"/>
  <c r="BL31" i="90"/>
  <c r="BL35" i="90"/>
  <c r="BL39" i="90"/>
  <c r="BB27" i="90"/>
  <c r="BB30" i="90"/>
  <c r="BL10" i="90"/>
  <c r="AZ14" i="90"/>
  <c r="BL14" i="90"/>
  <c r="BA14" i="90"/>
  <c r="BA18" i="90"/>
  <c r="AW28" i="90"/>
  <c r="BI28" i="90"/>
  <c r="BL32" i="90"/>
  <c r="BL36" i="90"/>
  <c r="AY28" i="90"/>
  <c r="BK28" i="90"/>
  <c r="I28" i="90" s="1"/>
  <c r="BM32" i="90"/>
  <c r="BM36" i="90"/>
  <c r="AW27" i="90"/>
  <c r="BI27" i="90"/>
  <c r="BA28" i="90"/>
  <c r="AW30" i="90"/>
  <c r="BI30" i="90"/>
  <c r="G16" i="90"/>
  <c r="G20" i="90"/>
  <c r="AY27" i="90"/>
  <c r="AY30" i="90"/>
  <c r="U48" i="89"/>
  <c r="BE43" i="89"/>
  <c r="AT43" i="89"/>
  <c r="AT44" i="89" s="1"/>
  <c r="AR44" i="89" s="1"/>
  <c r="BN39" i="89"/>
  <c r="BK39" i="89"/>
  <c r="I39" i="89" s="1"/>
  <c r="BJ39" i="89"/>
  <c r="H39" i="89" s="1"/>
  <c r="BF39" i="89" s="1"/>
  <c r="BI39" i="89"/>
  <c r="AK39" i="89" s="1"/>
  <c r="AM39" i="89" s="1"/>
  <c r="BH39" i="89"/>
  <c r="BG39" i="89"/>
  <c r="BE39" i="89"/>
  <c r="BD39" i="89"/>
  <c r="BC39" i="89"/>
  <c r="BB39" i="89"/>
  <c r="BA39" i="89"/>
  <c r="AZ39" i="89"/>
  <c r="AY39" i="89"/>
  <c r="AX39" i="89"/>
  <c r="AW39" i="89"/>
  <c r="AU39" i="89"/>
  <c r="AT39" i="89"/>
  <c r="AS39" i="89"/>
  <c r="AR39" i="89"/>
  <c r="AV39" i="89" s="1"/>
  <c r="AQ39" i="89"/>
  <c r="AP39" i="89"/>
  <c r="AO39" i="89"/>
  <c r="AL39" i="89"/>
  <c r="AJ39" i="89"/>
  <c r="AI39" i="89"/>
  <c r="AH39" i="89"/>
  <c r="AN39" i="89" s="1"/>
  <c r="AG39" i="89"/>
  <c r="G39" i="89"/>
  <c r="C39" i="89"/>
  <c r="B39" i="89"/>
  <c r="BN38" i="89"/>
  <c r="BK38" i="89"/>
  <c r="I38" i="89" s="1"/>
  <c r="BJ38" i="89"/>
  <c r="H38" i="89" s="1"/>
  <c r="BF38" i="89" s="1"/>
  <c r="BI38" i="89"/>
  <c r="AK38" i="89" s="1"/>
  <c r="AM38" i="89" s="1"/>
  <c r="BH38" i="89"/>
  <c r="G38" i="89" s="1"/>
  <c r="BG38" i="89"/>
  <c r="BE38" i="89"/>
  <c r="BD38" i="89"/>
  <c r="BC38" i="89"/>
  <c r="BB38" i="89"/>
  <c r="BA38" i="89"/>
  <c r="AZ38" i="89"/>
  <c r="AY38" i="89"/>
  <c r="AX38" i="89"/>
  <c r="AW38" i="89"/>
  <c r="AU38" i="89"/>
  <c r="AT38" i="89"/>
  <c r="AS38" i="89"/>
  <c r="AR38" i="89"/>
  <c r="AV38" i="89" s="1"/>
  <c r="AQ38" i="89"/>
  <c r="AP38" i="89"/>
  <c r="AO38" i="89"/>
  <c r="AL38" i="89"/>
  <c r="AJ38" i="89"/>
  <c r="AI38" i="89"/>
  <c r="AH38" i="89"/>
  <c r="AN38" i="89" s="1"/>
  <c r="AG38" i="89"/>
  <c r="C38" i="89"/>
  <c r="B38" i="89"/>
  <c r="BN37" i="89"/>
  <c r="BL37" i="89"/>
  <c r="BK37" i="89"/>
  <c r="I37" i="89" s="1"/>
  <c r="BJ37" i="89"/>
  <c r="H37" i="89" s="1"/>
  <c r="BF37" i="89" s="1"/>
  <c r="BI37" i="89"/>
  <c r="BM37" i="89" s="1"/>
  <c r="BH37" i="89"/>
  <c r="G37" i="89" s="1"/>
  <c r="BG37" i="89"/>
  <c r="BE37" i="89"/>
  <c r="BD37" i="89"/>
  <c r="BC37" i="89"/>
  <c r="BB37" i="89"/>
  <c r="BA37" i="89"/>
  <c r="AZ37" i="89"/>
  <c r="AY37" i="89"/>
  <c r="AX37" i="89"/>
  <c r="AW37" i="89"/>
  <c r="AU37" i="89"/>
  <c r="AT37" i="89"/>
  <c r="AS37" i="89"/>
  <c r="AR37" i="89"/>
  <c r="AV37" i="89" s="1"/>
  <c r="AQ37" i="89"/>
  <c r="AP37" i="89"/>
  <c r="AO37" i="89"/>
  <c r="AL37" i="89"/>
  <c r="AJ37" i="89"/>
  <c r="AI37" i="89"/>
  <c r="AH37" i="89"/>
  <c r="AN37" i="89" s="1"/>
  <c r="AG37" i="89"/>
  <c r="C37" i="89"/>
  <c r="B37" i="89"/>
  <c r="BN36" i="89"/>
  <c r="BL36" i="89"/>
  <c r="BK36" i="89"/>
  <c r="I36" i="89" s="1"/>
  <c r="BJ36" i="89"/>
  <c r="H36" i="89" s="1"/>
  <c r="BF36" i="89" s="1"/>
  <c r="BI36" i="89"/>
  <c r="AK36" i="89" s="1"/>
  <c r="AM36" i="89" s="1"/>
  <c r="BH36" i="89"/>
  <c r="BG36" i="89"/>
  <c r="BE36" i="89"/>
  <c r="BD36" i="89"/>
  <c r="BC36" i="89"/>
  <c r="BB36" i="89"/>
  <c r="BA36" i="89"/>
  <c r="AZ36" i="89"/>
  <c r="AY36" i="89"/>
  <c r="AX36" i="89"/>
  <c r="AW36" i="89"/>
  <c r="AU36" i="89"/>
  <c r="AT36" i="89"/>
  <c r="AS36" i="89"/>
  <c r="AR36" i="89"/>
  <c r="AV36" i="89" s="1"/>
  <c r="AQ36" i="89"/>
  <c r="AP36" i="89"/>
  <c r="AO36" i="89"/>
  <c r="AL36" i="89"/>
  <c r="AJ36" i="89"/>
  <c r="AI36" i="89"/>
  <c r="AH36" i="89"/>
  <c r="AN36" i="89" s="1"/>
  <c r="AG36" i="89"/>
  <c r="G36" i="89"/>
  <c r="C36" i="89"/>
  <c r="B36" i="89"/>
  <c r="BK35" i="89"/>
  <c r="I35" i="89" s="1"/>
  <c r="BH35" i="89"/>
  <c r="BE35" i="89"/>
  <c r="BD35" i="89"/>
  <c r="BC35" i="89"/>
  <c r="AY35" i="89"/>
  <c r="AU35" i="89"/>
  <c r="AS35" i="89"/>
  <c r="AQ35" i="89"/>
  <c r="AO35" i="89"/>
  <c r="AL35" i="89"/>
  <c r="AH35" i="89"/>
  <c r="AN35" i="89" s="1"/>
  <c r="AG35" i="89"/>
  <c r="G35" i="89"/>
  <c r="BB35" i="89" s="1"/>
  <c r="BH34" i="89"/>
  <c r="BE34" i="89"/>
  <c r="BD34" i="89"/>
  <c r="BC34" i="89"/>
  <c r="AU34" i="89"/>
  <c r="AS34" i="89"/>
  <c r="AQ34" i="89"/>
  <c r="AO34" i="89"/>
  <c r="AL34" i="89"/>
  <c r="AH34" i="89"/>
  <c r="AN34" i="89" s="1"/>
  <c r="AG34" i="89"/>
  <c r="BL33" i="89"/>
  <c r="BH33" i="89"/>
  <c r="BE33" i="89"/>
  <c r="BD33" i="89"/>
  <c r="BC33" i="89"/>
  <c r="AU33" i="89"/>
  <c r="AS33" i="89"/>
  <c r="AQ33" i="89"/>
  <c r="AO33" i="89"/>
  <c r="AL33" i="89"/>
  <c r="AH33" i="89"/>
  <c r="AN33" i="89" s="1"/>
  <c r="AG33" i="89"/>
  <c r="BL32" i="89"/>
  <c r="BH32" i="89"/>
  <c r="BE32" i="89"/>
  <c r="BD32" i="89"/>
  <c r="BC32" i="89"/>
  <c r="AU32" i="89"/>
  <c r="AS32" i="89"/>
  <c r="AQ32" i="89"/>
  <c r="AI32" i="89" s="1"/>
  <c r="C32" i="89" s="1"/>
  <c r="AO32" i="89"/>
  <c r="AL32" i="89"/>
  <c r="AH32" i="89"/>
  <c r="AN32" i="89" s="1"/>
  <c r="AG32" i="89"/>
  <c r="G32" i="89"/>
  <c r="BB32" i="89" s="1"/>
  <c r="BL31" i="89"/>
  <c r="BK31" i="89"/>
  <c r="I31" i="89" s="1"/>
  <c r="BH31" i="89"/>
  <c r="BE31" i="89"/>
  <c r="BD31" i="89"/>
  <c r="BC31" i="89"/>
  <c r="AY31" i="89"/>
  <c r="AU31" i="89"/>
  <c r="AS31" i="89"/>
  <c r="AQ31" i="89"/>
  <c r="AI31" i="89" s="1"/>
  <c r="C31" i="89" s="1"/>
  <c r="AO31" i="89"/>
  <c r="AL31" i="89"/>
  <c r="AH31" i="89"/>
  <c r="AN31" i="89" s="1"/>
  <c r="AG31" i="89"/>
  <c r="G31" i="89"/>
  <c r="BB31" i="89" s="1"/>
  <c r="BH30" i="89"/>
  <c r="BE30" i="89"/>
  <c r="BD30" i="89"/>
  <c r="BC30" i="89"/>
  <c r="AU30" i="89"/>
  <c r="AS30" i="89"/>
  <c r="AQ30" i="89"/>
  <c r="AI30" i="89" s="1"/>
  <c r="C30" i="89" s="1"/>
  <c r="AO30" i="89"/>
  <c r="AL30" i="89"/>
  <c r="AH30" i="89"/>
  <c r="AN30" i="89" s="1"/>
  <c r="AG30" i="89"/>
  <c r="BU29" i="89"/>
  <c r="BT29" i="89"/>
  <c r="BS29" i="89"/>
  <c r="BR29" i="89"/>
  <c r="BQ29" i="89"/>
  <c r="BL29" i="89"/>
  <c r="BJ29" i="89"/>
  <c r="H29" i="89" s="1"/>
  <c r="BF29" i="89" s="1"/>
  <c r="BH29" i="89"/>
  <c r="BE29" i="89"/>
  <c r="BD29" i="89"/>
  <c r="BC29" i="89"/>
  <c r="AU29" i="89"/>
  <c r="AS29" i="89"/>
  <c r="AQ29" i="89"/>
  <c r="AO29" i="89"/>
  <c r="AL29" i="89"/>
  <c r="AH29" i="89"/>
  <c r="AN29" i="89" s="1"/>
  <c r="AG29" i="89"/>
  <c r="G29" i="89"/>
  <c r="BB29" i="89" s="1"/>
  <c r="B29" i="89"/>
  <c r="BU28" i="89"/>
  <c r="BT28" i="89"/>
  <c r="BS28" i="89"/>
  <c r="BR28" i="89"/>
  <c r="BQ28" i="89"/>
  <c r="BL28" i="89"/>
  <c r="BH28" i="89"/>
  <c r="BE28" i="89"/>
  <c r="BD28" i="89"/>
  <c r="BC28" i="89"/>
  <c r="BA28" i="89"/>
  <c r="AU28" i="89"/>
  <c r="AS28" i="89"/>
  <c r="AQ28" i="89"/>
  <c r="AO28" i="89"/>
  <c r="AL28" i="89"/>
  <c r="AH28" i="89"/>
  <c r="AG28" i="89"/>
  <c r="G28" i="89"/>
  <c r="BB28" i="89" s="1"/>
  <c r="BU27" i="89"/>
  <c r="BT27" i="89"/>
  <c r="BS27" i="89"/>
  <c r="BR27" i="89"/>
  <c r="BQ27" i="89"/>
  <c r="BH27" i="89"/>
  <c r="BE27" i="89"/>
  <c r="BD27" i="89"/>
  <c r="BC27" i="89"/>
  <c r="AU27" i="89"/>
  <c r="AS27" i="89"/>
  <c r="AQ27" i="89"/>
  <c r="AO27" i="89"/>
  <c r="AL27" i="89"/>
  <c r="AH27" i="89"/>
  <c r="AN27" i="89" s="1"/>
  <c r="AG27" i="89"/>
  <c r="BU26" i="89"/>
  <c r="BT26" i="89"/>
  <c r="BS26" i="89"/>
  <c r="BR26" i="89"/>
  <c r="BQ26" i="89"/>
  <c r="BL26" i="89"/>
  <c r="BH26" i="89"/>
  <c r="BE26" i="89"/>
  <c r="BD26" i="89"/>
  <c r="BC26" i="89"/>
  <c r="AU26" i="89"/>
  <c r="AS26" i="89"/>
  <c r="AQ26" i="89"/>
  <c r="AO26" i="89"/>
  <c r="AL26" i="89"/>
  <c r="AH26" i="89"/>
  <c r="AN26" i="89" s="1"/>
  <c r="AG26" i="89"/>
  <c r="G26" i="89"/>
  <c r="BB26" i="89" s="1"/>
  <c r="BU25" i="89"/>
  <c r="BT25" i="89"/>
  <c r="BS25" i="89"/>
  <c r="BR25" i="89"/>
  <c r="BQ25" i="89"/>
  <c r="BL25" i="89"/>
  <c r="BH25" i="89"/>
  <c r="BE25" i="89"/>
  <c r="BD25" i="89"/>
  <c r="BC25" i="89"/>
  <c r="BA25" i="89"/>
  <c r="AU25" i="89"/>
  <c r="AS25" i="89"/>
  <c r="AQ25" i="89"/>
  <c r="AO25" i="89"/>
  <c r="AL25" i="89"/>
  <c r="AH25" i="89"/>
  <c r="AG25" i="89"/>
  <c r="G25" i="89"/>
  <c r="BB25" i="89" s="1"/>
  <c r="BU24" i="89"/>
  <c r="BT24" i="89"/>
  <c r="BS24" i="89"/>
  <c r="BR24" i="89"/>
  <c r="BQ24" i="89"/>
  <c r="BH24" i="89"/>
  <c r="BE24" i="89"/>
  <c r="BD24" i="89"/>
  <c r="BC24" i="89"/>
  <c r="AU24" i="89"/>
  <c r="AS24" i="89"/>
  <c r="AQ24" i="89"/>
  <c r="AI24" i="89" s="1"/>
  <c r="C24" i="89" s="1"/>
  <c r="AO24" i="89"/>
  <c r="AL24" i="89"/>
  <c r="AH24" i="89"/>
  <c r="AN24" i="89" s="1"/>
  <c r="AG24" i="89"/>
  <c r="BU23" i="89"/>
  <c r="BT23" i="89"/>
  <c r="BS23" i="89"/>
  <c r="BR23" i="89"/>
  <c r="BQ23" i="89"/>
  <c r="BL23" i="89"/>
  <c r="BH23" i="89"/>
  <c r="BE23" i="89"/>
  <c r="BD23" i="89"/>
  <c r="BC23" i="89"/>
  <c r="AU23" i="89"/>
  <c r="AS23" i="89"/>
  <c r="AQ23" i="89"/>
  <c r="AI23" i="89" s="1"/>
  <c r="C23" i="89" s="1"/>
  <c r="AO23" i="89"/>
  <c r="AL23" i="89"/>
  <c r="AH23" i="89"/>
  <c r="AN23" i="89" s="1"/>
  <c r="AG23" i="89"/>
  <c r="G23" i="89"/>
  <c r="BB23" i="89" s="1"/>
  <c r="BU22" i="89"/>
  <c r="BT22" i="89"/>
  <c r="BS22" i="89"/>
  <c r="BR22" i="89"/>
  <c r="BQ22" i="89"/>
  <c r="BL22" i="89"/>
  <c r="BH22" i="89"/>
  <c r="BE22" i="89"/>
  <c r="BD22" i="89"/>
  <c r="BC22" i="89"/>
  <c r="BA22" i="89"/>
  <c r="AU22" i="89"/>
  <c r="AS22" i="89"/>
  <c r="AQ22" i="89"/>
  <c r="AO22" i="89"/>
  <c r="AL22" i="89"/>
  <c r="AH22" i="89"/>
  <c r="AG22" i="89"/>
  <c r="G22" i="89"/>
  <c r="BB22" i="89" s="1"/>
  <c r="BU21" i="89"/>
  <c r="BT21" i="89"/>
  <c r="BS21" i="89"/>
  <c r="BR21" i="89"/>
  <c r="BQ21" i="89"/>
  <c r="BH21" i="89"/>
  <c r="BE21" i="89"/>
  <c r="BD21" i="89"/>
  <c r="BC21" i="89"/>
  <c r="AU21" i="89"/>
  <c r="AS21" i="89"/>
  <c r="AQ21" i="89"/>
  <c r="AI21" i="89" s="1"/>
  <c r="C21" i="89" s="1"/>
  <c r="AO21" i="89"/>
  <c r="AL21" i="89"/>
  <c r="AH21" i="89"/>
  <c r="AN21" i="89" s="1"/>
  <c r="AG21" i="89"/>
  <c r="BL20" i="89"/>
  <c r="BK20" i="89"/>
  <c r="I20" i="89" s="1"/>
  <c r="BJ20" i="89"/>
  <c r="H20" i="89" s="1"/>
  <c r="BF20" i="89" s="1"/>
  <c r="BI20" i="89"/>
  <c r="AK20" i="89" s="1"/>
  <c r="AM20" i="89" s="1"/>
  <c r="BH20" i="89"/>
  <c r="BE20" i="89"/>
  <c r="BD20" i="89"/>
  <c r="BC20" i="89"/>
  <c r="BA20" i="89"/>
  <c r="AY20" i="89"/>
  <c r="AX20" i="89"/>
  <c r="AW20" i="89"/>
  <c r="AU20" i="89"/>
  <c r="AS20" i="89"/>
  <c r="AQ20" i="89"/>
  <c r="AO20" i="89"/>
  <c r="AL20" i="89"/>
  <c r="AH20" i="89"/>
  <c r="AN20" i="89" s="1"/>
  <c r="AG20" i="89"/>
  <c r="G20" i="89"/>
  <c r="BB20" i="89" s="1"/>
  <c r="B20" i="89"/>
  <c r="BL19" i="89"/>
  <c r="BH19" i="89"/>
  <c r="BE19" i="89"/>
  <c r="BD19" i="89"/>
  <c r="BC19" i="89"/>
  <c r="AU19" i="89"/>
  <c r="AS19" i="89"/>
  <c r="AQ19" i="89"/>
  <c r="AI19" i="89" s="1"/>
  <c r="C19" i="89" s="1"/>
  <c r="AO19" i="89"/>
  <c r="AL19" i="89"/>
  <c r="AH19" i="89"/>
  <c r="AN19" i="89" s="1"/>
  <c r="AG19" i="89"/>
  <c r="G19" i="89"/>
  <c r="BB19" i="89" s="1"/>
  <c r="BL18" i="89"/>
  <c r="BH18" i="89"/>
  <c r="BE18" i="89"/>
  <c r="BD18" i="89"/>
  <c r="BC18" i="89"/>
  <c r="AU18" i="89"/>
  <c r="AS18" i="89"/>
  <c r="AQ18" i="89"/>
  <c r="AO18" i="89"/>
  <c r="AL18" i="89"/>
  <c r="AH18" i="89"/>
  <c r="AN18" i="89" s="1"/>
  <c r="AG18" i="89"/>
  <c r="BH17" i="89"/>
  <c r="BE17" i="89"/>
  <c r="BD17" i="89"/>
  <c r="BC17" i="89"/>
  <c r="AU17" i="89"/>
  <c r="AS17" i="89"/>
  <c r="AQ17" i="89"/>
  <c r="AI17" i="89" s="1"/>
  <c r="C17" i="89" s="1"/>
  <c r="AO17" i="89"/>
  <c r="AL17" i="89"/>
  <c r="AH17" i="89"/>
  <c r="AN17" i="89" s="1"/>
  <c r="AG17" i="89"/>
  <c r="BL16" i="89"/>
  <c r="BK16" i="89"/>
  <c r="I16" i="89" s="1"/>
  <c r="BI16" i="89"/>
  <c r="AK16" i="89" s="1"/>
  <c r="AM16" i="89" s="1"/>
  <c r="BH16" i="89"/>
  <c r="BE16" i="89"/>
  <c r="BD16" i="89"/>
  <c r="BC16" i="89"/>
  <c r="BA16" i="89"/>
  <c r="AY16" i="89"/>
  <c r="AW16" i="89"/>
  <c r="AU16" i="89"/>
  <c r="AS16" i="89"/>
  <c r="AQ16" i="89"/>
  <c r="AO16" i="89"/>
  <c r="AL16" i="89"/>
  <c r="AH16" i="89"/>
  <c r="AN16" i="89" s="1"/>
  <c r="AG16" i="89"/>
  <c r="G16" i="89"/>
  <c r="BB16" i="89" s="1"/>
  <c r="BL15" i="89"/>
  <c r="BJ15" i="89"/>
  <c r="H15" i="89" s="1"/>
  <c r="BF15" i="89" s="1"/>
  <c r="BH15" i="89"/>
  <c r="BE15" i="89"/>
  <c r="BD15" i="89"/>
  <c r="BC15" i="89"/>
  <c r="AU15" i="89"/>
  <c r="AS15" i="89"/>
  <c r="AQ15" i="89"/>
  <c r="AO15" i="89"/>
  <c r="AL15" i="89"/>
  <c r="AH15" i="89"/>
  <c r="AN15" i="89" s="1"/>
  <c r="AG15" i="89"/>
  <c r="G15" i="89"/>
  <c r="BB15" i="89" s="1"/>
  <c r="B15" i="89"/>
  <c r="BL14" i="89"/>
  <c r="BJ14" i="89"/>
  <c r="H14" i="89" s="1"/>
  <c r="BF14" i="89" s="1"/>
  <c r="BH14" i="89"/>
  <c r="BE14" i="89"/>
  <c r="BD14" i="89"/>
  <c r="BC14" i="89"/>
  <c r="AU14" i="89"/>
  <c r="AS14" i="89"/>
  <c r="AQ14" i="89"/>
  <c r="AO14" i="89"/>
  <c r="AL14" i="89"/>
  <c r="AH14" i="89"/>
  <c r="AN14" i="89" s="1"/>
  <c r="AG14" i="89"/>
  <c r="B14" i="89"/>
  <c r="BH13" i="89"/>
  <c r="BE13" i="89"/>
  <c r="BD13" i="89"/>
  <c r="BC13" i="89"/>
  <c r="AU13" i="89"/>
  <c r="AS13" i="89"/>
  <c r="AQ13" i="89"/>
  <c r="AI13" i="89" s="1"/>
  <c r="C13" i="89" s="1"/>
  <c r="AL13" i="89"/>
  <c r="AH13" i="89"/>
  <c r="AN13" i="89" s="1"/>
  <c r="AG13" i="89"/>
  <c r="BL12" i="89"/>
  <c r="BH12" i="89"/>
  <c r="BE12" i="89"/>
  <c r="BD12" i="89"/>
  <c r="BC12" i="89"/>
  <c r="BA12" i="89"/>
  <c r="AY12" i="89"/>
  <c r="AX12" i="89"/>
  <c r="AW12" i="89"/>
  <c r="AU12" i="89"/>
  <c r="AS12" i="89"/>
  <c r="AI12" i="89" s="1"/>
  <c r="C12" i="89" s="1"/>
  <c r="AQ12" i="89"/>
  <c r="AL12" i="89"/>
  <c r="AH12" i="89"/>
  <c r="BI12" i="89" s="1"/>
  <c r="AK12" i="89" s="1"/>
  <c r="AM12" i="89" s="1"/>
  <c r="AG12" i="89"/>
  <c r="BK12" i="89" s="1"/>
  <c r="AO12" i="89" s="1"/>
  <c r="G12" i="89"/>
  <c r="BB12" i="89" s="1"/>
  <c r="BL11" i="89"/>
  <c r="BH11" i="89"/>
  <c r="BE11" i="89"/>
  <c r="BD11" i="89"/>
  <c r="BC11" i="89"/>
  <c r="AU11" i="89"/>
  <c r="AS11" i="89"/>
  <c r="AQ11" i="89"/>
  <c r="AL11" i="89"/>
  <c r="AH11" i="89"/>
  <c r="AN11" i="89" s="1"/>
  <c r="AG11" i="89"/>
  <c r="G11" i="89"/>
  <c r="BB11" i="89" s="1"/>
  <c r="BL10" i="89"/>
  <c r="BH10" i="89"/>
  <c r="BE10" i="89"/>
  <c r="BD10" i="89"/>
  <c r="BC10" i="89"/>
  <c r="BC4" i="89" s="1"/>
  <c r="AU10" i="89"/>
  <c r="AS10" i="89"/>
  <c r="AQ10" i="89"/>
  <c r="AI10" i="89" s="1"/>
  <c r="C10" i="89" s="1"/>
  <c r="AL10" i="89"/>
  <c r="AH10" i="89"/>
  <c r="AN10" i="89" s="1"/>
  <c r="AG10" i="89"/>
  <c r="BH9" i="89"/>
  <c r="BE9" i="89"/>
  <c r="BD9" i="89"/>
  <c r="BC9" i="89"/>
  <c r="AU9" i="89"/>
  <c r="AU41" i="89" s="1"/>
  <c r="AS9" i="89"/>
  <c r="AQ9" i="89"/>
  <c r="AI9" i="89" s="1"/>
  <c r="C9" i="89" s="1"/>
  <c r="AL9" i="89"/>
  <c r="AJ9" i="89"/>
  <c r="AJ10" i="89" s="1"/>
  <c r="AJ11" i="89" s="1"/>
  <c r="AJ12" i="89" s="1"/>
  <c r="AJ13" i="89" s="1"/>
  <c r="AJ14" i="89" s="1"/>
  <c r="AH9" i="89"/>
  <c r="AN9" i="89" s="1"/>
  <c r="AG9" i="89"/>
  <c r="BL8" i="89"/>
  <c r="BK8" i="89"/>
  <c r="AO8" i="89" s="1"/>
  <c r="BJ8" i="89"/>
  <c r="H8" i="89" s="1"/>
  <c r="BF8" i="89" s="1"/>
  <c r="BI8" i="89"/>
  <c r="AZ8" i="89" s="1"/>
  <c r="BH8" i="89"/>
  <c r="BE8" i="89"/>
  <c r="BD8" i="89"/>
  <c r="BD4" i="89" s="1"/>
  <c r="BC8" i="89"/>
  <c r="BA8" i="89"/>
  <c r="AY8" i="89"/>
  <c r="AX8" i="89"/>
  <c r="AW8" i="89"/>
  <c r="AU8" i="89"/>
  <c r="AV43" i="89" s="1"/>
  <c r="AS8" i="89"/>
  <c r="AS41" i="89" s="1"/>
  <c r="AQ8" i="89"/>
  <c r="AQ41" i="89" s="1"/>
  <c r="AL8" i="89"/>
  <c r="AJ8" i="89"/>
  <c r="AH8" i="89"/>
  <c r="AN8" i="89" s="1"/>
  <c r="AG8" i="89"/>
  <c r="G8" i="89"/>
  <c r="BB8" i="89" s="1"/>
  <c r="B8" i="89"/>
  <c r="AV6" i="89"/>
  <c r="U48" i="88"/>
  <c r="BE43" i="88"/>
  <c r="AT43" i="88"/>
  <c r="AT44" i="88" s="1"/>
  <c r="BN39" i="88"/>
  <c r="BK39" i="88"/>
  <c r="I39" i="88" s="1"/>
  <c r="BJ39" i="88"/>
  <c r="H39" i="88" s="1"/>
  <c r="BF39" i="88" s="1"/>
  <c r="BI39" i="88"/>
  <c r="AK39" i="88" s="1"/>
  <c r="AM39" i="88" s="1"/>
  <c r="BH39" i="88"/>
  <c r="BG39" i="88"/>
  <c r="BE39" i="88"/>
  <c r="BD39" i="88"/>
  <c r="BC39" i="88"/>
  <c r="BB39" i="88"/>
  <c r="BA39" i="88"/>
  <c r="AZ39" i="88"/>
  <c r="AY39" i="88"/>
  <c r="AX39" i="88"/>
  <c r="AW39" i="88"/>
  <c r="AU39" i="88"/>
  <c r="AT39" i="88"/>
  <c r="AS39" i="88"/>
  <c r="AR39" i="88"/>
  <c r="AV39" i="88" s="1"/>
  <c r="AQ39" i="88"/>
  <c r="AP39" i="88"/>
  <c r="AO39" i="88"/>
  <c r="AL39" i="88"/>
  <c r="AJ39" i="88"/>
  <c r="AI39" i="88"/>
  <c r="AH39" i="88"/>
  <c r="AN39" i="88" s="1"/>
  <c r="AG39" i="88"/>
  <c r="G39" i="88"/>
  <c r="C39" i="88"/>
  <c r="B39" i="88"/>
  <c r="BN38" i="88"/>
  <c r="BK38" i="88"/>
  <c r="I38" i="88" s="1"/>
  <c r="BJ38" i="88"/>
  <c r="H38" i="88" s="1"/>
  <c r="BF38" i="88" s="1"/>
  <c r="BI38" i="88"/>
  <c r="AK38" i="88" s="1"/>
  <c r="AM38" i="88" s="1"/>
  <c r="BH38" i="88"/>
  <c r="G38" i="88" s="1"/>
  <c r="BG38" i="88"/>
  <c r="BE38" i="88"/>
  <c r="BD38" i="88"/>
  <c r="BC38" i="88"/>
  <c r="BB38" i="88"/>
  <c r="BA38" i="88"/>
  <c r="AZ38" i="88"/>
  <c r="AY38" i="88"/>
  <c r="AX38" i="88"/>
  <c r="AW38" i="88"/>
  <c r="AU38" i="88"/>
  <c r="AT38" i="88"/>
  <c r="AS38" i="88"/>
  <c r="AR38" i="88"/>
  <c r="AV38" i="88" s="1"/>
  <c r="AQ38" i="88"/>
  <c r="AP38" i="88"/>
  <c r="AO38" i="88"/>
  <c r="AL38" i="88"/>
  <c r="AJ38" i="88"/>
  <c r="AI38" i="88"/>
  <c r="AH38" i="88"/>
  <c r="AN38" i="88" s="1"/>
  <c r="AG38" i="88"/>
  <c r="C38" i="88"/>
  <c r="B38" i="88"/>
  <c r="BN37" i="88"/>
  <c r="BK37" i="88"/>
  <c r="I37" i="88" s="1"/>
  <c r="BJ37" i="88"/>
  <c r="H37" i="88" s="1"/>
  <c r="BF37" i="88" s="1"/>
  <c r="BI37" i="88"/>
  <c r="BM37" i="88" s="1"/>
  <c r="BH37" i="88"/>
  <c r="G37" i="88" s="1"/>
  <c r="BG37" i="88"/>
  <c r="BE37" i="88"/>
  <c r="BD37" i="88"/>
  <c r="BC37" i="88"/>
  <c r="BB37" i="88"/>
  <c r="BA37" i="88"/>
  <c r="AZ37" i="88"/>
  <c r="AY37" i="88"/>
  <c r="AX37" i="88"/>
  <c r="AW37" i="88"/>
  <c r="AU37" i="88"/>
  <c r="AT37" i="88"/>
  <c r="AS37" i="88"/>
  <c r="AR37" i="88"/>
  <c r="AV37" i="88" s="1"/>
  <c r="AQ37" i="88"/>
  <c r="AP37" i="88"/>
  <c r="AO37" i="88"/>
  <c r="AL37" i="88"/>
  <c r="AJ37" i="88"/>
  <c r="AI37" i="88"/>
  <c r="AH37" i="88"/>
  <c r="AN37" i="88" s="1"/>
  <c r="AG37" i="88"/>
  <c r="C37" i="88"/>
  <c r="B37" i="88"/>
  <c r="BL36" i="88"/>
  <c r="BK36" i="88"/>
  <c r="I36" i="88" s="1"/>
  <c r="BH36" i="88"/>
  <c r="BE36" i="88"/>
  <c r="BD36" i="88"/>
  <c r="BC36" i="88"/>
  <c r="BA36" i="88"/>
  <c r="AY36" i="88"/>
  <c r="AU36" i="88"/>
  <c r="AS36" i="88"/>
  <c r="AQ36" i="88"/>
  <c r="AO36" i="88"/>
  <c r="AL36" i="88"/>
  <c r="AH36" i="88"/>
  <c r="AN36" i="88" s="1"/>
  <c r="AG36" i="88"/>
  <c r="G36" i="88"/>
  <c r="BB36" i="88" s="1"/>
  <c r="BH35" i="88"/>
  <c r="BE35" i="88"/>
  <c r="BD35" i="88"/>
  <c r="BC35" i="88"/>
  <c r="AU35" i="88"/>
  <c r="AS35" i="88"/>
  <c r="AQ35" i="88"/>
  <c r="AO35" i="88"/>
  <c r="AL35" i="88"/>
  <c r="AH35" i="88"/>
  <c r="AN35" i="88" s="1"/>
  <c r="AG35" i="88"/>
  <c r="G35" i="88"/>
  <c r="BB35" i="88" s="1"/>
  <c r="BH34" i="88"/>
  <c r="BE34" i="88"/>
  <c r="BD34" i="88"/>
  <c r="BC34" i="88"/>
  <c r="AU34" i="88"/>
  <c r="AS34" i="88"/>
  <c r="AQ34" i="88"/>
  <c r="AO34" i="88"/>
  <c r="AL34" i="88"/>
  <c r="AH34" i="88"/>
  <c r="AN34" i="88" s="1"/>
  <c r="AG34" i="88"/>
  <c r="BH33" i="88"/>
  <c r="BE33" i="88"/>
  <c r="BD33" i="88"/>
  <c r="BC33" i="88"/>
  <c r="AU33" i="88"/>
  <c r="AS33" i="88"/>
  <c r="AQ33" i="88"/>
  <c r="AO33" i="88"/>
  <c r="AL33" i="88"/>
  <c r="AH33" i="88"/>
  <c r="AG33" i="88"/>
  <c r="BL32" i="88"/>
  <c r="BK32" i="88"/>
  <c r="I32" i="88" s="1"/>
  <c r="BJ32" i="88"/>
  <c r="H32" i="88" s="1"/>
  <c r="BF32" i="88" s="1"/>
  <c r="BH32" i="88"/>
  <c r="BE32" i="88"/>
  <c r="BD32" i="88"/>
  <c r="BC32" i="88"/>
  <c r="BA32" i="88"/>
  <c r="AY32" i="88"/>
  <c r="AU32" i="88"/>
  <c r="AS32" i="88"/>
  <c r="AQ32" i="88"/>
  <c r="AO32" i="88"/>
  <c r="AL32" i="88"/>
  <c r="AH32" i="88"/>
  <c r="AN32" i="88" s="1"/>
  <c r="AG32" i="88"/>
  <c r="G32" i="88"/>
  <c r="BB32" i="88" s="1"/>
  <c r="B32" i="88"/>
  <c r="BH31" i="88"/>
  <c r="BE31" i="88"/>
  <c r="BD31" i="88"/>
  <c r="BC31" i="88"/>
  <c r="AU31" i="88"/>
  <c r="AS31" i="88"/>
  <c r="AQ31" i="88"/>
  <c r="AO31" i="88"/>
  <c r="AL31" i="88"/>
  <c r="AH31" i="88"/>
  <c r="AN31" i="88" s="1"/>
  <c r="AG31" i="88"/>
  <c r="G31" i="88"/>
  <c r="BB31" i="88" s="1"/>
  <c r="BH30" i="88"/>
  <c r="BE30" i="88"/>
  <c r="BD30" i="88"/>
  <c r="BC30" i="88"/>
  <c r="AU30" i="88"/>
  <c r="AS30" i="88"/>
  <c r="AQ30" i="88"/>
  <c r="AO30" i="88"/>
  <c r="AL30" i="88"/>
  <c r="AH30" i="88"/>
  <c r="AN30" i="88" s="1"/>
  <c r="AG30" i="88"/>
  <c r="BU29" i="88"/>
  <c r="BT29" i="88"/>
  <c r="BS29" i="88"/>
  <c r="BR29" i="88"/>
  <c r="BQ29" i="88"/>
  <c r="BH29" i="88"/>
  <c r="BL29" i="88" s="1"/>
  <c r="BE29" i="88"/>
  <c r="BD29" i="88"/>
  <c r="BC29" i="88"/>
  <c r="BA29" i="88"/>
  <c r="AU29" i="88"/>
  <c r="AS29" i="88"/>
  <c r="AQ29" i="88"/>
  <c r="AO29" i="88"/>
  <c r="AL29" i="88"/>
  <c r="AH29" i="88"/>
  <c r="AN29" i="88" s="1"/>
  <c r="AG29" i="88"/>
  <c r="G29" i="88"/>
  <c r="BB29" i="88" s="1"/>
  <c r="BU28" i="88"/>
  <c r="BT28" i="88"/>
  <c r="BS28" i="88"/>
  <c r="BR28" i="88"/>
  <c r="BQ28" i="88"/>
  <c r="BL28" i="88"/>
  <c r="BH28" i="88"/>
  <c r="BE28" i="88"/>
  <c r="BD28" i="88"/>
  <c r="BC28" i="88"/>
  <c r="AU28" i="88"/>
  <c r="AS28" i="88"/>
  <c r="AQ28" i="88"/>
  <c r="AO28" i="88"/>
  <c r="AL28" i="88"/>
  <c r="AH28" i="88"/>
  <c r="AN28" i="88" s="1"/>
  <c r="AG28" i="88"/>
  <c r="G28" i="88"/>
  <c r="BB28" i="88" s="1"/>
  <c r="BU27" i="88"/>
  <c r="BT27" i="88"/>
  <c r="BS27" i="88"/>
  <c r="BR27" i="88"/>
  <c r="BQ27" i="88"/>
  <c r="BH27" i="88"/>
  <c r="BE27" i="88"/>
  <c r="BD27" i="88"/>
  <c r="BC27" i="88"/>
  <c r="AU27" i="88"/>
  <c r="AS27" i="88"/>
  <c r="AQ27" i="88"/>
  <c r="AO27" i="88"/>
  <c r="AL27" i="88"/>
  <c r="AH27" i="88"/>
  <c r="AN27" i="88" s="1"/>
  <c r="AG27" i="88"/>
  <c r="BU26" i="88"/>
  <c r="BT26" i="88"/>
  <c r="BS26" i="88"/>
  <c r="BR26" i="88"/>
  <c r="BQ26" i="88"/>
  <c r="BH26" i="88"/>
  <c r="BL26" i="88" s="1"/>
  <c r="BE26" i="88"/>
  <c r="BD26" i="88"/>
  <c r="BC26" i="88"/>
  <c r="BA26" i="88"/>
  <c r="AU26" i="88"/>
  <c r="AS26" i="88"/>
  <c r="AQ26" i="88"/>
  <c r="AO26" i="88"/>
  <c r="AL26" i="88"/>
  <c r="AH26" i="88"/>
  <c r="AN26" i="88" s="1"/>
  <c r="AG26" i="88"/>
  <c r="G26" i="88"/>
  <c r="BB26" i="88" s="1"/>
  <c r="BU25" i="88"/>
  <c r="BT25" i="88"/>
  <c r="BS25" i="88"/>
  <c r="BR25" i="88"/>
  <c r="BQ25" i="88"/>
  <c r="BL25" i="88"/>
  <c r="BH25" i="88"/>
  <c r="BE25" i="88"/>
  <c r="BD25" i="88"/>
  <c r="BC25" i="88"/>
  <c r="AU25" i="88"/>
  <c r="AS25" i="88"/>
  <c r="AQ25" i="88"/>
  <c r="AO25" i="88"/>
  <c r="AL25" i="88"/>
  <c r="AH25" i="88"/>
  <c r="AN25" i="88" s="1"/>
  <c r="AG25" i="88"/>
  <c r="G25" i="88"/>
  <c r="BB25" i="88" s="1"/>
  <c r="BU24" i="88"/>
  <c r="BT24" i="88"/>
  <c r="BS24" i="88"/>
  <c r="BR24" i="88"/>
  <c r="BQ24" i="88"/>
  <c r="BH24" i="88"/>
  <c r="BE24" i="88"/>
  <c r="BD24" i="88"/>
  <c r="BC24" i="88"/>
  <c r="AU24" i="88"/>
  <c r="AS24" i="88"/>
  <c r="AQ24" i="88"/>
  <c r="AO24" i="88"/>
  <c r="AL24" i="88"/>
  <c r="AH24" i="88"/>
  <c r="AN24" i="88" s="1"/>
  <c r="AG24" i="88"/>
  <c r="BU23" i="88"/>
  <c r="BT23" i="88"/>
  <c r="BS23" i="88"/>
  <c r="BR23" i="88"/>
  <c r="BQ23" i="88"/>
  <c r="BH23" i="88"/>
  <c r="BL23" i="88" s="1"/>
  <c r="BE23" i="88"/>
  <c r="BD23" i="88"/>
  <c r="BC23" i="88"/>
  <c r="BA23" i="88"/>
  <c r="AU23" i="88"/>
  <c r="AS23" i="88"/>
  <c r="AQ23" i="88"/>
  <c r="AO23" i="88"/>
  <c r="AL23" i="88"/>
  <c r="AH23" i="88"/>
  <c r="AN23" i="88" s="1"/>
  <c r="AG23" i="88"/>
  <c r="G23" i="88"/>
  <c r="BB23" i="88" s="1"/>
  <c r="BU22" i="88"/>
  <c r="BT22" i="88"/>
  <c r="BS22" i="88"/>
  <c r="BR22" i="88"/>
  <c r="BQ22" i="88"/>
  <c r="BL22" i="88"/>
  <c r="BH22" i="88"/>
  <c r="BE22" i="88"/>
  <c r="BD22" i="88"/>
  <c r="BC22" i="88"/>
  <c r="AU22" i="88"/>
  <c r="AS22" i="88"/>
  <c r="AQ22" i="88"/>
  <c r="AO22" i="88"/>
  <c r="AL22" i="88"/>
  <c r="AH22" i="88"/>
  <c r="AN22" i="88" s="1"/>
  <c r="AG22" i="88"/>
  <c r="G22" i="88"/>
  <c r="BB22" i="88" s="1"/>
  <c r="BU21" i="88"/>
  <c r="BT21" i="88"/>
  <c r="BS21" i="88"/>
  <c r="BR21" i="88"/>
  <c r="BQ21" i="88"/>
  <c r="BH21" i="88"/>
  <c r="BE21" i="88"/>
  <c r="BD21" i="88"/>
  <c r="BC21" i="88"/>
  <c r="AU21" i="88"/>
  <c r="AS21" i="88"/>
  <c r="AQ21" i="88"/>
  <c r="AO21" i="88"/>
  <c r="AL21" i="88"/>
  <c r="AH21" i="88"/>
  <c r="AN21" i="88" s="1"/>
  <c r="AG21" i="88"/>
  <c r="BJ20" i="88"/>
  <c r="H20" i="88" s="1"/>
  <c r="BF20" i="88" s="1"/>
  <c r="BH20" i="88"/>
  <c r="BE20" i="88"/>
  <c r="BD20" i="88"/>
  <c r="BC20" i="88"/>
  <c r="AU20" i="88"/>
  <c r="AS20" i="88"/>
  <c r="AQ20" i="88"/>
  <c r="AO20" i="88"/>
  <c r="AL20" i="88"/>
  <c r="AH20" i="88"/>
  <c r="AN20" i="88" s="1"/>
  <c r="AG20" i="88"/>
  <c r="B20" i="88"/>
  <c r="BL19" i="88"/>
  <c r="BH19" i="88"/>
  <c r="BE19" i="88"/>
  <c r="BD19" i="88"/>
  <c r="BC19" i="88"/>
  <c r="BA19" i="88"/>
  <c r="AU19" i="88"/>
  <c r="AS19" i="88"/>
  <c r="AQ19" i="88"/>
  <c r="AO19" i="88"/>
  <c r="AL19" i="88"/>
  <c r="AH19" i="88"/>
  <c r="AN19" i="88" s="1"/>
  <c r="AG19" i="88"/>
  <c r="G19" i="88"/>
  <c r="BB19" i="88" s="1"/>
  <c r="BH18" i="88"/>
  <c r="BE18" i="88"/>
  <c r="BD18" i="88"/>
  <c r="BC18" i="88"/>
  <c r="AU18" i="88"/>
  <c r="AS18" i="88"/>
  <c r="AQ18" i="88"/>
  <c r="AO18" i="88"/>
  <c r="AL18" i="88"/>
  <c r="AH18" i="88"/>
  <c r="AN18" i="88" s="1"/>
  <c r="AG18" i="88"/>
  <c r="G18" i="88"/>
  <c r="BB18" i="88" s="1"/>
  <c r="BH17" i="88"/>
  <c r="BE17" i="88"/>
  <c r="BD17" i="88"/>
  <c r="BC17" i="88"/>
  <c r="AU17" i="88"/>
  <c r="AS17" i="88"/>
  <c r="AQ17" i="88"/>
  <c r="AO17" i="88"/>
  <c r="AL17" i="88"/>
  <c r="AH17" i="88"/>
  <c r="AN17" i="88" s="1"/>
  <c r="AG17" i="88"/>
  <c r="BH16" i="88"/>
  <c r="BE16" i="88"/>
  <c r="BD16" i="88"/>
  <c r="BC16" i="88"/>
  <c r="AU16" i="88"/>
  <c r="AS16" i="88"/>
  <c r="AQ16" i="88"/>
  <c r="AO16" i="88"/>
  <c r="AL16" i="88"/>
  <c r="AH16" i="88"/>
  <c r="AG16" i="88"/>
  <c r="BL15" i="88"/>
  <c r="BJ15" i="88"/>
  <c r="H15" i="88" s="1"/>
  <c r="BF15" i="88" s="1"/>
  <c r="BH15" i="88"/>
  <c r="BE15" i="88"/>
  <c r="BD15" i="88"/>
  <c r="BC15" i="88"/>
  <c r="BA15" i="88"/>
  <c r="AU15" i="88"/>
  <c r="AS15" i="88"/>
  <c r="AQ15" i="88"/>
  <c r="AO15" i="88"/>
  <c r="AL15" i="88"/>
  <c r="AH15" i="88"/>
  <c r="AN15" i="88" s="1"/>
  <c r="AG15" i="88"/>
  <c r="G15" i="88"/>
  <c r="BB15" i="88" s="1"/>
  <c r="B15" i="88"/>
  <c r="BJ14" i="88"/>
  <c r="H14" i="88" s="1"/>
  <c r="BF14" i="88" s="1"/>
  <c r="BH14" i="88"/>
  <c r="BE14" i="88"/>
  <c r="BD14" i="88"/>
  <c r="BC14" i="88"/>
  <c r="AU14" i="88"/>
  <c r="AS14" i="88"/>
  <c r="AQ14" i="88"/>
  <c r="AO14" i="88"/>
  <c r="AL14" i="88"/>
  <c r="AH14" i="88"/>
  <c r="AN14" i="88" s="1"/>
  <c r="AG14" i="88"/>
  <c r="G14" i="88"/>
  <c r="BB14" i="88" s="1"/>
  <c r="B14" i="88"/>
  <c r="BH13" i="88"/>
  <c r="BE13" i="88"/>
  <c r="BD13" i="88"/>
  <c r="BC13" i="88"/>
  <c r="AU13" i="88"/>
  <c r="AS13" i="88"/>
  <c r="AQ13" i="88"/>
  <c r="AL13" i="88"/>
  <c r="AH13" i="88"/>
  <c r="AN13" i="88" s="1"/>
  <c r="AG13" i="88"/>
  <c r="BH12" i="88"/>
  <c r="BE12" i="88"/>
  <c r="BD12" i="88"/>
  <c r="BC12" i="88"/>
  <c r="AU12" i="88"/>
  <c r="AS12" i="88"/>
  <c r="AI12" i="88" s="1"/>
  <c r="C12" i="88" s="1"/>
  <c r="AQ12" i="88"/>
  <c r="AL12" i="88"/>
  <c r="AH12" i="88"/>
  <c r="AG12" i="88"/>
  <c r="BL11" i="88"/>
  <c r="BH11" i="88"/>
  <c r="BE11" i="88"/>
  <c r="BD11" i="88"/>
  <c r="BC11" i="88"/>
  <c r="BA11" i="88"/>
  <c r="AU11" i="88"/>
  <c r="AS11" i="88"/>
  <c r="AQ11" i="88"/>
  <c r="AI11" i="88" s="1"/>
  <c r="C11" i="88" s="1"/>
  <c r="AL11" i="88"/>
  <c r="AH11" i="88"/>
  <c r="AN11" i="88" s="1"/>
  <c r="AG11" i="88"/>
  <c r="G11" i="88"/>
  <c r="BB11" i="88" s="1"/>
  <c r="BH10" i="88"/>
  <c r="BE10" i="88"/>
  <c r="BD10" i="88"/>
  <c r="BC10" i="88"/>
  <c r="BC4" i="88" s="1"/>
  <c r="AU10" i="88"/>
  <c r="AS10" i="88"/>
  <c r="AQ10" i="88"/>
  <c r="AL10" i="88"/>
  <c r="AH10" i="88"/>
  <c r="AN10" i="88" s="1"/>
  <c r="AG10" i="88"/>
  <c r="G10" i="88"/>
  <c r="BB10" i="88" s="1"/>
  <c r="BH9" i="88"/>
  <c r="BE9" i="88"/>
  <c r="BD9" i="88"/>
  <c r="BC9" i="88"/>
  <c r="AU9" i="88"/>
  <c r="AU41" i="88" s="1"/>
  <c r="AS9" i="88"/>
  <c r="AQ9" i="88"/>
  <c r="AL9" i="88"/>
  <c r="AH9" i="88"/>
  <c r="AN9" i="88" s="1"/>
  <c r="AG9" i="88"/>
  <c r="BJ8" i="88"/>
  <c r="H8" i="88" s="1"/>
  <c r="BF8" i="88" s="1"/>
  <c r="BH8" i="88"/>
  <c r="BE8" i="88"/>
  <c r="BD8" i="88"/>
  <c r="BD4" i="88" s="1"/>
  <c r="BC8" i="88"/>
  <c r="AU8" i="88"/>
  <c r="AV43" i="88" s="1"/>
  <c r="AS8" i="88"/>
  <c r="AS41" i="88" s="1"/>
  <c r="AQ8" i="88"/>
  <c r="AQ41" i="88" s="1"/>
  <c r="AL8" i="88"/>
  <c r="AJ8" i="88"/>
  <c r="AH8" i="88"/>
  <c r="AN8" i="88" s="1"/>
  <c r="AG8" i="88"/>
  <c r="B8" i="88"/>
  <c r="AV6" i="88"/>
  <c r="U48" i="87"/>
  <c r="BE43" i="87"/>
  <c r="AT43" i="87"/>
  <c r="AT44" i="87" s="1"/>
  <c r="BN39" i="87"/>
  <c r="BK39" i="87"/>
  <c r="I39" i="87" s="1"/>
  <c r="BJ39" i="87"/>
  <c r="H39" i="87" s="1"/>
  <c r="BF39" i="87" s="1"/>
  <c r="BI39" i="87"/>
  <c r="AK39" i="87" s="1"/>
  <c r="AM39" i="87" s="1"/>
  <c r="BH39" i="87"/>
  <c r="G39" i="87" s="1"/>
  <c r="BG39" i="87"/>
  <c r="BE39" i="87"/>
  <c r="BD39" i="87"/>
  <c r="BC39" i="87"/>
  <c r="BB39" i="87"/>
  <c r="BA39" i="87"/>
  <c r="AZ39" i="87"/>
  <c r="AY39" i="87"/>
  <c r="AX39" i="87"/>
  <c r="AW39" i="87"/>
  <c r="AU39" i="87"/>
  <c r="AT39" i="87"/>
  <c r="AS39" i="87"/>
  <c r="AR39" i="87"/>
  <c r="AV39" i="87" s="1"/>
  <c r="AQ39" i="87"/>
  <c r="AP39" i="87"/>
  <c r="AO39" i="87"/>
  <c r="AL39" i="87"/>
  <c r="AJ39" i="87"/>
  <c r="AI39" i="87"/>
  <c r="AH39" i="87"/>
  <c r="AN39" i="87" s="1"/>
  <c r="AG39" i="87"/>
  <c r="C39" i="87"/>
  <c r="B39" i="87"/>
  <c r="BN38" i="87"/>
  <c r="BL38" i="87"/>
  <c r="BK38" i="87"/>
  <c r="I38" i="87" s="1"/>
  <c r="BJ38" i="87"/>
  <c r="H38" i="87" s="1"/>
  <c r="BF38" i="87" s="1"/>
  <c r="BI38" i="87"/>
  <c r="BM38" i="87" s="1"/>
  <c r="BH38" i="87"/>
  <c r="G38" i="87" s="1"/>
  <c r="BG38" i="87"/>
  <c r="BE38" i="87"/>
  <c r="BD38" i="87"/>
  <c r="BC38" i="87"/>
  <c r="BB38" i="87"/>
  <c r="BA38" i="87"/>
  <c r="AZ38" i="87"/>
  <c r="AY38" i="87"/>
  <c r="AX38" i="87"/>
  <c r="AW38" i="87"/>
  <c r="AU38" i="87"/>
  <c r="AT38" i="87"/>
  <c r="AS38" i="87"/>
  <c r="AR38" i="87"/>
  <c r="AV38" i="87" s="1"/>
  <c r="AQ38" i="87"/>
  <c r="AP38" i="87"/>
  <c r="AO38" i="87"/>
  <c r="AL38" i="87"/>
  <c r="AJ38" i="87"/>
  <c r="AI38" i="87"/>
  <c r="AH38" i="87"/>
  <c r="AN38" i="87" s="1"/>
  <c r="AG38" i="87"/>
  <c r="C38" i="87"/>
  <c r="B38" i="87"/>
  <c r="BN37" i="87"/>
  <c r="BK37" i="87"/>
  <c r="I37" i="87" s="1"/>
  <c r="BJ37" i="87"/>
  <c r="H37" i="87" s="1"/>
  <c r="BF37" i="87" s="1"/>
  <c r="BI37" i="87"/>
  <c r="BM37" i="87" s="1"/>
  <c r="BH37" i="87"/>
  <c r="BL37" i="87" s="1"/>
  <c r="BG37" i="87"/>
  <c r="BE37" i="87"/>
  <c r="BD37" i="87"/>
  <c r="BC37" i="87"/>
  <c r="BB37" i="87"/>
  <c r="BA37" i="87"/>
  <c r="AZ37" i="87"/>
  <c r="AY37" i="87"/>
  <c r="AX37" i="87"/>
  <c r="AW37" i="87"/>
  <c r="AU37" i="87"/>
  <c r="AT37" i="87"/>
  <c r="AS37" i="87"/>
  <c r="AR37" i="87"/>
  <c r="AV37" i="87" s="1"/>
  <c r="AQ37" i="87"/>
  <c r="AP37" i="87"/>
  <c r="AO37" i="87"/>
  <c r="AL37" i="87"/>
  <c r="AJ37" i="87"/>
  <c r="AI37" i="87"/>
  <c r="AH37" i="87"/>
  <c r="AN37" i="87" s="1"/>
  <c r="AG37" i="87"/>
  <c r="G37" i="87"/>
  <c r="C37" i="87"/>
  <c r="B37" i="87"/>
  <c r="BN36" i="87"/>
  <c r="BL36" i="87"/>
  <c r="BK36" i="87"/>
  <c r="I36" i="87" s="1"/>
  <c r="BJ36" i="87"/>
  <c r="H36" i="87" s="1"/>
  <c r="BF36" i="87" s="1"/>
  <c r="BI36" i="87"/>
  <c r="BM36" i="87" s="1"/>
  <c r="BH36" i="87"/>
  <c r="BG36" i="87"/>
  <c r="BE36" i="87"/>
  <c r="BD36" i="87"/>
  <c r="BC36" i="87"/>
  <c r="BB36" i="87"/>
  <c r="BA36" i="87"/>
  <c r="AZ36" i="87"/>
  <c r="AY36" i="87"/>
  <c r="AX36" i="87"/>
  <c r="AW36" i="87"/>
  <c r="AU36" i="87"/>
  <c r="AT36" i="87"/>
  <c r="AS36" i="87"/>
  <c r="AR36" i="87"/>
  <c r="AV36" i="87" s="1"/>
  <c r="AQ36" i="87"/>
  <c r="AP36" i="87"/>
  <c r="AO36" i="87"/>
  <c r="AL36" i="87"/>
  <c r="AJ36" i="87"/>
  <c r="AI36" i="87"/>
  <c r="AH36" i="87"/>
  <c r="AN36" i="87" s="1"/>
  <c r="AG36" i="87"/>
  <c r="G36" i="87"/>
  <c r="C36" i="87"/>
  <c r="B36" i="87"/>
  <c r="BN35" i="87"/>
  <c r="BK35" i="87"/>
  <c r="I35" i="87" s="1"/>
  <c r="BJ35" i="87"/>
  <c r="H35" i="87" s="1"/>
  <c r="BF35" i="87" s="1"/>
  <c r="BI35" i="87"/>
  <c r="AK35" i="87" s="1"/>
  <c r="AM35" i="87" s="1"/>
  <c r="BH35" i="87"/>
  <c r="G35" i="87" s="1"/>
  <c r="BG35" i="87"/>
  <c r="BE35" i="87"/>
  <c r="BD35" i="87"/>
  <c r="BC35" i="87"/>
  <c r="BB35" i="87"/>
  <c r="BA35" i="87"/>
  <c r="AZ35" i="87"/>
  <c r="AY35" i="87"/>
  <c r="AX35" i="87"/>
  <c r="AW35" i="87"/>
  <c r="AU35" i="87"/>
  <c r="AT35" i="87"/>
  <c r="AS35" i="87"/>
  <c r="AR35" i="87"/>
  <c r="AV35" i="87" s="1"/>
  <c r="AQ35" i="87"/>
  <c r="AP35" i="87"/>
  <c r="AO35" i="87"/>
  <c r="AL35" i="87"/>
  <c r="AJ35" i="87"/>
  <c r="AI35" i="87"/>
  <c r="AH35" i="87"/>
  <c r="AN35" i="87" s="1"/>
  <c r="AG35" i="87"/>
  <c r="C35" i="87"/>
  <c r="B35" i="87"/>
  <c r="BN34" i="87"/>
  <c r="BL34" i="87"/>
  <c r="BK34" i="87"/>
  <c r="I34" i="87" s="1"/>
  <c r="BJ34" i="87"/>
  <c r="H34" i="87" s="1"/>
  <c r="BF34" i="87" s="1"/>
  <c r="BI34" i="87"/>
  <c r="BM34" i="87" s="1"/>
  <c r="BH34" i="87"/>
  <c r="G34" i="87" s="1"/>
  <c r="BG34" i="87"/>
  <c r="BE34" i="87"/>
  <c r="BD34" i="87"/>
  <c r="BC34" i="87"/>
  <c r="BB34" i="87"/>
  <c r="BA34" i="87"/>
  <c r="AZ34" i="87"/>
  <c r="AY34" i="87"/>
  <c r="AX34" i="87"/>
  <c r="AW34" i="87"/>
  <c r="AU34" i="87"/>
  <c r="AT34" i="87"/>
  <c r="AS34" i="87"/>
  <c r="AR34" i="87"/>
  <c r="AV34" i="87" s="1"/>
  <c r="AQ34" i="87"/>
  <c r="AP34" i="87"/>
  <c r="AO34" i="87"/>
  <c r="AL34" i="87"/>
  <c r="AJ34" i="87"/>
  <c r="AI34" i="87"/>
  <c r="AH34" i="87"/>
  <c r="AN34" i="87" s="1"/>
  <c r="AG34" i="87"/>
  <c r="C34" i="87"/>
  <c r="B34" i="87"/>
  <c r="BN33" i="87"/>
  <c r="BK33" i="87"/>
  <c r="I33" i="87" s="1"/>
  <c r="BJ33" i="87"/>
  <c r="H33" i="87" s="1"/>
  <c r="BF33" i="87" s="1"/>
  <c r="BI33" i="87"/>
  <c r="AK33" i="87" s="1"/>
  <c r="AM33" i="87" s="1"/>
  <c r="BH33" i="87"/>
  <c r="BL33" i="87" s="1"/>
  <c r="BG33" i="87"/>
  <c r="BE33" i="87"/>
  <c r="BD33" i="87"/>
  <c r="BC33" i="87"/>
  <c r="BB33" i="87"/>
  <c r="BA33" i="87"/>
  <c r="AZ33" i="87"/>
  <c r="AY33" i="87"/>
  <c r="AX33" i="87"/>
  <c r="AW33" i="87"/>
  <c r="AU33" i="87"/>
  <c r="AT33" i="87"/>
  <c r="AS33" i="87"/>
  <c r="AR33" i="87"/>
  <c r="AV33" i="87" s="1"/>
  <c r="AQ33" i="87"/>
  <c r="AP33" i="87"/>
  <c r="AO33" i="87"/>
  <c r="AL33" i="87"/>
  <c r="AJ33" i="87"/>
  <c r="AI33" i="87"/>
  <c r="AH33" i="87"/>
  <c r="AN33" i="87" s="1"/>
  <c r="AG33" i="87"/>
  <c r="G33" i="87"/>
  <c r="C33" i="87"/>
  <c r="B33" i="87"/>
  <c r="BN32" i="87"/>
  <c r="BL32" i="87"/>
  <c r="BK32" i="87"/>
  <c r="I32" i="87" s="1"/>
  <c r="BJ32" i="87"/>
  <c r="H32" i="87" s="1"/>
  <c r="BF32" i="87" s="1"/>
  <c r="BI32" i="87"/>
  <c r="AK32" i="87" s="1"/>
  <c r="AM32" i="87" s="1"/>
  <c r="BH32" i="87"/>
  <c r="BG32" i="87"/>
  <c r="BE32" i="87"/>
  <c r="BD32" i="87"/>
  <c r="BC32" i="87"/>
  <c r="BB32" i="87"/>
  <c r="BA32" i="87"/>
  <c r="AZ32" i="87"/>
  <c r="AY32" i="87"/>
  <c r="AX32" i="87"/>
  <c r="AW32" i="87"/>
  <c r="AU32" i="87"/>
  <c r="AT32" i="87"/>
  <c r="AS32" i="87"/>
  <c r="AR32" i="87"/>
  <c r="AV32" i="87" s="1"/>
  <c r="AQ32" i="87"/>
  <c r="AP32" i="87"/>
  <c r="AO32" i="87"/>
  <c r="AL32" i="87"/>
  <c r="AJ32" i="87"/>
  <c r="AI32" i="87"/>
  <c r="AH32" i="87"/>
  <c r="AN32" i="87" s="1"/>
  <c r="AG32" i="87"/>
  <c r="G32" i="87"/>
  <c r="C32" i="87"/>
  <c r="B32" i="87"/>
  <c r="BN31" i="87"/>
  <c r="BK31" i="87"/>
  <c r="I31" i="87" s="1"/>
  <c r="BJ31" i="87"/>
  <c r="H31" i="87" s="1"/>
  <c r="BF31" i="87" s="1"/>
  <c r="BI31" i="87"/>
  <c r="AK31" i="87" s="1"/>
  <c r="AM31" i="87" s="1"/>
  <c r="BH31" i="87"/>
  <c r="G31" i="87" s="1"/>
  <c r="BG31" i="87"/>
  <c r="BE31" i="87"/>
  <c r="BD31" i="87"/>
  <c r="BC31" i="87"/>
  <c r="BB31" i="87"/>
  <c r="BA31" i="87"/>
  <c r="AZ31" i="87"/>
  <c r="AY31" i="87"/>
  <c r="AX31" i="87"/>
  <c r="AW31" i="87"/>
  <c r="AU31" i="87"/>
  <c r="AT31" i="87"/>
  <c r="AS31" i="87"/>
  <c r="AR31" i="87"/>
  <c r="AV31" i="87" s="1"/>
  <c r="AQ31" i="87"/>
  <c r="AP31" i="87"/>
  <c r="AO31" i="87"/>
  <c r="AL31" i="87"/>
  <c r="AJ31" i="87"/>
  <c r="AI31" i="87"/>
  <c r="AH31" i="87"/>
  <c r="AN31" i="87" s="1"/>
  <c r="AG31" i="87"/>
  <c r="C31" i="87"/>
  <c r="B31" i="87"/>
  <c r="BL30" i="87"/>
  <c r="BH30" i="87"/>
  <c r="BE30" i="87"/>
  <c r="BD30" i="87"/>
  <c r="BC30" i="87"/>
  <c r="AU30" i="87"/>
  <c r="AS30" i="87"/>
  <c r="AQ30" i="87"/>
  <c r="AO30" i="87"/>
  <c r="AL30" i="87"/>
  <c r="AH30" i="87"/>
  <c r="AN30" i="87" s="1"/>
  <c r="AG30" i="87"/>
  <c r="BU29" i="87"/>
  <c r="BT29" i="87"/>
  <c r="BS29" i="87"/>
  <c r="BR29" i="87"/>
  <c r="BQ29" i="87"/>
  <c r="BH29" i="87"/>
  <c r="BE29" i="87"/>
  <c r="BD29" i="87"/>
  <c r="BC29" i="87"/>
  <c r="AU29" i="87"/>
  <c r="AS29" i="87"/>
  <c r="AQ29" i="87"/>
  <c r="AO29" i="87"/>
  <c r="AL29" i="87"/>
  <c r="AH29" i="87"/>
  <c r="AN29" i="87" s="1"/>
  <c r="AG29" i="87"/>
  <c r="BU28" i="87"/>
  <c r="BT28" i="87"/>
  <c r="BS28" i="87"/>
  <c r="BR28" i="87"/>
  <c r="BQ28" i="87"/>
  <c r="BL28" i="87"/>
  <c r="BJ28" i="87"/>
  <c r="H28" i="87" s="1"/>
  <c r="BF28" i="87" s="1"/>
  <c r="BH28" i="87"/>
  <c r="BE28" i="87"/>
  <c r="BD28" i="87"/>
  <c r="BC28" i="87"/>
  <c r="AU28" i="87"/>
  <c r="AS28" i="87"/>
  <c r="AQ28" i="87"/>
  <c r="AO28" i="87"/>
  <c r="AL28" i="87"/>
  <c r="AH28" i="87"/>
  <c r="AN28" i="87" s="1"/>
  <c r="AG28" i="87"/>
  <c r="G28" i="87"/>
  <c r="BB28" i="87" s="1"/>
  <c r="B28" i="87"/>
  <c r="BU27" i="87"/>
  <c r="BT27" i="87"/>
  <c r="BS27" i="87"/>
  <c r="BR27" i="87"/>
  <c r="BQ27" i="87"/>
  <c r="BL27" i="87"/>
  <c r="BH27" i="87"/>
  <c r="BE27" i="87"/>
  <c r="BD27" i="87"/>
  <c r="BC27" i="87"/>
  <c r="AU27" i="87"/>
  <c r="AS27" i="87"/>
  <c r="AQ27" i="87"/>
  <c r="AO27" i="87"/>
  <c r="AL27" i="87"/>
  <c r="AH27" i="87"/>
  <c r="AN27" i="87" s="1"/>
  <c r="AG27" i="87"/>
  <c r="BU26" i="87"/>
  <c r="BT26" i="87"/>
  <c r="BS26" i="87"/>
  <c r="BR26" i="87"/>
  <c r="BQ26" i="87"/>
  <c r="BH26" i="87"/>
  <c r="BE26" i="87"/>
  <c r="BD26" i="87"/>
  <c r="BC26" i="87"/>
  <c r="AU26" i="87"/>
  <c r="AS26" i="87"/>
  <c r="AQ26" i="87"/>
  <c r="AO26" i="87"/>
  <c r="AL26" i="87"/>
  <c r="AH26" i="87"/>
  <c r="AN26" i="87" s="1"/>
  <c r="AG26" i="87"/>
  <c r="BU25" i="87"/>
  <c r="BT25" i="87"/>
  <c r="BS25" i="87"/>
  <c r="BR25" i="87"/>
  <c r="BQ25" i="87"/>
  <c r="BL25" i="87"/>
  <c r="BH25" i="87"/>
  <c r="BE25" i="87"/>
  <c r="BD25" i="87"/>
  <c r="BC25" i="87"/>
  <c r="AU25" i="87"/>
  <c r="AS25" i="87"/>
  <c r="AQ25" i="87"/>
  <c r="AO25" i="87"/>
  <c r="AL25" i="87"/>
  <c r="AH25" i="87"/>
  <c r="AN25" i="87" s="1"/>
  <c r="AG25" i="87"/>
  <c r="G25" i="87"/>
  <c r="BB25" i="87" s="1"/>
  <c r="BU24" i="87"/>
  <c r="BT24" i="87"/>
  <c r="BS24" i="87"/>
  <c r="BR24" i="87"/>
  <c r="BQ24" i="87"/>
  <c r="BL24" i="87"/>
  <c r="BH24" i="87"/>
  <c r="BE24" i="87"/>
  <c r="BD24" i="87"/>
  <c r="BC24" i="87"/>
  <c r="AU24" i="87"/>
  <c r="AS24" i="87"/>
  <c r="AQ24" i="87"/>
  <c r="AO24" i="87"/>
  <c r="AL24" i="87"/>
  <c r="AH24" i="87"/>
  <c r="AN24" i="87" s="1"/>
  <c r="AG24" i="87"/>
  <c r="BU23" i="87"/>
  <c r="BT23" i="87"/>
  <c r="BS23" i="87"/>
  <c r="BR23" i="87"/>
  <c r="BQ23" i="87"/>
  <c r="BH23" i="87"/>
  <c r="BE23" i="87"/>
  <c r="BD23" i="87"/>
  <c r="BC23" i="87"/>
  <c r="AU23" i="87"/>
  <c r="AS23" i="87"/>
  <c r="AQ23" i="87"/>
  <c r="AO23" i="87"/>
  <c r="AL23" i="87"/>
  <c r="AH23" i="87"/>
  <c r="AN23" i="87" s="1"/>
  <c r="AG23" i="87"/>
  <c r="BU22" i="87"/>
  <c r="BT22" i="87"/>
  <c r="BS22" i="87"/>
  <c r="BR22" i="87"/>
  <c r="BQ22" i="87"/>
  <c r="BL22" i="87"/>
  <c r="BH22" i="87"/>
  <c r="BE22" i="87"/>
  <c r="BD22" i="87"/>
  <c r="BC22" i="87"/>
  <c r="AU22" i="87"/>
  <c r="AS22" i="87"/>
  <c r="AQ22" i="87"/>
  <c r="AO22" i="87"/>
  <c r="AL22" i="87"/>
  <c r="AH22" i="87"/>
  <c r="AN22" i="87" s="1"/>
  <c r="AG22" i="87"/>
  <c r="G22" i="87"/>
  <c r="BB22" i="87" s="1"/>
  <c r="BU21" i="87"/>
  <c r="BT21" i="87"/>
  <c r="BS21" i="87"/>
  <c r="BR21" i="87"/>
  <c r="BQ21" i="87"/>
  <c r="BL21" i="87"/>
  <c r="BH21" i="87"/>
  <c r="BE21" i="87"/>
  <c r="BD21" i="87"/>
  <c r="BC21" i="87"/>
  <c r="AU21" i="87"/>
  <c r="AS21" i="87"/>
  <c r="AQ21" i="87"/>
  <c r="AO21" i="87"/>
  <c r="AL21" i="87"/>
  <c r="AH21" i="87"/>
  <c r="AN21" i="87" s="1"/>
  <c r="AG21" i="87"/>
  <c r="BL20" i="87"/>
  <c r="BK20" i="87"/>
  <c r="I20" i="87" s="1"/>
  <c r="BJ20" i="87"/>
  <c r="H20" i="87" s="1"/>
  <c r="BF20" i="87" s="1"/>
  <c r="BI20" i="87"/>
  <c r="BM20" i="87" s="1"/>
  <c r="BH20" i="87"/>
  <c r="BE20" i="87"/>
  <c r="BD20" i="87"/>
  <c r="BC20" i="87"/>
  <c r="BA20" i="87"/>
  <c r="AY20" i="87"/>
  <c r="AX20" i="87"/>
  <c r="AW20" i="87"/>
  <c r="AU20" i="87"/>
  <c r="AS20" i="87"/>
  <c r="AQ20" i="87"/>
  <c r="AO20" i="87"/>
  <c r="AL20" i="87"/>
  <c r="AH20" i="87"/>
  <c r="AN20" i="87" s="1"/>
  <c r="AG20" i="87"/>
  <c r="G20" i="87"/>
  <c r="BB20" i="87" s="1"/>
  <c r="B20" i="87"/>
  <c r="BL19" i="87"/>
  <c r="BH19" i="87"/>
  <c r="BE19" i="87"/>
  <c r="BD19" i="87"/>
  <c r="BC19" i="87"/>
  <c r="BA19" i="87"/>
  <c r="AU19" i="87"/>
  <c r="AS19" i="87"/>
  <c r="AQ19" i="87"/>
  <c r="AO19" i="87"/>
  <c r="AL19" i="87"/>
  <c r="AH19" i="87"/>
  <c r="AN19" i="87" s="1"/>
  <c r="AG19" i="87"/>
  <c r="G19" i="87"/>
  <c r="BB19" i="87" s="1"/>
  <c r="BH18" i="87"/>
  <c r="BE18" i="87"/>
  <c r="BD18" i="87"/>
  <c r="BC18" i="87"/>
  <c r="AU18" i="87"/>
  <c r="AS18" i="87"/>
  <c r="AQ18" i="87"/>
  <c r="AO18" i="87"/>
  <c r="AL18" i="87"/>
  <c r="AH18" i="87"/>
  <c r="AG18" i="87"/>
  <c r="BL17" i="87"/>
  <c r="BH17" i="87"/>
  <c r="BE17" i="87"/>
  <c r="BD17" i="87"/>
  <c r="BC17" i="87"/>
  <c r="AU17" i="87"/>
  <c r="AS17" i="87"/>
  <c r="AQ17" i="87"/>
  <c r="AO17" i="87"/>
  <c r="AL17" i="87"/>
  <c r="AH17" i="87"/>
  <c r="AN17" i="87" s="1"/>
  <c r="AG17" i="87"/>
  <c r="BL16" i="87"/>
  <c r="BK16" i="87"/>
  <c r="I16" i="87" s="1"/>
  <c r="BI16" i="87"/>
  <c r="BJ16" i="87" s="1"/>
  <c r="H16" i="87" s="1"/>
  <c r="BF16" i="87" s="1"/>
  <c r="BH16" i="87"/>
  <c r="BE16" i="87"/>
  <c r="BD16" i="87"/>
  <c r="BC16" i="87"/>
  <c r="BA16" i="87"/>
  <c r="AY16" i="87"/>
  <c r="AW16" i="87"/>
  <c r="AU16" i="87"/>
  <c r="AS16" i="87"/>
  <c r="AQ16" i="87"/>
  <c r="AO16" i="87"/>
  <c r="AL16" i="87"/>
  <c r="AH16" i="87"/>
  <c r="AN16" i="87" s="1"/>
  <c r="AG16" i="87"/>
  <c r="G16" i="87"/>
  <c r="BB16" i="87" s="1"/>
  <c r="BL15" i="87"/>
  <c r="BJ15" i="87"/>
  <c r="H15" i="87" s="1"/>
  <c r="BF15" i="87" s="1"/>
  <c r="BH15" i="87"/>
  <c r="BE15" i="87"/>
  <c r="BD15" i="87"/>
  <c r="BC15" i="87"/>
  <c r="BA15" i="87"/>
  <c r="AU15" i="87"/>
  <c r="AS15" i="87"/>
  <c r="AQ15" i="87"/>
  <c r="AO15" i="87"/>
  <c r="AL15" i="87"/>
  <c r="AH15" i="87"/>
  <c r="AN15" i="87" s="1"/>
  <c r="AG15" i="87"/>
  <c r="G15" i="87"/>
  <c r="B15" i="87"/>
  <c r="BJ14" i="87"/>
  <c r="H14" i="87" s="1"/>
  <c r="BF14" i="87" s="1"/>
  <c r="BH14" i="87"/>
  <c r="BE14" i="87"/>
  <c r="BD14" i="87"/>
  <c r="BC14" i="87"/>
  <c r="AU14" i="87"/>
  <c r="AS14" i="87"/>
  <c r="AQ14" i="87"/>
  <c r="AO14" i="87"/>
  <c r="AL14" i="87"/>
  <c r="AH14" i="87"/>
  <c r="AN14" i="87" s="1"/>
  <c r="AG14" i="87"/>
  <c r="B14" i="87"/>
  <c r="BL13" i="87"/>
  <c r="BH13" i="87"/>
  <c r="BE13" i="87"/>
  <c r="BD13" i="87"/>
  <c r="BC13" i="87"/>
  <c r="AU13" i="87"/>
  <c r="AS13" i="87"/>
  <c r="AQ13" i="87"/>
  <c r="AL13" i="87"/>
  <c r="AI13" i="87"/>
  <c r="C13" i="87" s="1"/>
  <c r="AH13" i="87"/>
  <c r="AN13" i="87" s="1"/>
  <c r="AG13" i="87"/>
  <c r="BL12" i="87"/>
  <c r="BH12" i="87"/>
  <c r="BE12" i="87"/>
  <c r="BD12" i="87"/>
  <c r="BC12" i="87"/>
  <c r="BA12" i="87"/>
  <c r="AY12" i="87"/>
  <c r="AX12" i="87"/>
  <c r="AW12" i="87"/>
  <c r="AU12" i="87"/>
  <c r="AS12" i="87"/>
  <c r="AQ12" i="87"/>
  <c r="AI12" i="87" s="1"/>
  <c r="C12" i="87" s="1"/>
  <c r="AL12" i="87"/>
  <c r="AH12" i="87"/>
  <c r="AN12" i="87" s="1"/>
  <c r="AG12" i="87"/>
  <c r="BK12" i="87" s="1"/>
  <c r="I12" i="87" s="1"/>
  <c r="G12" i="87"/>
  <c r="BB12" i="87" s="1"/>
  <c r="BL11" i="87"/>
  <c r="BH11" i="87"/>
  <c r="BE11" i="87"/>
  <c r="BD11" i="87"/>
  <c r="BC11" i="87"/>
  <c r="BA11" i="87"/>
  <c r="AU11" i="87"/>
  <c r="AI11" i="87" s="1"/>
  <c r="C11" i="87" s="1"/>
  <c r="AS11" i="87"/>
  <c r="AQ11" i="87"/>
  <c r="AL11" i="87"/>
  <c r="AH11" i="87"/>
  <c r="AN11" i="87" s="1"/>
  <c r="AG11" i="87"/>
  <c r="G11" i="87"/>
  <c r="BB11" i="87" s="1"/>
  <c r="BH10" i="87"/>
  <c r="BE10" i="87"/>
  <c r="BD10" i="87"/>
  <c r="BC10" i="87"/>
  <c r="AU10" i="87"/>
  <c r="AS10" i="87"/>
  <c r="AQ10" i="87"/>
  <c r="AL10" i="87"/>
  <c r="AH10" i="87"/>
  <c r="AN10" i="87" s="1"/>
  <c r="AG10" i="87"/>
  <c r="BL9" i="87"/>
  <c r="BH9" i="87"/>
  <c r="BE9" i="87"/>
  <c r="BD9" i="87"/>
  <c r="BC9" i="87"/>
  <c r="AU9" i="87"/>
  <c r="AU41" i="87" s="1"/>
  <c r="AS9" i="87"/>
  <c r="AQ9" i="87"/>
  <c r="AL9" i="87"/>
  <c r="AJ9" i="87"/>
  <c r="AJ10" i="87" s="1"/>
  <c r="AJ11" i="87" s="1"/>
  <c r="AJ12" i="87" s="1"/>
  <c r="AJ13" i="87" s="1"/>
  <c r="AJ14" i="87" s="1"/>
  <c r="AI9" i="87"/>
  <c r="C9" i="87" s="1"/>
  <c r="AH9" i="87"/>
  <c r="AN9" i="87" s="1"/>
  <c r="AG9" i="87"/>
  <c r="B9" i="87"/>
  <c r="BL8" i="87"/>
  <c r="BK8" i="87"/>
  <c r="I8" i="87" s="1"/>
  <c r="BJ8" i="87"/>
  <c r="H8" i="87" s="1"/>
  <c r="BF8" i="87" s="1"/>
  <c r="BI8" i="87"/>
  <c r="BM8" i="87" s="1"/>
  <c r="BH8" i="87"/>
  <c r="BE8" i="87"/>
  <c r="BD8" i="87"/>
  <c r="BC8" i="87"/>
  <c r="BC4" i="87" s="1"/>
  <c r="BA8" i="87"/>
  <c r="AY8" i="87"/>
  <c r="AX8" i="87"/>
  <c r="AW8" i="87"/>
  <c r="AU8" i="87"/>
  <c r="AS8" i="87"/>
  <c r="AS41" i="87" s="1"/>
  <c r="AQ8" i="87"/>
  <c r="AL8" i="87"/>
  <c r="AJ8" i="87"/>
  <c r="AH8" i="87"/>
  <c r="AN8" i="87" s="1"/>
  <c r="AG8" i="87"/>
  <c r="G8" i="87"/>
  <c r="BB8" i="87" s="1"/>
  <c r="B8" i="87"/>
  <c r="AV6" i="87"/>
  <c r="Q6" i="96" l="1"/>
  <c r="J41" i="96"/>
  <c r="U44" i="96"/>
  <c r="O40" i="96" s="1"/>
  <c r="U45" i="96"/>
  <c r="Q40" i="96" s="1"/>
  <c r="BG10" i="92"/>
  <c r="C14" i="96"/>
  <c r="AI43" i="96"/>
  <c r="AT10" i="92"/>
  <c r="AT41" i="94"/>
  <c r="AM10" i="92"/>
  <c r="AP17" i="96"/>
  <c r="BG17" i="96" s="1"/>
  <c r="B19" i="96"/>
  <c r="AP19" i="96" s="1"/>
  <c r="BG19" i="96" s="1"/>
  <c r="B18" i="96"/>
  <c r="AP18" i="96" s="1"/>
  <c r="BG18" i="96" s="1"/>
  <c r="F41" i="95"/>
  <c r="U47" i="95" s="1"/>
  <c r="U49" i="95" s="1"/>
  <c r="AW4" i="95"/>
  <c r="AP16" i="95"/>
  <c r="BG16" i="95" s="1"/>
  <c r="B18" i="95"/>
  <c r="AP18" i="95" s="1"/>
  <c r="BG18" i="95" s="1"/>
  <c r="AR45" i="95"/>
  <c r="J41" i="95" s="1"/>
  <c r="B19" i="95"/>
  <c r="AM41" i="94"/>
  <c r="F41" i="94" s="1"/>
  <c r="U47" i="94" s="1"/>
  <c r="U49" i="94" s="1"/>
  <c r="AJ20" i="95"/>
  <c r="AM6" i="94"/>
  <c r="J41" i="94" s="1"/>
  <c r="AK8" i="89"/>
  <c r="AM8" i="89" s="1"/>
  <c r="AP8" i="89" s="1"/>
  <c r="BG8" i="89" s="1"/>
  <c r="BG14" i="92"/>
  <c r="AR41" i="94"/>
  <c r="AZ11" i="90"/>
  <c r="AP10" i="93"/>
  <c r="BG10" i="93" s="1"/>
  <c r="AJ26" i="94"/>
  <c r="AI25" i="94"/>
  <c r="C25" i="94" s="1"/>
  <c r="AM9" i="90"/>
  <c r="B18" i="94"/>
  <c r="AP18" i="94" s="1"/>
  <c r="BG18" i="94" s="1"/>
  <c r="AZ4" i="93"/>
  <c r="AM13" i="93"/>
  <c r="AT13" i="93"/>
  <c r="AR13" i="93"/>
  <c r="AV13" i="93" s="1"/>
  <c r="AT29" i="93"/>
  <c r="AR29" i="93"/>
  <c r="AV29" i="93" s="1"/>
  <c r="AM29" i="93"/>
  <c r="AP29" i="93" s="1"/>
  <c r="BG29" i="93" s="1"/>
  <c r="AM21" i="93"/>
  <c r="AT21" i="93"/>
  <c r="AR21" i="93"/>
  <c r="AV21" i="93" s="1"/>
  <c r="AX21" i="93"/>
  <c r="AM30" i="93"/>
  <c r="AT30" i="93"/>
  <c r="AR30" i="93"/>
  <c r="AV30" i="93" s="1"/>
  <c r="AX30" i="93"/>
  <c r="AT18" i="93"/>
  <c r="AM18" i="93"/>
  <c r="AR18" i="93"/>
  <c r="AV18" i="93" s="1"/>
  <c r="AX18" i="93"/>
  <c r="AT26" i="93"/>
  <c r="AM26" i="93"/>
  <c r="AR26" i="93"/>
  <c r="AV26" i="93" s="1"/>
  <c r="AX26" i="93"/>
  <c r="AT31" i="93"/>
  <c r="AM31" i="93"/>
  <c r="AR31" i="93"/>
  <c r="AV31" i="93" s="1"/>
  <c r="AX31" i="93"/>
  <c r="AM14" i="93"/>
  <c r="AP14" i="93" s="1"/>
  <c r="BG14" i="93" s="1"/>
  <c r="AR14" i="93"/>
  <c r="AV14" i="93" s="1"/>
  <c r="AT14" i="93"/>
  <c r="AJ20" i="93"/>
  <c r="AP11" i="93"/>
  <c r="BG11" i="93" s="1"/>
  <c r="B12" i="93"/>
  <c r="AT23" i="93"/>
  <c r="AM23" i="93"/>
  <c r="AR23" i="93"/>
  <c r="AV23" i="93" s="1"/>
  <c r="AX23" i="93"/>
  <c r="AM24" i="93"/>
  <c r="AT24" i="93"/>
  <c r="AR24" i="93"/>
  <c r="AV24" i="93" s="1"/>
  <c r="AX24" i="93"/>
  <c r="AM11" i="93"/>
  <c r="AT11" i="93"/>
  <c r="AR11" i="93"/>
  <c r="AV11" i="93" s="1"/>
  <c r="AM10" i="93"/>
  <c r="AT10" i="93"/>
  <c r="AR10" i="93"/>
  <c r="AM17" i="93"/>
  <c r="AT17" i="93"/>
  <c r="AR17" i="93"/>
  <c r="AV17" i="93" s="1"/>
  <c r="AX17" i="93"/>
  <c r="AM27" i="93"/>
  <c r="AT27" i="93"/>
  <c r="AR27" i="93"/>
  <c r="AV27" i="93" s="1"/>
  <c r="AX27" i="93"/>
  <c r="AR15" i="92"/>
  <c r="AV15" i="92" s="1"/>
  <c r="AM15" i="92"/>
  <c r="AP15" i="92" s="1"/>
  <c r="BG15" i="92" s="1"/>
  <c r="AT15" i="92"/>
  <c r="BJ9" i="92"/>
  <c r="H9" i="92" s="1"/>
  <c r="BM9" i="92"/>
  <c r="AK9" i="92"/>
  <c r="BN9" i="92"/>
  <c r="AP11" i="92"/>
  <c r="BG11" i="92" s="1"/>
  <c r="B12" i="92"/>
  <c r="AR19" i="92"/>
  <c r="AV19" i="92" s="1"/>
  <c r="AT19" i="92"/>
  <c r="AM19" i="92"/>
  <c r="AX19" i="92"/>
  <c r="AT8" i="92"/>
  <c r="AR8" i="92"/>
  <c r="AM8" i="92"/>
  <c r="BJ17" i="92"/>
  <c r="H17" i="92" s="1"/>
  <c r="BF17" i="92" s="1"/>
  <c r="AK17" i="92"/>
  <c r="BM17" i="92"/>
  <c r="BN17" i="92"/>
  <c r="I9" i="92"/>
  <c r="AO9" i="92"/>
  <c r="BJ29" i="92"/>
  <c r="H29" i="92" s="1"/>
  <c r="BF29" i="92" s="1"/>
  <c r="AK29" i="92"/>
  <c r="BM29" i="92"/>
  <c r="BN29" i="92"/>
  <c r="AT12" i="92"/>
  <c r="AR12" i="92"/>
  <c r="AV12" i="92" s="1"/>
  <c r="AM12" i="92"/>
  <c r="AN12" i="89"/>
  <c r="BJ30" i="92"/>
  <c r="H30" i="92" s="1"/>
  <c r="BF30" i="92" s="1"/>
  <c r="AK30" i="92"/>
  <c r="BM30" i="92"/>
  <c r="BN30" i="92"/>
  <c r="BJ21" i="92"/>
  <c r="H21" i="92" s="1"/>
  <c r="BF21" i="92" s="1"/>
  <c r="AK21" i="92"/>
  <c r="BM21" i="92"/>
  <c r="BN21" i="92"/>
  <c r="AY4" i="92"/>
  <c r="BJ26" i="92"/>
  <c r="H26" i="92" s="1"/>
  <c r="BF26" i="92" s="1"/>
  <c r="AK26" i="92"/>
  <c r="BN26" i="92"/>
  <c r="BM26" i="92"/>
  <c r="BJ24" i="92"/>
  <c r="H24" i="92" s="1"/>
  <c r="BF24" i="92" s="1"/>
  <c r="AK24" i="92"/>
  <c r="BM24" i="92"/>
  <c r="BN24" i="92"/>
  <c r="AJ16" i="92"/>
  <c r="AK27" i="92"/>
  <c r="BM27" i="92"/>
  <c r="BN27" i="92"/>
  <c r="BJ23" i="92"/>
  <c r="H23" i="92" s="1"/>
  <c r="BF23" i="92" s="1"/>
  <c r="AK23" i="92"/>
  <c r="BN23" i="92"/>
  <c r="BM23" i="92"/>
  <c r="BB4" i="92"/>
  <c r="BJ13" i="92"/>
  <c r="H13" i="92" s="1"/>
  <c r="BF13" i="92" s="1"/>
  <c r="BM13" i="92"/>
  <c r="AK13" i="92"/>
  <c r="BN13" i="92"/>
  <c r="I13" i="92"/>
  <c r="AO13" i="92"/>
  <c r="AN22" i="89"/>
  <c r="BJ16" i="92"/>
  <c r="H16" i="92" s="1"/>
  <c r="BF16" i="92" s="1"/>
  <c r="AK16" i="92"/>
  <c r="BM16" i="92"/>
  <c r="BN16" i="92"/>
  <c r="AZ23" i="92"/>
  <c r="AR11" i="92"/>
  <c r="AV11" i="92" s="1"/>
  <c r="AT11" i="92"/>
  <c r="AM11" i="92"/>
  <c r="AT20" i="92"/>
  <c r="AR20" i="92"/>
  <c r="AV20" i="92" s="1"/>
  <c r="AM20" i="92"/>
  <c r="AP20" i="92" s="1"/>
  <c r="BG20" i="92" s="1"/>
  <c r="AV44" i="89"/>
  <c r="B16" i="91"/>
  <c r="AK9" i="91"/>
  <c r="BJ9" i="91"/>
  <c r="H9" i="91" s="1"/>
  <c r="AO9" i="91"/>
  <c r="BN9" i="91"/>
  <c r="BM9" i="91"/>
  <c r="AY4" i="91"/>
  <c r="AR9" i="90"/>
  <c r="AV9" i="90" s="1"/>
  <c r="AT10" i="91"/>
  <c r="AM10" i="91"/>
  <c r="AR10" i="91"/>
  <c r="AV10" i="91" s="1"/>
  <c r="AK13" i="91"/>
  <c r="BJ13" i="91"/>
  <c r="H13" i="91" s="1"/>
  <c r="BN13" i="91"/>
  <c r="BM13" i="91"/>
  <c r="AT18" i="91"/>
  <c r="AR18" i="91"/>
  <c r="AV18" i="91" s="1"/>
  <c r="AM18" i="91"/>
  <c r="AP18" i="91" s="1"/>
  <c r="BG18" i="91" s="1"/>
  <c r="AR11" i="91"/>
  <c r="AV11" i="91" s="1"/>
  <c r="AT11" i="91"/>
  <c r="AM11" i="91"/>
  <c r="AP11" i="91" s="1"/>
  <c r="BG11" i="91" s="1"/>
  <c r="AK12" i="91"/>
  <c r="BN12" i="91"/>
  <c r="BM12" i="91"/>
  <c r="BJ17" i="91"/>
  <c r="H17" i="91" s="1"/>
  <c r="BF17" i="91" s="1"/>
  <c r="AK17" i="91"/>
  <c r="BN17" i="91"/>
  <c r="BM17" i="91"/>
  <c r="BA4" i="91"/>
  <c r="AR15" i="91"/>
  <c r="AV15" i="91" s="1"/>
  <c r="AT15" i="91"/>
  <c r="AM15" i="91"/>
  <c r="AP15" i="91" s="1"/>
  <c r="BG15" i="91" s="1"/>
  <c r="BB4" i="91"/>
  <c r="AN6" i="90"/>
  <c r="BJ22" i="91"/>
  <c r="H22" i="91" s="1"/>
  <c r="BF22" i="91" s="1"/>
  <c r="AK22" i="91"/>
  <c r="BN22" i="91"/>
  <c r="BM22" i="91"/>
  <c r="BJ21" i="91"/>
  <c r="H21" i="91" s="1"/>
  <c r="BF21" i="91" s="1"/>
  <c r="AK21" i="91"/>
  <c r="BM21" i="91"/>
  <c r="BN21" i="91"/>
  <c r="AP10" i="91"/>
  <c r="BG10" i="91" s="1"/>
  <c r="AZ12" i="91"/>
  <c r="AZ4" i="91" s="1"/>
  <c r="AT14" i="91"/>
  <c r="AR14" i="91"/>
  <c r="AV14" i="91" s="1"/>
  <c r="AM14" i="91"/>
  <c r="AX14" i="91"/>
  <c r="BJ20" i="91"/>
  <c r="H20" i="91" s="1"/>
  <c r="BF20" i="91" s="1"/>
  <c r="AK20" i="91"/>
  <c r="BN20" i="91"/>
  <c r="BM20" i="91"/>
  <c r="AJ12" i="91"/>
  <c r="AR19" i="91"/>
  <c r="AV19" i="91" s="1"/>
  <c r="AT19" i="91"/>
  <c r="AM19" i="91"/>
  <c r="AX19" i="91"/>
  <c r="AP14" i="91"/>
  <c r="BJ16" i="91"/>
  <c r="H16" i="91" s="1"/>
  <c r="BF16" i="91" s="1"/>
  <c r="AK16" i="91"/>
  <c r="BN16" i="91"/>
  <c r="BM16" i="91"/>
  <c r="AO8" i="91"/>
  <c r="AK8" i="91"/>
  <c r="BM8" i="91"/>
  <c r="BN8" i="91"/>
  <c r="BK21" i="90"/>
  <c r="I21" i="90" s="1"/>
  <c r="AY21" i="90"/>
  <c r="AW21" i="90"/>
  <c r="BI21" i="90"/>
  <c r="BB21" i="90"/>
  <c r="BA21" i="90"/>
  <c r="BN12" i="89"/>
  <c r="BG14" i="90"/>
  <c r="AP9" i="90"/>
  <c r="BG9" i="90" s="1"/>
  <c r="BE4" i="89"/>
  <c r="AN28" i="89"/>
  <c r="BB20" i="90"/>
  <c r="AX20" i="90"/>
  <c r="BI20" i="90"/>
  <c r="AZ20" i="90" s="1"/>
  <c r="AW20" i="90"/>
  <c r="AY20" i="90"/>
  <c r="BK20" i="90"/>
  <c r="I20" i="90" s="1"/>
  <c r="BA20" i="90"/>
  <c r="BJ22" i="90"/>
  <c r="H22" i="90" s="1"/>
  <c r="BF22" i="90" s="1"/>
  <c r="AK22" i="90"/>
  <c r="BN22" i="90"/>
  <c r="BM22" i="90"/>
  <c r="BM36" i="89"/>
  <c r="AK37" i="89"/>
  <c r="AM37" i="89" s="1"/>
  <c r="BB16" i="90"/>
  <c r="BI16" i="90"/>
  <c r="AZ16" i="90" s="1"/>
  <c r="AW16" i="90"/>
  <c r="BA16" i="90"/>
  <c r="AY16" i="90"/>
  <c r="BK16" i="90"/>
  <c r="I16" i="90" s="1"/>
  <c r="BB23" i="90"/>
  <c r="BA23" i="90"/>
  <c r="BK23" i="90"/>
  <c r="I23" i="90" s="1"/>
  <c r="AY23" i="90"/>
  <c r="BI23" i="90"/>
  <c r="AZ23" i="90" s="1"/>
  <c r="AW23" i="90"/>
  <c r="AK24" i="90"/>
  <c r="BJ24" i="90"/>
  <c r="H24" i="90" s="1"/>
  <c r="BF24" i="90" s="1"/>
  <c r="BN24" i="90"/>
  <c r="BM24" i="90"/>
  <c r="BN17" i="90"/>
  <c r="BN8" i="89"/>
  <c r="AO10" i="90"/>
  <c r="BJ10" i="90"/>
  <c r="H10" i="90" s="1"/>
  <c r="BF10" i="90" s="1"/>
  <c r="AK10" i="90"/>
  <c r="BN10" i="90"/>
  <c r="BB26" i="90"/>
  <c r="BA26" i="90"/>
  <c r="BK26" i="90"/>
  <c r="I26" i="90" s="1"/>
  <c r="AY26" i="90"/>
  <c r="AW26" i="90"/>
  <c r="BI26" i="90"/>
  <c r="AZ26" i="90" s="1"/>
  <c r="AZ10" i="90"/>
  <c r="BN16" i="89"/>
  <c r="BN20" i="89"/>
  <c r="BM39" i="89"/>
  <c r="E41" i="90"/>
  <c r="AV41" i="90"/>
  <c r="AV45" i="90" s="1"/>
  <c r="Q5" i="90"/>
  <c r="BA19" i="90"/>
  <c r="BK19" i="90"/>
  <c r="I19" i="90" s="1"/>
  <c r="AY19" i="90"/>
  <c r="BI19" i="90"/>
  <c r="AZ19" i="90" s="1"/>
  <c r="AW19" i="90"/>
  <c r="BB19" i="90"/>
  <c r="BJ30" i="90"/>
  <c r="H30" i="90" s="1"/>
  <c r="BF30" i="90" s="1"/>
  <c r="AK30" i="90"/>
  <c r="BN30" i="90"/>
  <c r="BM30" i="90"/>
  <c r="AZ30" i="90"/>
  <c r="BB12" i="90"/>
  <c r="AX12" i="90"/>
  <c r="BI12" i="90"/>
  <c r="AZ12" i="90" s="1"/>
  <c r="AW12" i="90"/>
  <c r="BA12" i="90"/>
  <c r="AY12" i="90"/>
  <c r="BK12" i="90"/>
  <c r="I12" i="90" s="1"/>
  <c r="BA15" i="90"/>
  <c r="BK15" i="90"/>
  <c r="I15" i="90" s="1"/>
  <c r="AY15" i="90"/>
  <c r="AX15" i="90"/>
  <c r="BI15" i="90"/>
  <c r="AZ15" i="90" s="1"/>
  <c r="AW15" i="90"/>
  <c r="BB15" i="90"/>
  <c r="AM17" i="90"/>
  <c r="AT17" i="90"/>
  <c r="AR17" i="90"/>
  <c r="AV17" i="90" s="1"/>
  <c r="AN33" i="88"/>
  <c r="AZ12" i="89"/>
  <c r="AN41" i="90"/>
  <c r="BN28" i="90"/>
  <c r="BM28" i="90"/>
  <c r="BJ28" i="90"/>
  <c r="H28" i="90" s="1"/>
  <c r="BF28" i="90" s="1"/>
  <c r="AK28" i="90"/>
  <c r="BK13" i="90"/>
  <c r="I13" i="90" s="1"/>
  <c r="AY13" i="90"/>
  <c r="AX13" i="90"/>
  <c r="AW13" i="90"/>
  <c r="BI13" i="90"/>
  <c r="AZ13" i="90" s="1"/>
  <c r="BB13" i="90"/>
  <c r="BA13" i="90"/>
  <c r="AK34" i="87"/>
  <c r="AM34" i="87" s="1"/>
  <c r="AN25" i="89"/>
  <c r="BJ27" i="90"/>
  <c r="H27" i="90" s="1"/>
  <c r="BF27" i="90" s="1"/>
  <c r="AK27" i="90"/>
  <c r="BN27" i="90"/>
  <c r="AZ27" i="90"/>
  <c r="BM27" i="90"/>
  <c r="BB8" i="90"/>
  <c r="BI8" i="90"/>
  <c r="AZ8" i="90" s="1"/>
  <c r="AW8" i="90"/>
  <c r="AX8" i="90"/>
  <c r="BA8" i="90"/>
  <c r="AY8" i="90"/>
  <c r="BK8" i="90"/>
  <c r="I8" i="90" s="1"/>
  <c r="I9" i="90"/>
  <c r="BN9" i="90"/>
  <c r="B10" i="90"/>
  <c r="BN11" i="90"/>
  <c r="AO11" i="90"/>
  <c r="BJ11" i="90"/>
  <c r="H11" i="90" s="1"/>
  <c r="BF11" i="90" s="1"/>
  <c r="AK11" i="90"/>
  <c r="AZ16" i="89"/>
  <c r="AZ20" i="89"/>
  <c r="AZ28" i="90"/>
  <c r="BM25" i="90"/>
  <c r="BJ25" i="90"/>
  <c r="H25" i="90" s="1"/>
  <c r="BF25" i="90" s="1"/>
  <c r="AK25" i="90"/>
  <c r="BN25" i="90"/>
  <c r="BB29" i="90"/>
  <c r="BA29" i="90"/>
  <c r="AX29" i="90"/>
  <c r="BK29" i="90"/>
  <c r="I29" i="90" s="1"/>
  <c r="AY29" i="90"/>
  <c r="BI29" i="90"/>
  <c r="AZ29" i="90" s="1"/>
  <c r="AW29" i="90"/>
  <c r="AJ16" i="90"/>
  <c r="AJ17" i="90" s="1"/>
  <c r="AJ18" i="90" s="1"/>
  <c r="AJ19" i="90" s="1"/>
  <c r="AJ20" i="90" s="1"/>
  <c r="E41" i="89"/>
  <c r="AV41" i="89"/>
  <c r="AV45" i="89" s="1"/>
  <c r="Q5" i="89"/>
  <c r="AP20" i="89"/>
  <c r="AJ15" i="89"/>
  <c r="AI26" i="89"/>
  <c r="C26" i="89" s="1"/>
  <c r="AI33" i="89"/>
  <c r="C33" i="89" s="1"/>
  <c r="AI16" i="89"/>
  <c r="C16" i="89" s="1"/>
  <c r="AI28" i="89"/>
  <c r="C28" i="89" s="1"/>
  <c r="AI25" i="89"/>
  <c r="C25" i="89" s="1"/>
  <c r="AI22" i="89"/>
  <c r="C22" i="89" s="1"/>
  <c r="AI11" i="89"/>
  <c r="C11" i="89" s="1"/>
  <c r="AI18" i="89"/>
  <c r="C18" i="89" s="1"/>
  <c r="AI27" i="89"/>
  <c r="C27" i="89" s="1"/>
  <c r="AI34" i="89"/>
  <c r="C34" i="89" s="1"/>
  <c r="AI35" i="89"/>
  <c r="C35" i="89" s="1"/>
  <c r="BM16" i="87"/>
  <c r="B9" i="89"/>
  <c r="BL9" i="89"/>
  <c r="BL13" i="89"/>
  <c r="BL17" i="89"/>
  <c r="BL21" i="89"/>
  <c r="BL24" i="89"/>
  <c r="BL27" i="89"/>
  <c r="BL30" i="89"/>
  <c r="AW31" i="89"/>
  <c r="BI31" i="89"/>
  <c r="BM31" i="89" s="1"/>
  <c r="BL34" i="89"/>
  <c r="AW35" i="89"/>
  <c r="BI35" i="89"/>
  <c r="BM35" i="89" s="1"/>
  <c r="BL38" i="89"/>
  <c r="BE4" i="88"/>
  <c r="I8" i="89"/>
  <c r="I12" i="89"/>
  <c r="AR12" i="89"/>
  <c r="AV12" i="89" s="1"/>
  <c r="AR16" i="89"/>
  <c r="AV16" i="89" s="1"/>
  <c r="AR20" i="89"/>
  <c r="AV20" i="89" s="1"/>
  <c r="AW23" i="89"/>
  <c r="BI23" i="89"/>
  <c r="AZ23" i="89" s="1"/>
  <c r="AW26" i="89"/>
  <c r="BI26" i="89"/>
  <c r="AZ26" i="89" s="1"/>
  <c r="AW29" i="89"/>
  <c r="BI29" i="89"/>
  <c r="AZ29" i="89" s="1"/>
  <c r="BM38" i="89"/>
  <c r="BM32" i="87"/>
  <c r="G9" i="89"/>
  <c r="G13" i="89"/>
  <c r="G17" i="89"/>
  <c r="G21" i="89"/>
  <c r="G24" i="89"/>
  <c r="G27" i="89"/>
  <c r="AX29" i="89"/>
  <c r="G30" i="89"/>
  <c r="G34" i="89"/>
  <c r="B10" i="89"/>
  <c r="AW11" i="89"/>
  <c r="BI11" i="89"/>
  <c r="AT12" i="89"/>
  <c r="AW15" i="89"/>
  <c r="BI15" i="89"/>
  <c r="BM15" i="89" s="1"/>
  <c r="AT16" i="89"/>
  <c r="AW19" i="89"/>
  <c r="BI19" i="89"/>
  <c r="AT20" i="89"/>
  <c r="AY23" i="89"/>
  <c r="BK23" i="89"/>
  <c r="I23" i="89" s="1"/>
  <c r="AY26" i="89"/>
  <c r="BK26" i="89"/>
  <c r="I26" i="89" s="1"/>
  <c r="AY29" i="89"/>
  <c r="BK29" i="89"/>
  <c r="I29" i="89" s="1"/>
  <c r="AW32" i="89"/>
  <c r="BI32" i="89"/>
  <c r="BM32" i="89" s="1"/>
  <c r="BL35" i="89"/>
  <c r="BL39" i="89"/>
  <c r="AN12" i="88"/>
  <c r="AX11" i="89"/>
  <c r="AX15" i="89"/>
  <c r="BA31" i="89"/>
  <c r="BA35" i="89"/>
  <c r="G10" i="89"/>
  <c r="AY11" i="89"/>
  <c r="BK11" i="89"/>
  <c r="G14" i="89"/>
  <c r="AY15" i="89"/>
  <c r="BK15" i="89"/>
  <c r="I15" i="89" s="1"/>
  <c r="G18" i="89"/>
  <c r="AY19" i="89"/>
  <c r="BK19" i="89"/>
  <c r="I19" i="89" s="1"/>
  <c r="AW22" i="89"/>
  <c r="BI22" i="89"/>
  <c r="BA23" i="89"/>
  <c r="AW25" i="89"/>
  <c r="BI25" i="89"/>
  <c r="BA26" i="89"/>
  <c r="AW28" i="89"/>
  <c r="BI28" i="89"/>
  <c r="BA29" i="89"/>
  <c r="AY32" i="89"/>
  <c r="BK32" i="89"/>
  <c r="I32" i="89" s="1"/>
  <c r="B11" i="89"/>
  <c r="AK16" i="87"/>
  <c r="AT16" i="87" s="1"/>
  <c r="AK37" i="88"/>
  <c r="AM37" i="88" s="1"/>
  <c r="BA11" i="89"/>
  <c r="BJ12" i="89"/>
  <c r="H12" i="89" s="1"/>
  <c r="BF12" i="89" s="1"/>
  <c r="BA15" i="89"/>
  <c r="AX16" i="89"/>
  <c r="BJ16" i="89"/>
  <c r="H16" i="89" s="1"/>
  <c r="BF16" i="89" s="1"/>
  <c r="BA19" i="89"/>
  <c r="AY22" i="89"/>
  <c r="BK22" i="89"/>
  <c r="I22" i="89" s="1"/>
  <c r="AY25" i="89"/>
  <c r="BK25" i="89"/>
  <c r="I25" i="89" s="1"/>
  <c r="AY28" i="89"/>
  <c r="BK28" i="89"/>
  <c r="I28" i="89" s="1"/>
  <c r="BA32" i="89"/>
  <c r="AV44" i="88"/>
  <c r="AN16" i="88"/>
  <c r="B12" i="89"/>
  <c r="BM8" i="89"/>
  <c r="BM12" i="89"/>
  <c r="BM16" i="89"/>
  <c r="BM20" i="89"/>
  <c r="BM39" i="88"/>
  <c r="G33" i="89"/>
  <c r="BN20" i="87"/>
  <c r="AK20" i="87"/>
  <c r="E41" i="88"/>
  <c r="AV41" i="88"/>
  <c r="Q5" i="88"/>
  <c r="AO8" i="87"/>
  <c r="BN8" i="87"/>
  <c r="AK8" i="87"/>
  <c r="AR8" i="87" s="1"/>
  <c r="AV8" i="87" s="1"/>
  <c r="AO12" i="87"/>
  <c r="BM33" i="87"/>
  <c r="BE4" i="87"/>
  <c r="AN18" i="87"/>
  <c r="AN6" i="87" s="1"/>
  <c r="BI12" i="87"/>
  <c r="AZ12" i="87" s="1"/>
  <c r="AK36" i="87"/>
  <c r="AM36" i="87" s="1"/>
  <c r="AK37" i="87"/>
  <c r="AM37" i="87" s="1"/>
  <c r="AI10" i="88"/>
  <c r="C10" i="88" s="1"/>
  <c r="AI13" i="88"/>
  <c r="C13" i="88" s="1"/>
  <c r="AI9" i="88"/>
  <c r="C9" i="88" s="1"/>
  <c r="AR44" i="88"/>
  <c r="AI22" i="88" s="1"/>
  <c r="C22" i="88" s="1"/>
  <c r="AK38" i="87"/>
  <c r="AM38" i="87" s="1"/>
  <c r="B9" i="88"/>
  <c r="BL9" i="88"/>
  <c r="AW10" i="88"/>
  <c r="BI10" i="88"/>
  <c r="BM10" i="88" s="1"/>
  <c r="BL13" i="88"/>
  <c r="AW14" i="88"/>
  <c r="BI14" i="88"/>
  <c r="AZ14" i="88" s="1"/>
  <c r="BL17" i="88"/>
  <c r="AW18" i="88"/>
  <c r="BI18" i="88"/>
  <c r="BM18" i="88" s="1"/>
  <c r="BL21" i="88"/>
  <c r="BL24" i="88"/>
  <c r="BL27" i="88"/>
  <c r="BL30" i="88"/>
  <c r="AW31" i="88"/>
  <c r="BI31" i="88"/>
  <c r="BM31" i="88" s="1"/>
  <c r="BL34" i="88"/>
  <c r="AW35" i="88"/>
  <c r="BI35" i="88"/>
  <c r="AZ35" i="88" s="1"/>
  <c r="BL38" i="88"/>
  <c r="AX10" i="88"/>
  <c r="AX14" i="88"/>
  <c r="AW23" i="88"/>
  <c r="BI23" i="88"/>
  <c r="AZ23" i="88" s="1"/>
  <c r="AW26" i="88"/>
  <c r="BI26" i="88"/>
  <c r="AZ26" i="88" s="1"/>
  <c r="AW29" i="88"/>
  <c r="BI29" i="88"/>
  <c r="AZ29" i="88" s="1"/>
  <c r="BM38" i="88"/>
  <c r="G9" i="88"/>
  <c r="AY10" i="88"/>
  <c r="BK10" i="88"/>
  <c r="I10" i="88" s="1"/>
  <c r="G13" i="88"/>
  <c r="AY14" i="88"/>
  <c r="BK14" i="88"/>
  <c r="I14" i="88" s="1"/>
  <c r="G17" i="88"/>
  <c r="AY18" i="88"/>
  <c r="BK18" i="88"/>
  <c r="I18" i="88" s="1"/>
  <c r="G21" i="88"/>
  <c r="G24" i="88"/>
  <c r="G27" i="88"/>
  <c r="G30" i="88"/>
  <c r="AY31" i="88"/>
  <c r="BK31" i="88"/>
  <c r="I31" i="88" s="1"/>
  <c r="G34" i="88"/>
  <c r="AY35" i="88"/>
  <c r="BK35" i="88"/>
  <c r="I35" i="88" s="1"/>
  <c r="BN16" i="87"/>
  <c r="B10" i="88"/>
  <c r="BL10" i="88"/>
  <c r="AW11" i="88"/>
  <c r="BI11" i="88"/>
  <c r="BL14" i="88"/>
  <c r="AW15" i="88"/>
  <c r="BI15" i="88"/>
  <c r="AZ15" i="88" s="1"/>
  <c r="BL18" i="88"/>
  <c r="AW19" i="88"/>
  <c r="BI19" i="88"/>
  <c r="AZ19" i="88" s="1"/>
  <c r="AY23" i="88"/>
  <c r="BK23" i="88"/>
  <c r="I23" i="88" s="1"/>
  <c r="AY26" i="88"/>
  <c r="BK26" i="88"/>
  <c r="I26" i="88" s="1"/>
  <c r="AY29" i="88"/>
  <c r="BK29" i="88"/>
  <c r="I29" i="88" s="1"/>
  <c r="BL31" i="88"/>
  <c r="AW32" i="88"/>
  <c r="BI32" i="88"/>
  <c r="BL35" i="88"/>
  <c r="AW36" i="88"/>
  <c r="BI36" i="88"/>
  <c r="BL39" i="88"/>
  <c r="BA10" i="88"/>
  <c r="AX11" i="88"/>
  <c r="BA14" i="88"/>
  <c r="AX15" i="88"/>
  <c r="BA18" i="88"/>
  <c r="BA31" i="88"/>
  <c r="AX32" i="88"/>
  <c r="BA35" i="88"/>
  <c r="AY11" i="88"/>
  <c r="BK11" i="88"/>
  <c r="I11" i="88" s="1"/>
  <c r="AY15" i="88"/>
  <c r="BK15" i="88"/>
  <c r="I15" i="88" s="1"/>
  <c r="AY19" i="88"/>
  <c r="BK19" i="88"/>
  <c r="I19" i="88" s="1"/>
  <c r="AW22" i="88"/>
  <c r="BI22" i="88"/>
  <c r="AZ22" i="88" s="1"/>
  <c r="AW25" i="88"/>
  <c r="BI25" i="88"/>
  <c r="AZ25" i="88" s="1"/>
  <c r="AW28" i="88"/>
  <c r="BI28" i="88"/>
  <c r="AZ28" i="88" s="1"/>
  <c r="AY22" i="88"/>
  <c r="BK22" i="88"/>
  <c r="I22" i="88" s="1"/>
  <c r="AY25" i="88"/>
  <c r="BK25" i="88"/>
  <c r="I25" i="88" s="1"/>
  <c r="AY28" i="88"/>
  <c r="BK28" i="88"/>
  <c r="I28" i="88" s="1"/>
  <c r="AJ9" i="88"/>
  <c r="AJ10" i="88" s="1"/>
  <c r="AJ11" i="88" s="1"/>
  <c r="AJ12" i="88" s="1"/>
  <c r="AJ13" i="88" s="1"/>
  <c r="AJ14" i="88" s="1"/>
  <c r="BL8" i="88"/>
  <c r="BL12" i="88"/>
  <c r="BL16" i="88"/>
  <c r="BL20" i="88"/>
  <c r="BA22" i="88"/>
  <c r="BA25" i="88"/>
  <c r="BA28" i="88"/>
  <c r="BL33" i="88"/>
  <c r="BL37" i="88"/>
  <c r="G8" i="88"/>
  <c r="G12" i="88"/>
  <c r="G16" i="88"/>
  <c r="G20" i="88"/>
  <c r="G33" i="88"/>
  <c r="G23" i="87"/>
  <c r="BL23" i="87"/>
  <c r="AV43" i="87"/>
  <c r="AV44" i="87" s="1"/>
  <c r="E41" i="87"/>
  <c r="AV41" i="87"/>
  <c r="Q5" i="87"/>
  <c r="AJ15" i="87"/>
  <c r="AI25" i="87"/>
  <c r="C25" i="87" s="1"/>
  <c r="AI10" i="87"/>
  <c r="C10" i="87" s="1"/>
  <c r="AR44" i="87"/>
  <c r="AI16" i="87" s="1"/>
  <c r="C16" i="87" s="1"/>
  <c r="BD4" i="87"/>
  <c r="AI22" i="87"/>
  <c r="C22" i="87" s="1"/>
  <c r="AQ41" i="87"/>
  <c r="G9" i="87"/>
  <c r="G13" i="87"/>
  <c r="G17" i="87"/>
  <c r="G21" i="87"/>
  <c r="G24" i="87"/>
  <c r="G27" i="87"/>
  <c r="G30" i="87"/>
  <c r="AW11" i="87"/>
  <c r="BL14" i="87"/>
  <c r="AW15" i="87"/>
  <c r="BI15" i="87"/>
  <c r="AZ15" i="87" s="1"/>
  <c r="BL18" i="87"/>
  <c r="AW19" i="87"/>
  <c r="BI19" i="87"/>
  <c r="AZ19" i="87" s="1"/>
  <c r="BL31" i="87"/>
  <c r="BL35" i="87"/>
  <c r="BL39" i="87"/>
  <c r="AX11" i="87"/>
  <c r="AX15" i="87"/>
  <c r="BL26" i="87"/>
  <c r="BL29" i="87"/>
  <c r="BM31" i="87"/>
  <c r="BM35" i="87"/>
  <c r="BM39" i="87"/>
  <c r="B10" i="87"/>
  <c r="BL10" i="87"/>
  <c r="BI11" i="87"/>
  <c r="AZ11" i="87" s="1"/>
  <c r="G10" i="87"/>
  <c r="AY11" i="87"/>
  <c r="BK11" i="87"/>
  <c r="G14" i="87"/>
  <c r="AY15" i="87"/>
  <c r="BK15" i="87"/>
  <c r="I15" i="87" s="1"/>
  <c r="G18" i="87"/>
  <c r="AY19" i="87"/>
  <c r="BK19" i="87"/>
  <c r="I19" i="87" s="1"/>
  <c r="AW22" i="87"/>
  <c r="BI22" i="87"/>
  <c r="AZ22" i="87" s="1"/>
  <c r="AW25" i="87"/>
  <c r="BI25" i="87"/>
  <c r="AZ25" i="87" s="1"/>
  <c r="AW28" i="87"/>
  <c r="BI28" i="87"/>
  <c r="AZ28" i="87" s="1"/>
  <c r="G26" i="87"/>
  <c r="AX28" i="87"/>
  <c r="G29" i="87"/>
  <c r="AY22" i="87"/>
  <c r="BK22" i="87"/>
  <c r="I22" i="87" s="1"/>
  <c r="AY25" i="87"/>
  <c r="BK25" i="87"/>
  <c r="I25" i="87" s="1"/>
  <c r="AY28" i="87"/>
  <c r="BK28" i="87"/>
  <c r="I28" i="87" s="1"/>
  <c r="BB15" i="87"/>
  <c r="AZ8" i="87"/>
  <c r="AZ16" i="87"/>
  <c r="AZ20" i="87"/>
  <c r="BA22" i="87"/>
  <c r="BA25" i="87"/>
  <c r="BA28" i="87"/>
  <c r="AP8" i="87"/>
  <c r="U48" i="86"/>
  <c r="BE43" i="86"/>
  <c r="AT43" i="86"/>
  <c r="AT44" i="86" s="1"/>
  <c r="BN39" i="86"/>
  <c r="BL39" i="86"/>
  <c r="BK39" i="86"/>
  <c r="I39" i="86" s="1"/>
  <c r="BJ39" i="86"/>
  <c r="H39" i="86" s="1"/>
  <c r="BF39" i="86" s="1"/>
  <c r="BI39" i="86"/>
  <c r="BM39" i="86" s="1"/>
  <c r="BH39" i="86"/>
  <c r="BG39" i="86"/>
  <c r="BE39" i="86"/>
  <c r="BD39" i="86"/>
  <c r="BC39" i="86"/>
  <c r="BB39" i="86"/>
  <c r="BA39" i="86"/>
  <c r="AZ39" i="86"/>
  <c r="AY39" i="86"/>
  <c r="AX39" i="86"/>
  <c r="AW39" i="86"/>
  <c r="AU39" i="86"/>
  <c r="AT39" i="86"/>
  <c r="AS39" i="86"/>
  <c r="AR39" i="86"/>
  <c r="AV39" i="86" s="1"/>
  <c r="AQ39" i="86"/>
  <c r="AP39" i="86"/>
  <c r="AO39" i="86"/>
  <c r="AL39" i="86"/>
  <c r="AJ39" i="86"/>
  <c r="AI39" i="86"/>
  <c r="AH39" i="86"/>
  <c r="AN39" i="86" s="1"/>
  <c r="AG39" i="86"/>
  <c r="G39" i="86"/>
  <c r="C39" i="86"/>
  <c r="B39" i="86"/>
  <c r="BN38" i="86"/>
  <c r="BK38" i="86"/>
  <c r="I38" i="86" s="1"/>
  <c r="BJ38" i="86"/>
  <c r="H38" i="86" s="1"/>
  <c r="BF38" i="86" s="1"/>
  <c r="BI38" i="86"/>
  <c r="AK38" i="86" s="1"/>
  <c r="AM38" i="86" s="1"/>
  <c r="BH38" i="86"/>
  <c r="G38" i="86" s="1"/>
  <c r="BG38" i="86"/>
  <c r="BE38" i="86"/>
  <c r="BD38" i="86"/>
  <c r="BC38" i="86"/>
  <c r="BB38" i="86"/>
  <c r="BA38" i="86"/>
  <c r="AZ38" i="86"/>
  <c r="AY38" i="86"/>
  <c r="AX38" i="86"/>
  <c r="AW38" i="86"/>
  <c r="AU38" i="86"/>
  <c r="AT38" i="86"/>
  <c r="AS38" i="86"/>
  <c r="AR38" i="86"/>
  <c r="AV38" i="86" s="1"/>
  <c r="AQ38" i="86"/>
  <c r="AP38" i="86"/>
  <c r="AO38" i="86"/>
  <c r="AL38" i="86"/>
  <c r="AJ38" i="86"/>
  <c r="AI38" i="86"/>
  <c r="AH38" i="86"/>
  <c r="AN38" i="86" s="1"/>
  <c r="AG38" i="86"/>
  <c r="C38" i="86"/>
  <c r="B38" i="86"/>
  <c r="BN37" i="86"/>
  <c r="BL37" i="86"/>
  <c r="BK37" i="86"/>
  <c r="I37" i="86" s="1"/>
  <c r="BJ37" i="86"/>
  <c r="H37" i="86" s="1"/>
  <c r="BF37" i="86" s="1"/>
  <c r="BI37" i="86"/>
  <c r="BM37" i="86" s="1"/>
  <c r="BH37" i="86"/>
  <c r="G37" i="86" s="1"/>
  <c r="BG37" i="86"/>
  <c r="BE37" i="86"/>
  <c r="BD37" i="86"/>
  <c r="BC37" i="86"/>
  <c r="BB37" i="86"/>
  <c r="BA37" i="86"/>
  <c r="AZ37" i="86"/>
  <c r="AY37" i="86"/>
  <c r="AX37" i="86"/>
  <c r="AW37" i="86"/>
  <c r="AU37" i="86"/>
  <c r="AT37" i="86"/>
  <c r="AS37" i="86"/>
  <c r="AR37" i="86"/>
  <c r="AV37" i="86" s="1"/>
  <c r="AQ37" i="86"/>
  <c r="AP37" i="86"/>
  <c r="AO37" i="86"/>
  <c r="AL37" i="86"/>
  <c r="AJ37" i="86"/>
  <c r="AI37" i="86"/>
  <c r="AH37" i="86"/>
  <c r="AN37" i="86" s="1"/>
  <c r="AG37" i="86"/>
  <c r="C37" i="86"/>
  <c r="B37" i="86"/>
  <c r="BN36" i="86"/>
  <c r="BL36" i="86"/>
  <c r="BK36" i="86"/>
  <c r="I36" i="86" s="1"/>
  <c r="BJ36" i="86"/>
  <c r="H36" i="86" s="1"/>
  <c r="BF36" i="86" s="1"/>
  <c r="BI36" i="86"/>
  <c r="BM36" i="86" s="1"/>
  <c r="BH36" i="86"/>
  <c r="BG36" i="86"/>
  <c r="BE36" i="86"/>
  <c r="BD36" i="86"/>
  <c r="BC36" i="86"/>
  <c r="BB36" i="86"/>
  <c r="BA36" i="86"/>
  <c r="AZ36" i="86"/>
  <c r="AY36" i="86"/>
  <c r="AX36" i="86"/>
  <c r="AW36" i="86"/>
  <c r="AU36" i="86"/>
  <c r="AT36" i="86"/>
  <c r="AS36" i="86"/>
  <c r="AR36" i="86"/>
  <c r="AV36" i="86" s="1"/>
  <c r="AQ36" i="86"/>
  <c r="AP36" i="86"/>
  <c r="AO36" i="86"/>
  <c r="AL36" i="86"/>
  <c r="AJ36" i="86"/>
  <c r="AI36" i="86"/>
  <c r="AH36" i="86"/>
  <c r="AN36" i="86" s="1"/>
  <c r="AG36" i="86"/>
  <c r="G36" i="86"/>
  <c r="C36" i="86"/>
  <c r="B36" i="86"/>
  <c r="BN35" i="86"/>
  <c r="BL35" i="86"/>
  <c r="BK35" i="86"/>
  <c r="I35" i="86" s="1"/>
  <c r="BJ35" i="86"/>
  <c r="H35" i="86" s="1"/>
  <c r="BF35" i="86" s="1"/>
  <c r="BI35" i="86"/>
  <c r="BM35" i="86" s="1"/>
  <c r="BH35" i="86"/>
  <c r="BG35" i="86"/>
  <c r="BE35" i="86"/>
  <c r="BD35" i="86"/>
  <c r="BC35" i="86"/>
  <c r="BB35" i="86"/>
  <c r="BA35" i="86"/>
  <c r="AZ35" i="86"/>
  <c r="AY35" i="86"/>
  <c r="AX35" i="86"/>
  <c r="AW35" i="86"/>
  <c r="AU35" i="86"/>
  <c r="AT35" i="86"/>
  <c r="AS35" i="86"/>
  <c r="AR35" i="86"/>
  <c r="AV35" i="86" s="1"/>
  <c r="AQ35" i="86"/>
  <c r="AP35" i="86"/>
  <c r="AO35" i="86"/>
  <c r="AL35" i="86"/>
  <c r="AJ35" i="86"/>
  <c r="AI35" i="86"/>
  <c r="AH35" i="86"/>
  <c r="AN35" i="86" s="1"/>
  <c r="AG35" i="86"/>
  <c r="G35" i="86"/>
  <c r="C35" i="86"/>
  <c r="B35" i="86"/>
  <c r="BN34" i="86"/>
  <c r="BK34" i="86"/>
  <c r="I34" i="86" s="1"/>
  <c r="BJ34" i="86"/>
  <c r="H34" i="86" s="1"/>
  <c r="BF34" i="86" s="1"/>
  <c r="BI34" i="86"/>
  <c r="AK34" i="86" s="1"/>
  <c r="AM34" i="86" s="1"/>
  <c r="BH34" i="86"/>
  <c r="G34" i="86" s="1"/>
  <c r="BG34" i="86"/>
  <c r="BE34" i="86"/>
  <c r="BD34" i="86"/>
  <c r="BC34" i="86"/>
  <c r="BB34" i="86"/>
  <c r="BA34" i="86"/>
  <c r="AZ34" i="86"/>
  <c r="AY34" i="86"/>
  <c r="AX34" i="86"/>
  <c r="AW34" i="86"/>
  <c r="AU34" i="86"/>
  <c r="AT34" i="86"/>
  <c r="AS34" i="86"/>
  <c r="AR34" i="86"/>
  <c r="AV34" i="86" s="1"/>
  <c r="AQ34" i="86"/>
  <c r="AP34" i="86"/>
  <c r="AO34" i="86"/>
  <c r="AL34" i="86"/>
  <c r="AJ34" i="86"/>
  <c r="AI34" i="86"/>
  <c r="AH34" i="86"/>
  <c r="AN34" i="86" s="1"/>
  <c r="AG34" i="86"/>
  <c r="C34" i="86"/>
  <c r="B34" i="86"/>
  <c r="BN33" i="86"/>
  <c r="BL33" i="86"/>
  <c r="BK33" i="86"/>
  <c r="I33" i="86" s="1"/>
  <c r="BJ33" i="86"/>
  <c r="H33" i="86" s="1"/>
  <c r="BF33" i="86" s="1"/>
  <c r="BI33" i="86"/>
  <c r="AK33" i="86" s="1"/>
  <c r="AM33" i="86" s="1"/>
  <c r="BH33" i="86"/>
  <c r="G33" i="86" s="1"/>
  <c r="BG33" i="86"/>
  <c r="BE33" i="86"/>
  <c r="BD33" i="86"/>
  <c r="BC33" i="86"/>
  <c r="BB33" i="86"/>
  <c r="BA33" i="86"/>
  <c r="AZ33" i="86"/>
  <c r="AY33" i="86"/>
  <c r="AX33" i="86"/>
  <c r="AW33" i="86"/>
  <c r="AU33" i="86"/>
  <c r="AT33" i="86"/>
  <c r="AS33" i="86"/>
  <c r="AR33" i="86"/>
  <c r="AV33" i="86" s="1"/>
  <c r="AQ33" i="86"/>
  <c r="AP33" i="86"/>
  <c r="AO33" i="86"/>
  <c r="AL33" i="86"/>
  <c r="AJ33" i="86"/>
  <c r="AI33" i="86"/>
  <c r="AH33" i="86"/>
  <c r="AN33" i="86" s="1"/>
  <c r="AG33" i="86"/>
  <c r="C33" i="86"/>
  <c r="B33" i="86"/>
  <c r="BN32" i="86"/>
  <c r="BL32" i="86"/>
  <c r="BK32" i="86"/>
  <c r="I32" i="86" s="1"/>
  <c r="BJ32" i="86"/>
  <c r="H32" i="86" s="1"/>
  <c r="BF32" i="86" s="1"/>
  <c r="BI32" i="86"/>
  <c r="BM32" i="86" s="1"/>
  <c r="BH32" i="86"/>
  <c r="BG32" i="86"/>
  <c r="BE32" i="86"/>
  <c r="BD32" i="86"/>
  <c r="BC32" i="86"/>
  <c r="BB32" i="86"/>
  <c r="BA32" i="86"/>
  <c r="AZ32" i="86"/>
  <c r="AY32" i="86"/>
  <c r="AX32" i="86"/>
  <c r="AW32" i="86"/>
  <c r="AU32" i="86"/>
  <c r="AT32" i="86"/>
  <c r="AS32" i="86"/>
  <c r="AR32" i="86"/>
  <c r="AV32" i="86" s="1"/>
  <c r="AQ32" i="86"/>
  <c r="AP32" i="86"/>
  <c r="AO32" i="86"/>
  <c r="AL32" i="86"/>
  <c r="AJ32" i="86"/>
  <c r="AI32" i="86"/>
  <c r="AH32" i="86"/>
  <c r="AN32" i="86" s="1"/>
  <c r="AG32" i="86"/>
  <c r="G32" i="86"/>
  <c r="C32" i="86"/>
  <c r="B32" i="86"/>
  <c r="BN31" i="86"/>
  <c r="BL31" i="86"/>
  <c r="BK31" i="86"/>
  <c r="I31" i="86" s="1"/>
  <c r="BJ31" i="86"/>
  <c r="H31" i="86" s="1"/>
  <c r="BF31" i="86" s="1"/>
  <c r="BI31" i="86"/>
  <c r="BM31" i="86" s="1"/>
  <c r="BH31" i="86"/>
  <c r="BG31" i="86"/>
  <c r="BE31" i="86"/>
  <c r="BD31" i="86"/>
  <c r="BC31" i="86"/>
  <c r="BB31" i="86"/>
  <c r="BA31" i="86"/>
  <c r="AZ31" i="86"/>
  <c r="AY31" i="86"/>
  <c r="AX31" i="86"/>
  <c r="AW31" i="86"/>
  <c r="AU31" i="86"/>
  <c r="AT31" i="86"/>
  <c r="AS31" i="86"/>
  <c r="AR31" i="86"/>
  <c r="AV31" i="86" s="1"/>
  <c r="AQ31" i="86"/>
  <c r="AP31" i="86"/>
  <c r="AO31" i="86"/>
  <c r="AL31" i="86"/>
  <c r="AJ31" i="86"/>
  <c r="AI31" i="86"/>
  <c r="AH31" i="86"/>
  <c r="AN31" i="86" s="1"/>
  <c r="AG31" i="86"/>
  <c r="G31" i="86"/>
  <c r="C31" i="86"/>
  <c r="B31" i="86"/>
  <c r="BN30" i="86"/>
  <c r="BK30" i="86"/>
  <c r="I30" i="86" s="1"/>
  <c r="BJ30" i="86"/>
  <c r="H30" i="86" s="1"/>
  <c r="BF30" i="86" s="1"/>
  <c r="BI30" i="86"/>
  <c r="AK30" i="86" s="1"/>
  <c r="AM30" i="86" s="1"/>
  <c r="BH30" i="86"/>
  <c r="G30" i="86" s="1"/>
  <c r="BG30" i="86"/>
  <c r="BE30" i="86"/>
  <c r="BD30" i="86"/>
  <c r="BC30" i="86"/>
  <c r="BB30" i="86"/>
  <c r="BA30" i="86"/>
  <c r="AZ30" i="86"/>
  <c r="AY30" i="86"/>
  <c r="AX30" i="86"/>
  <c r="AW30" i="86"/>
  <c r="AU30" i="86"/>
  <c r="AT30" i="86"/>
  <c r="AS30" i="86"/>
  <c r="AR30" i="86"/>
  <c r="AV30" i="86" s="1"/>
  <c r="AQ30" i="86"/>
  <c r="AP30" i="86"/>
  <c r="AO30" i="86"/>
  <c r="AL30" i="86"/>
  <c r="AJ30" i="86"/>
  <c r="AI30" i="86"/>
  <c r="AH30" i="86"/>
  <c r="AN30" i="86" s="1"/>
  <c r="AG30" i="86"/>
  <c r="C30" i="86"/>
  <c r="B30" i="86"/>
  <c r="BU29" i="86"/>
  <c r="BT29" i="86"/>
  <c r="BS29" i="86"/>
  <c r="BR29" i="86"/>
  <c r="BQ29" i="86"/>
  <c r="BN29" i="86"/>
  <c r="BL29" i="86"/>
  <c r="BK29" i="86"/>
  <c r="I29" i="86" s="1"/>
  <c r="BJ29" i="86"/>
  <c r="H29" i="86" s="1"/>
  <c r="BF29" i="86" s="1"/>
  <c r="BI29" i="86"/>
  <c r="BM29" i="86" s="1"/>
  <c r="BH29" i="86"/>
  <c r="BG29" i="86"/>
  <c r="BE29" i="86"/>
  <c r="BD29" i="86"/>
  <c r="BC29" i="86"/>
  <c r="BB29" i="86"/>
  <c r="BA29" i="86"/>
  <c r="AZ29" i="86"/>
  <c r="AY29" i="86"/>
  <c r="AX29" i="86"/>
  <c r="AW29" i="86"/>
  <c r="AU29" i="86"/>
  <c r="AT29" i="86"/>
  <c r="AS29" i="86"/>
  <c r="AR29" i="86"/>
  <c r="AV29" i="86" s="1"/>
  <c r="AQ29" i="86"/>
  <c r="AP29" i="86"/>
  <c r="AO29" i="86"/>
  <c r="AL29" i="86"/>
  <c r="AJ29" i="86"/>
  <c r="AI29" i="86"/>
  <c r="AH29" i="86"/>
  <c r="AN29" i="86" s="1"/>
  <c r="AG29" i="86"/>
  <c r="G29" i="86"/>
  <c r="C29" i="86"/>
  <c r="B29" i="86"/>
  <c r="BU28" i="86"/>
  <c r="BT28" i="86"/>
  <c r="BS28" i="86"/>
  <c r="BR28" i="86"/>
  <c r="BQ28" i="86"/>
  <c r="BH28" i="86"/>
  <c r="BL28" i="86" s="1"/>
  <c r="BE28" i="86"/>
  <c r="BD28" i="86"/>
  <c r="BC28" i="86"/>
  <c r="AU28" i="86"/>
  <c r="AS28" i="86"/>
  <c r="AQ28" i="86"/>
  <c r="AO28" i="86"/>
  <c r="AL28" i="86"/>
  <c r="AH28" i="86"/>
  <c r="AG28" i="86"/>
  <c r="G28" i="86"/>
  <c r="BA28" i="86" s="1"/>
  <c r="BU27" i="86"/>
  <c r="BT27" i="86"/>
  <c r="BS27" i="86"/>
  <c r="BR27" i="86"/>
  <c r="BQ27" i="86"/>
  <c r="BJ27" i="86"/>
  <c r="H27" i="86" s="1"/>
  <c r="BF27" i="86" s="1"/>
  <c r="BH27" i="86"/>
  <c r="BE27" i="86"/>
  <c r="BD27" i="86"/>
  <c r="BC27" i="86"/>
  <c r="AU27" i="86"/>
  <c r="AS27" i="86"/>
  <c r="AQ27" i="86"/>
  <c r="AO27" i="86"/>
  <c r="AL27" i="86"/>
  <c r="AH27" i="86"/>
  <c r="AN27" i="86" s="1"/>
  <c r="AG27" i="86"/>
  <c r="B27" i="86"/>
  <c r="BU26" i="86"/>
  <c r="BT26" i="86"/>
  <c r="BS26" i="86"/>
  <c r="BR26" i="86"/>
  <c r="BQ26" i="86"/>
  <c r="BH26" i="86"/>
  <c r="BL26" i="86" s="1"/>
  <c r="BE26" i="86"/>
  <c r="BD26" i="86"/>
  <c r="BC26" i="86"/>
  <c r="AU26" i="86"/>
  <c r="AS26" i="86"/>
  <c r="AQ26" i="86"/>
  <c r="AO26" i="86"/>
  <c r="AL26" i="86"/>
  <c r="AH26" i="86"/>
  <c r="AN26" i="86" s="1"/>
  <c r="AG26" i="86"/>
  <c r="BU25" i="86"/>
  <c r="BT25" i="86"/>
  <c r="BS25" i="86"/>
  <c r="BR25" i="86"/>
  <c r="BQ25" i="86"/>
  <c r="BH25" i="86"/>
  <c r="BL25" i="86" s="1"/>
  <c r="BE25" i="86"/>
  <c r="BD25" i="86"/>
  <c r="BC25" i="86"/>
  <c r="BB25" i="86"/>
  <c r="AU25" i="86"/>
  <c r="AS25" i="86"/>
  <c r="AQ25" i="86"/>
  <c r="AO25" i="86"/>
  <c r="AL25" i="86"/>
  <c r="AH25" i="86"/>
  <c r="AG25" i="86"/>
  <c r="G25" i="86"/>
  <c r="BA25" i="86" s="1"/>
  <c r="BU24" i="86"/>
  <c r="BT24" i="86"/>
  <c r="BS24" i="86"/>
  <c r="BR24" i="86"/>
  <c r="BQ24" i="86"/>
  <c r="BH24" i="86"/>
  <c r="BE24" i="86"/>
  <c r="BD24" i="86"/>
  <c r="BC24" i="86"/>
  <c r="AU24" i="86"/>
  <c r="AS24" i="86"/>
  <c r="AQ24" i="86"/>
  <c r="AO24" i="86"/>
  <c r="AL24" i="86"/>
  <c r="AH24" i="86"/>
  <c r="AG24" i="86"/>
  <c r="BU23" i="86"/>
  <c r="BT23" i="86"/>
  <c r="BS23" i="86"/>
  <c r="BR23" i="86"/>
  <c r="BQ23" i="86"/>
  <c r="BL23" i="86"/>
  <c r="BH23" i="86"/>
  <c r="BE23" i="86"/>
  <c r="BD23" i="86"/>
  <c r="BC23" i="86"/>
  <c r="AU23" i="86"/>
  <c r="AS23" i="86"/>
  <c r="AQ23" i="86"/>
  <c r="AO23" i="86"/>
  <c r="AL23" i="86"/>
  <c r="AH23" i="86"/>
  <c r="AG23" i="86"/>
  <c r="G23" i="86"/>
  <c r="BB23" i="86" s="1"/>
  <c r="BU22" i="86"/>
  <c r="BT22" i="86"/>
  <c r="BS22" i="86"/>
  <c r="BR22" i="86"/>
  <c r="BQ22" i="86"/>
  <c r="BH22" i="86"/>
  <c r="BL22" i="86" s="1"/>
  <c r="BE22" i="86"/>
  <c r="BD22" i="86"/>
  <c r="BC22" i="86"/>
  <c r="AU22" i="86"/>
  <c r="AS22" i="86"/>
  <c r="AQ22" i="86"/>
  <c r="AO22" i="86"/>
  <c r="AL22" i="86"/>
  <c r="AH22" i="86"/>
  <c r="AG22" i="86"/>
  <c r="BU21" i="86"/>
  <c r="BT21" i="86"/>
  <c r="BS21" i="86"/>
  <c r="BR21" i="86"/>
  <c r="BQ21" i="86"/>
  <c r="BH21" i="86"/>
  <c r="BE21" i="86"/>
  <c r="BD21" i="86"/>
  <c r="BC21" i="86"/>
  <c r="AU21" i="86"/>
  <c r="AS21" i="86"/>
  <c r="AQ21" i="86"/>
  <c r="AO21" i="86"/>
  <c r="AL21" i="86"/>
  <c r="AH21" i="86"/>
  <c r="AG21" i="86"/>
  <c r="BL20" i="86"/>
  <c r="BJ20" i="86"/>
  <c r="H20" i="86" s="1"/>
  <c r="BF20" i="86" s="1"/>
  <c r="BH20" i="86"/>
  <c r="BE20" i="86"/>
  <c r="BD20" i="86"/>
  <c r="BC20" i="86"/>
  <c r="AU20" i="86"/>
  <c r="AS20" i="86"/>
  <c r="AQ20" i="86"/>
  <c r="AO20" i="86"/>
  <c r="AL20" i="86"/>
  <c r="AH20" i="86"/>
  <c r="AN20" i="86" s="1"/>
  <c r="AG20" i="86"/>
  <c r="B20" i="86"/>
  <c r="BL19" i="86"/>
  <c r="BK19" i="86"/>
  <c r="I19" i="86" s="1"/>
  <c r="BH19" i="86"/>
  <c r="BE19" i="86"/>
  <c r="BD19" i="86"/>
  <c r="BC19" i="86"/>
  <c r="BA19" i="86"/>
  <c r="AY19" i="86"/>
  <c r="AU19" i="86"/>
  <c r="AS19" i="86"/>
  <c r="AQ19" i="86"/>
  <c r="AO19" i="86"/>
  <c r="AL19" i="86"/>
  <c r="AH19" i="86"/>
  <c r="AG19" i="86"/>
  <c r="G19" i="86"/>
  <c r="BB19" i="86" s="1"/>
  <c r="BL18" i="86"/>
  <c r="BH18" i="86"/>
  <c r="BE18" i="86"/>
  <c r="BD18" i="86"/>
  <c r="BC18" i="86"/>
  <c r="BA18" i="86"/>
  <c r="AU18" i="86"/>
  <c r="AS18" i="86"/>
  <c r="AQ18" i="86"/>
  <c r="AO18" i="86"/>
  <c r="AL18" i="86"/>
  <c r="AH18" i="86"/>
  <c r="AN18" i="86" s="1"/>
  <c r="AG18" i="86"/>
  <c r="G18" i="86"/>
  <c r="BB18" i="86" s="1"/>
  <c r="BH17" i="86"/>
  <c r="BE17" i="86"/>
  <c r="BD17" i="86"/>
  <c r="BC17" i="86"/>
  <c r="AU17" i="86"/>
  <c r="AS17" i="86"/>
  <c r="AQ17" i="86"/>
  <c r="AO17" i="86"/>
  <c r="AL17" i="86"/>
  <c r="AH17" i="86"/>
  <c r="AN17" i="86" s="1"/>
  <c r="AG17" i="86"/>
  <c r="BL16" i="86"/>
  <c r="BH16" i="86"/>
  <c r="BE16" i="86"/>
  <c r="BD16" i="86"/>
  <c r="BC16" i="86"/>
  <c r="AU16" i="86"/>
  <c r="AS16" i="86"/>
  <c r="AQ16" i="86"/>
  <c r="AO16" i="86"/>
  <c r="AL16" i="86"/>
  <c r="AH16" i="86"/>
  <c r="AG16" i="86"/>
  <c r="BL15" i="86"/>
  <c r="BK15" i="86"/>
  <c r="I15" i="86" s="1"/>
  <c r="BJ15" i="86"/>
  <c r="H15" i="86" s="1"/>
  <c r="BF15" i="86" s="1"/>
  <c r="BH15" i="86"/>
  <c r="BE15" i="86"/>
  <c r="BD15" i="86"/>
  <c r="BC15" i="86"/>
  <c r="BA15" i="86"/>
  <c r="AY15" i="86"/>
  <c r="AX15" i="86"/>
  <c r="AU15" i="86"/>
  <c r="AS15" i="86"/>
  <c r="AQ15" i="86"/>
  <c r="AO15" i="86"/>
  <c r="AL15" i="86"/>
  <c r="AH15" i="86"/>
  <c r="AN15" i="86" s="1"/>
  <c r="AG15" i="86"/>
  <c r="G15" i="86"/>
  <c r="BB15" i="86" s="1"/>
  <c r="B15" i="86"/>
  <c r="BL14" i="86"/>
  <c r="BJ14" i="86"/>
  <c r="H14" i="86" s="1"/>
  <c r="BF14" i="86" s="1"/>
  <c r="BH14" i="86"/>
  <c r="BE14" i="86"/>
  <c r="BD14" i="86"/>
  <c r="BC14" i="86"/>
  <c r="BA14" i="86"/>
  <c r="AU14" i="86"/>
  <c r="AS14" i="86"/>
  <c r="AQ14" i="86"/>
  <c r="AO14" i="86"/>
  <c r="AL14" i="86"/>
  <c r="AH14" i="86"/>
  <c r="AN14" i="86" s="1"/>
  <c r="AG14" i="86"/>
  <c r="G14" i="86"/>
  <c r="BB14" i="86" s="1"/>
  <c r="B14" i="86"/>
  <c r="BH13" i="86"/>
  <c r="BE13" i="86"/>
  <c r="BD13" i="86"/>
  <c r="BC13" i="86"/>
  <c r="AU13" i="86"/>
  <c r="AS13" i="86"/>
  <c r="AQ13" i="86"/>
  <c r="AL13" i="86"/>
  <c r="AH13" i="86"/>
  <c r="AG13" i="86"/>
  <c r="BL12" i="86"/>
  <c r="BH12" i="86"/>
  <c r="BE12" i="86"/>
  <c r="BD12" i="86"/>
  <c r="BC12" i="86"/>
  <c r="AU12" i="86"/>
  <c r="AS12" i="86"/>
  <c r="AQ12" i="86"/>
  <c r="AL12" i="86"/>
  <c r="AH12" i="86"/>
  <c r="AG12" i="86"/>
  <c r="BL11" i="86"/>
  <c r="BH11" i="86"/>
  <c r="BE11" i="86"/>
  <c r="BD11" i="86"/>
  <c r="BC11" i="86"/>
  <c r="BA11" i="86"/>
  <c r="AY11" i="86"/>
  <c r="AX11" i="86"/>
  <c r="AU11" i="86"/>
  <c r="AS11" i="86"/>
  <c r="AQ11" i="86"/>
  <c r="AL11" i="86"/>
  <c r="AH11" i="86"/>
  <c r="AG11" i="86"/>
  <c r="BK11" i="86" s="1"/>
  <c r="I11" i="86" s="1"/>
  <c r="G11" i="86"/>
  <c r="BB11" i="86" s="1"/>
  <c r="BL10" i="86"/>
  <c r="BH10" i="86"/>
  <c r="BE10" i="86"/>
  <c r="BD10" i="86"/>
  <c r="BC10" i="86"/>
  <c r="BA10" i="86"/>
  <c r="AU10" i="86"/>
  <c r="AS10" i="86"/>
  <c r="AQ10" i="86"/>
  <c r="AL10" i="86"/>
  <c r="AH10" i="86"/>
  <c r="AN10" i="86" s="1"/>
  <c r="AG10" i="86"/>
  <c r="G10" i="86"/>
  <c r="BB10" i="86" s="1"/>
  <c r="BH9" i="86"/>
  <c r="BE9" i="86"/>
  <c r="BD9" i="86"/>
  <c r="BC9" i="86"/>
  <c r="AU9" i="86"/>
  <c r="AS9" i="86"/>
  <c r="AQ9" i="86"/>
  <c r="AL9" i="86"/>
  <c r="AH9" i="86"/>
  <c r="AG9" i="86"/>
  <c r="BL8" i="86"/>
  <c r="BJ8" i="86"/>
  <c r="H8" i="86" s="1"/>
  <c r="BF8" i="86" s="1"/>
  <c r="BH8" i="86"/>
  <c r="BE8" i="86"/>
  <c r="BD8" i="86"/>
  <c r="BC8" i="86"/>
  <c r="AU8" i="86"/>
  <c r="AS8" i="86"/>
  <c r="AQ8" i="86"/>
  <c r="AL8" i="86"/>
  <c r="AJ8" i="86"/>
  <c r="AH8" i="86"/>
  <c r="AN8" i="86" s="1"/>
  <c r="AG8" i="86"/>
  <c r="B8" i="86"/>
  <c r="AV6" i="86"/>
  <c r="U48" i="84"/>
  <c r="BE43" i="84"/>
  <c r="AT43" i="84"/>
  <c r="AT44" i="84" s="1"/>
  <c r="AR44" i="84" s="1"/>
  <c r="BL39" i="84"/>
  <c r="BH39" i="84"/>
  <c r="BE39" i="84"/>
  <c r="BD39" i="84"/>
  <c r="BC39" i="84"/>
  <c r="AU39" i="84"/>
  <c r="AS39" i="84"/>
  <c r="AQ39" i="84"/>
  <c r="AO39" i="84"/>
  <c r="AL39" i="84"/>
  <c r="AH39" i="84"/>
  <c r="AN39" i="84" s="1"/>
  <c r="AG39" i="84"/>
  <c r="G39" i="84"/>
  <c r="BH38" i="84"/>
  <c r="BE38" i="84"/>
  <c r="BD38" i="84"/>
  <c r="BC38" i="84"/>
  <c r="AU38" i="84"/>
  <c r="AS38" i="84"/>
  <c r="AQ38" i="84"/>
  <c r="AO38" i="84"/>
  <c r="AL38" i="84"/>
  <c r="AH38" i="84"/>
  <c r="AN38" i="84" s="1"/>
  <c r="AG38" i="84"/>
  <c r="BH37" i="84"/>
  <c r="BE37" i="84"/>
  <c r="BD37" i="84"/>
  <c r="BC37" i="84"/>
  <c r="AU37" i="84"/>
  <c r="AS37" i="84"/>
  <c r="AQ37" i="84"/>
  <c r="AO37" i="84"/>
  <c r="AL37" i="84"/>
  <c r="AH37" i="84"/>
  <c r="AN37" i="84" s="1"/>
  <c r="AG37" i="84"/>
  <c r="BK36" i="84"/>
  <c r="I36" i="84" s="1"/>
  <c r="BH36" i="84"/>
  <c r="BL36" i="84" s="1"/>
  <c r="BE36" i="84"/>
  <c r="BD36" i="84"/>
  <c r="BC36" i="84"/>
  <c r="AY36" i="84"/>
  <c r="AU36" i="84"/>
  <c r="AS36" i="84"/>
  <c r="AQ36" i="84"/>
  <c r="AO36" i="84"/>
  <c r="AL36" i="84"/>
  <c r="AH36" i="84"/>
  <c r="AN36" i="84" s="1"/>
  <c r="AG36" i="84"/>
  <c r="G36" i="84"/>
  <c r="BB36" i="84" s="1"/>
  <c r="BL35" i="84"/>
  <c r="BH35" i="84"/>
  <c r="BE35" i="84"/>
  <c r="BD35" i="84"/>
  <c r="BC35" i="84"/>
  <c r="BB35" i="84"/>
  <c r="AU35" i="84"/>
  <c r="AS35" i="84"/>
  <c r="AQ35" i="84"/>
  <c r="AO35" i="84"/>
  <c r="AL35" i="84"/>
  <c r="AH35" i="84"/>
  <c r="AN35" i="84" s="1"/>
  <c r="AG35" i="84"/>
  <c r="G35" i="84"/>
  <c r="BH34" i="84"/>
  <c r="BE34" i="84"/>
  <c r="BD34" i="84"/>
  <c r="BC34" i="84"/>
  <c r="AU34" i="84"/>
  <c r="AS34" i="84"/>
  <c r="AQ34" i="84"/>
  <c r="AO34" i="84"/>
  <c r="AL34" i="84"/>
  <c r="AH34" i="84"/>
  <c r="AN34" i="84" s="1"/>
  <c r="AG34" i="84"/>
  <c r="BH33" i="84"/>
  <c r="BE33" i="84"/>
  <c r="BD33" i="84"/>
  <c r="BC33" i="84"/>
  <c r="AU33" i="84"/>
  <c r="AS33" i="84"/>
  <c r="AQ33" i="84"/>
  <c r="AO33" i="84"/>
  <c r="AL33" i="84"/>
  <c r="AH33" i="84"/>
  <c r="AN33" i="84" s="1"/>
  <c r="AG33" i="84"/>
  <c r="BH32" i="84"/>
  <c r="BL32" i="84" s="1"/>
  <c r="BE32" i="84"/>
  <c r="BD32" i="84"/>
  <c r="BC32" i="84"/>
  <c r="AY32" i="84"/>
  <c r="AU32" i="84"/>
  <c r="AS32" i="84"/>
  <c r="AQ32" i="84"/>
  <c r="AI32" i="84" s="1"/>
  <c r="C32" i="84" s="1"/>
  <c r="AO32" i="84"/>
  <c r="AL32" i="84"/>
  <c r="AH32" i="84"/>
  <c r="AN32" i="84" s="1"/>
  <c r="AG32" i="84"/>
  <c r="G32" i="84"/>
  <c r="BL31" i="84"/>
  <c r="BH31" i="84"/>
  <c r="BE31" i="84"/>
  <c r="BD31" i="84"/>
  <c r="BC31" i="84"/>
  <c r="AU31" i="84"/>
  <c r="AS31" i="84"/>
  <c r="AQ31" i="84"/>
  <c r="AO31" i="84"/>
  <c r="AL31" i="84"/>
  <c r="AH31" i="84"/>
  <c r="AN31" i="84" s="1"/>
  <c r="AG31" i="84"/>
  <c r="G31" i="84"/>
  <c r="BH30" i="84"/>
  <c r="BE30" i="84"/>
  <c r="BD30" i="84"/>
  <c r="BC30" i="84"/>
  <c r="AU30" i="84"/>
  <c r="AS30" i="84"/>
  <c r="AQ30" i="84"/>
  <c r="AO30" i="84"/>
  <c r="AL30" i="84"/>
  <c r="AH30" i="84"/>
  <c r="AN30" i="84" s="1"/>
  <c r="AG30" i="84"/>
  <c r="BU29" i="84"/>
  <c r="BT29" i="84"/>
  <c r="BS29" i="84"/>
  <c r="BR29" i="84"/>
  <c r="BQ29" i="84"/>
  <c r="BI29" i="84"/>
  <c r="BM29" i="84" s="1"/>
  <c r="BH29" i="84"/>
  <c r="BL29" i="84" s="1"/>
  <c r="BE29" i="84"/>
  <c r="BD29" i="84"/>
  <c r="BC29" i="84"/>
  <c r="BA29" i="84"/>
  <c r="AW29" i="84"/>
  <c r="AU29" i="84"/>
  <c r="AS29" i="84"/>
  <c r="AQ29" i="84"/>
  <c r="AO29" i="84"/>
  <c r="AL29" i="84"/>
  <c r="AH29" i="84"/>
  <c r="AN29" i="84" s="1"/>
  <c r="AG29" i="84"/>
  <c r="G29" i="84"/>
  <c r="BB29" i="84" s="1"/>
  <c r="BU28" i="84"/>
  <c r="BT28" i="84"/>
  <c r="BS28" i="84"/>
  <c r="BR28" i="84"/>
  <c r="BQ28" i="84"/>
  <c r="BL28" i="84"/>
  <c r="BK28" i="84"/>
  <c r="I28" i="84" s="1"/>
  <c r="BI28" i="84"/>
  <c r="AK28" i="84" s="1"/>
  <c r="BH28" i="84"/>
  <c r="BE28" i="84"/>
  <c r="BD28" i="84"/>
  <c r="BC28" i="84"/>
  <c r="BA28" i="84"/>
  <c r="AY28" i="84"/>
  <c r="AW28" i="84"/>
  <c r="AU28" i="84"/>
  <c r="AS28" i="84"/>
  <c r="AQ28" i="84"/>
  <c r="AO28" i="84"/>
  <c r="AL28" i="84"/>
  <c r="AH28" i="84"/>
  <c r="AN28" i="84" s="1"/>
  <c r="AG28" i="84"/>
  <c r="G28" i="84"/>
  <c r="BB28" i="84" s="1"/>
  <c r="BU27" i="84"/>
  <c r="BT27" i="84"/>
  <c r="BS27" i="84"/>
  <c r="BR27" i="84"/>
  <c r="BQ27" i="84"/>
  <c r="BH27" i="84"/>
  <c r="BE27" i="84"/>
  <c r="BD27" i="84"/>
  <c r="BC27" i="84"/>
  <c r="AU27" i="84"/>
  <c r="AS27" i="84"/>
  <c r="AQ27" i="84"/>
  <c r="AO27" i="84"/>
  <c r="AL27" i="84"/>
  <c r="AH27" i="84"/>
  <c r="AN27" i="84" s="1"/>
  <c r="AG27" i="84"/>
  <c r="BU26" i="84"/>
  <c r="BT26" i="84"/>
  <c r="BS26" i="84"/>
  <c r="BR26" i="84"/>
  <c r="BQ26" i="84"/>
  <c r="BI26" i="84"/>
  <c r="AK26" i="84" s="1"/>
  <c r="BH26" i="84"/>
  <c r="BL26" i="84" s="1"/>
  <c r="BE26" i="84"/>
  <c r="BD26" i="84"/>
  <c r="BC26" i="84"/>
  <c r="BA26" i="84"/>
  <c r="AW26" i="84"/>
  <c r="AU26" i="84"/>
  <c r="AS26" i="84"/>
  <c r="AQ26" i="84"/>
  <c r="AO26" i="84"/>
  <c r="AL26" i="84"/>
  <c r="AH26" i="84"/>
  <c r="AN26" i="84" s="1"/>
  <c r="AG26" i="84"/>
  <c r="G26" i="84"/>
  <c r="BB26" i="84" s="1"/>
  <c r="BU25" i="84"/>
  <c r="BT25" i="84"/>
  <c r="BS25" i="84"/>
  <c r="BR25" i="84"/>
  <c r="BQ25" i="84"/>
  <c r="BL25" i="84"/>
  <c r="BK25" i="84"/>
  <c r="I25" i="84" s="1"/>
  <c r="BI25" i="84"/>
  <c r="BH25" i="84"/>
  <c r="BE25" i="84"/>
  <c r="BD25" i="84"/>
  <c r="BC25" i="84"/>
  <c r="BA25" i="84"/>
  <c r="AY25" i="84"/>
  <c r="AW25" i="84"/>
  <c r="AU25" i="84"/>
  <c r="AS25" i="84"/>
  <c r="AQ25" i="84"/>
  <c r="AO25" i="84"/>
  <c r="AL25" i="84"/>
  <c r="AH25" i="84"/>
  <c r="AN25" i="84" s="1"/>
  <c r="AG25" i="84"/>
  <c r="G25" i="84"/>
  <c r="BB25" i="84" s="1"/>
  <c r="BU24" i="84"/>
  <c r="BT24" i="84"/>
  <c r="BS24" i="84"/>
  <c r="BR24" i="84"/>
  <c r="BQ24" i="84"/>
  <c r="BH24" i="84"/>
  <c r="BL24" i="84" s="1"/>
  <c r="BE24" i="84"/>
  <c r="BD24" i="84"/>
  <c r="BC24" i="84"/>
  <c r="AU24" i="84"/>
  <c r="AS24" i="84"/>
  <c r="AQ24" i="84"/>
  <c r="AO24" i="84"/>
  <c r="AL24" i="84"/>
  <c r="AH24" i="84"/>
  <c r="AN24" i="84" s="1"/>
  <c r="AG24" i="84"/>
  <c r="G24" i="84"/>
  <c r="BU23" i="84"/>
  <c r="BT23" i="84"/>
  <c r="BS23" i="84"/>
  <c r="BR23" i="84"/>
  <c r="BQ23" i="84"/>
  <c r="BJ23" i="84"/>
  <c r="H23" i="84" s="1"/>
  <c r="BF23" i="84" s="1"/>
  <c r="BI23" i="84"/>
  <c r="AK23" i="84" s="1"/>
  <c r="BH23" i="84"/>
  <c r="BL23" i="84" s="1"/>
  <c r="BE23" i="84"/>
  <c r="BD23" i="84"/>
  <c r="BC23" i="84"/>
  <c r="BA23" i="84"/>
  <c r="AX23" i="84"/>
  <c r="AW23" i="84"/>
  <c r="AU23" i="84"/>
  <c r="AS23" i="84"/>
  <c r="AQ23" i="84"/>
  <c r="AO23" i="84"/>
  <c r="AL23" i="84"/>
  <c r="AH23" i="84"/>
  <c r="AN23" i="84" s="1"/>
  <c r="AG23" i="84"/>
  <c r="G23" i="84"/>
  <c r="BB23" i="84" s="1"/>
  <c r="B23" i="84"/>
  <c r="BU22" i="84"/>
  <c r="BT22" i="84"/>
  <c r="BS22" i="84"/>
  <c r="BR22" i="84"/>
  <c r="BQ22" i="84"/>
  <c r="BL22" i="84"/>
  <c r="BH22" i="84"/>
  <c r="BE22" i="84"/>
  <c r="BD22" i="84"/>
  <c r="BC22" i="84"/>
  <c r="BB22" i="84"/>
  <c r="BA22" i="84"/>
  <c r="AU22" i="84"/>
  <c r="AS22" i="84"/>
  <c r="AQ22" i="84"/>
  <c r="AO22" i="84"/>
  <c r="AL22" i="84"/>
  <c r="AH22" i="84"/>
  <c r="AG22" i="84"/>
  <c r="G22" i="84"/>
  <c r="AW22" i="84" s="1"/>
  <c r="BU21" i="84"/>
  <c r="BT21" i="84"/>
  <c r="BS21" i="84"/>
  <c r="BR21" i="84"/>
  <c r="BQ21" i="84"/>
  <c r="BH21" i="84"/>
  <c r="BL21" i="84" s="1"/>
  <c r="BE21" i="84"/>
  <c r="BD21" i="84"/>
  <c r="BC21" i="84"/>
  <c r="AU21" i="84"/>
  <c r="AS21" i="84"/>
  <c r="AQ21" i="84"/>
  <c r="AO21" i="84"/>
  <c r="AL21" i="84"/>
  <c r="AH21" i="84"/>
  <c r="AN21" i="84" s="1"/>
  <c r="AG21" i="84"/>
  <c r="BH20" i="84"/>
  <c r="BE20" i="84"/>
  <c r="BD20" i="84"/>
  <c r="BC20" i="84"/>
  <c r="AU20" i="84"/>
  <c r="AS20" i="84"/>
  <c r="AQ20" i="84"/>
  <c r="AO20" i="84"/>
  <c r="AL20" i="84"/>
  <c r="AH20" i="84"/>
  <c r="AN20" i="84" s="1"/>
  <c r="AG20" i="84"/>
  <c r="BL19" i="84"/>
  <c r="BH19" i="84"/>
  <c r="BE19" i="84"/>
  <c r="BD19" i="84"/>
  <c r="BC19" i="84"/>
  <c r="BA19" i="84"/>
  <c r="AY19" i="84"/>
  <c r="AU19" i="84"/>
  <c r="AS19" i="84"/>
  <c r="AQ19" i="84"/>
  <c r="AO19" i="84"/>
  <c r="AL19" i="84"/>
  <c r="AH19" i="84"/>
  <c r="AN19" i="84" s="1"/>
  <c r="AG19" i="84"/>
  <c r="G19" i="84"/>
  <c r="BL18" i="84"/>
  <c r="BH18" i="84"/>
  <c r="BE18" i="84"/>
  <c r="BD18" i="84"/>
  <c r="BC18" i="84"/>
  <c r="AU18" i="84"/>
  <c r="AS18" i="84"/>
  <c r="AQ18" i="84"/>
  <c r="AI18" i="84" s="1"/>
  <c r="C18" i="84" s="1"/>
  <c r="AO18" i="84"/>
  <c r="AL18" i="84"/>
  <c r="AH18" i="84"/>
  <c r="AG18" i="84"/>
  <c r="G18" i="84"/>
  <c r="BB18" i="84" s="1"/>
  <c r="BH17" i="84"/>
  <c r="BL17" i="84" s="1"/>
  <c r="BE17" i="84"/>
  <c r="BD17" i="84"/>
  <c r="BC17" i="84"/>
  <c r="AU17" i="84"/>
  <c r="AS17" i="84"/>
  <c r="AQ17" i="84"/>
  <c r="AO17" i="84"/>
  <c r="AL17" i="84"/>
  <c r="AH17" i="84"/>
  <c r="AN17" i="84" s="1"/>
  <c r="AG17" i="84"/>
  <c r="BH16" i="84"/>
  <c r="BE16" i="84"/>
  <c r="BD16" i="84"/>
  <c r="BC16" i="84"/>
  <c r="AU16" i="84"/>
  <c r="AS16" i="84"/>
  <c r="AQ16" i="84"/>
  <c r="AO16" i="84"/>
  <c r="AL16" i="84"/>
  <c r="AH16" i="84"/>
  <c r="AN16" i="84" s="1"/>
  <c r="AG16" i="84"/>
  <c r="BL15" i="84"/>
  <c r="BK15" i="84"/>
  <c r="I15" i="84" s="1"/>
  <c r="BJ15" i="84"/>
  <c r="H15" i="84" s="1"/>
  <c r="BF15" i="84" s="1"/>
  <c r="BH15" i="84"/>
  <c r="BE15" i="84"/>
  <c r="BD15" i="84"/>
  <c r="BC15" i="84"/>
  <c r="BA15" i="84"/>
  <c r="AY15" i="84"/>
  <c r="AU15" i="84"/>
  <c r="AS15" i="84"/>
  <c r="AQ15" i="84"/>
  <c r="AO15" i="84"/>
  <c r="AL15" i="84"/>
  <c r="AH15" i="84"/>
  <c r="AN15" i="84" s="1"/>
  <c r="AG15" i="84"/>
  <c r="G15" i="84"/>
  <c r="B15" i="84"/>
  <c r="BL14" i="84"/>
  <c r="BJ14" i="84"/>
  <c r="H14" i="84" s="1"/>
  <c r="BH14" i="84"/>
  <c r="BE14" i="84"/>
  <c r="BD14" i="84"/>
  <c r="BC14" i="84"/>
  <c r="AU14" i="84"/>
  <c r="AS14" i="84"/>
  <c r="AQ14" i="84"/>
  <c r="AO14" i="84"/>
  <c r="AL14" i="84"/>
  <c r="AH14" i="84"/>
  <c r="AN14" i="84" s="1"/>
  <c r="AG14" i="84"/>
  <c r="G14" i="84"/>
  <c r="BB14" i="84" s="1"/>
  <c r="B14" i="84"/>
  <c r="BH13" i="84"/>
  <c r="BL13" i="84" s="1"/>
  <c r="BE13" i="84"/>
  <c r="BD13" i="84"/>
  <c r="BC13" i="84"/>
  <c r="AU13" i="84"/>
  <c r="AS13" i="84"/>
  <c r="AQ13" i="84"/>
  <c r="AL13" i="84"/>
  <c r="AI13" i="84"/>
  <c r="C13" i="84" s="1"/>
  <c r="AH13" i="84"/>
  <c r="AN13" i="84" s="1"/>
  <c r="AG13" i="84"/>
  <c r="BH12" i="84"/>
  <c r="BE12" i="84"/>
  <c r="BD12" i="84"/>
  <c r="BC12" i="84"/>
  <c r="AU12" i="84"/>
  <c r="AS12" i="84"/>
  <c r="AQ12" i="84"/>
  <c r="AL12" i="84"/>
  <c r="AH12" i="84"/>
  <c r="AN12" i="84" s="1"/>
  <c r="AG12" i="84"/>
  <c r="BL11" i="84"/>
  <c r="BH11" i="84"/>
  <c r="BE11" i="84"/>
  <c r="BD11" i="84"/>
  <c r="BC11" i="84"/>
  <c r="BA11" i="84"/>
  <c r="AY11" i="84"/>
  <c r="AU11" i="84"/>
  <c r="AI11" i="84" s="1"/>
  <c r="C11" i="84" s="1"/>
  <c r="AS11" i="84"/>
  <c r="AQ11" i="84"/>
  <c r="AL11" i="84"/>
  <c r="AJ11" i="84"/>
  <c r="AJ12" i="84" s="1"/>
  <c r="AJ13" i="84" s="1"/>
  <c r="AJ14" i="84" s="1"/>
  <c r="AH11" i="84"/>
  <c r="AN11" i="84" s="1"/>
  <c r="AG11" i="84"/>
  <c r="G11" i="84"/>
  <c r="BL10" i="84"/>
  <c r="BH10" i="84"/>
  <c r="BE10" i="84"/>
  <c r="BD10" i="84"/>
  <c r="BC10" i="84"/>
  <c r="BC4" i="84" s="1"/>
  <c r="AU10" i="84"/>
  <c r="AS10" i="84"/>
  <c r="AQ10" i="84"/>
  <c r="AI24" i="84" s="1"/>
  <c r="C24" i="84" s="1"/>
  <c r="AL10" i="84"/>
  <c r="AH10" i="84"/>
  <c r="AN10" i="84" s="1"/>
  <c r="AG10" i="84"/>
  <c r="G10" i="84"/>
  <c r="AY10" i="84" s="1"/>
  <c r="BH9" i="84"/>
  <c r="BL9" i="84" s="1"/>
  <c r="BE9" i="84"/>
  <c r="BD9" i="84"/>
  <c r="BC9" i="84"/>
  <c r="AU9" i="84"/>
  <c r="AU41" i="84" s="1"/>
  <c r="AS9" i="84"/>
  <c r="AQ9" i="84"/>
  <c r="AL9" i="84"/>
  <c r="AJ9" i="84"/>
  <c r="AJ10" i="84" s="1"/>
  <c r="AH9" i="84"/>
  <c r="AN9" i="84" s="1"/>
  <c r="AG9" i="84"/>
  <c r="G9" i="84"/>
  <c r="BA9" i="84" s="1"/>
  <c r="BL8" i="84"/>
  <c r="BJ8" i="84"/>
  <c r="H8" i="84" s="1"/>
  <c r="BF8" i="84" s="1"/>
  <c r="BH8" i="84"/>
  <c r="BE8" i="84"/>
  <c r="BD8" i="84"/>
  <c r="BC8" i="84"/>
  <c r="AU8" i="84"/>
  <c r="AS8" i="84"/>
  <c r="AQ8" i="84"/>
  <c r="AL8" i="84"/>
  <c r="AJ8" i="84"/>
  <c r="AH8" i="84"/>
  <c r="AN8" i="84" s="1"/>
  <c r="AG8" i="84"/>
  <c r="B8" i="84"/>
  <c r="AV6" i="84"/>
  <c r="BD4" i="84"/>
  <c r="G26" i="86" l="1"/>
  <c r="BB26" i="86" s="1"/>
  <c r="AN24" i="86"/>
  <c r="G22" i="86"/>
  <c r="AV43" i="86"/>
  <c r="AV44" i="86" s="1"/>
  <c r="AI11" i="86"/>
  <c r="C11" i="86" s="1"/>
  <c r="AS41" i="86"/>
  <c r="AI9" i="86"/>
  <c r="C9" i="86" s="1"/>
  <c r="AI10" i="86"/>
  <c r="C10" i="86" s="1"/>
  <c r="AN9" i="86"/>
  <c r="AI13" i="86"/>
  <c r="C13" i="86" s="1"/>
  <c r="AN21" i="86"/>
  <c r="AN23" i="86"/>
  <c r="AN11" i="86"/>
  <c r="AN19" i="86"/>
  <c r="AN13" i="86"/>
  <c r="F9" i="8"/>
  <c r="C125" i="14" s="1"/>
  <c r="F37" i="9"/>
  <c r="AV45" i="88"/>
  <c r="AR45" i="94"/>
  <c r="B20" i="96"/>
  <c r="U45" i="95"/>
  <c r="Q40" i="95" s="1"/>
  <c r="U44" i="95"/>
  <c r="O40" i="95" s="1"/>
  <c r="AR46" i="95"/>
  <c r="AN6" i="89"/>
  <c r="AX4" i="94"/>
  <c r="U45" i="94" s="1"/>
  <c r="Q40" i="94" s="1"/>
  <c r="AW4" i="94"/>
  <c r="Q6" i="94"/>
  <c r="AR8" i="89"/>
  <c r="AV8" i="89" s="1"/>
  <c r="AP19" i="95"/>
  <c r="BG19" i="95" s="1"/>
  <c r="B21" i="95"/>
  <c r="AT8" i="89"/>
  <c r="AJ21" i="95"/>
  <c r="AJ22" i="95" s="1"/>
  <c r="AJ23" i="95" s="1"/>
  <c r="AJ24" i="95" s="1"/>
  <c r="AJ25" i="95" s="1"/>
  <c r="AJ26" i="95" s="1"/>
  <c r="AJ27" i="95" s="1"/>
  <c r="AT41" i="93"/>
  <c r="B20" i="94"/>
  <c r="AI14" i="94"/>
  <c r="AI19" i="94"/>
  <c r="C19" i="94" s="1"/>
  <c r="AI8" i="94"/>
  <c r="C8" i="94" s="1"/>
  <c r="AI15" i="94"/>
  <c r="C15" i="94" s="1"/>
  <c r="AP12" i="93"/>
  <c r="BG12" i="93" s="1"/>
  <c r="B13" i="93"/>
  <c r="AN41" i="89"/>
  <c r="AV10" i="93"/>
  <c r="AR41" i="93"/>
  <c r="AM41" i="93"/>
  <c r="AX4" i="93" s="1"/>
  <c r="AM6" i="93"/>
  <c r="J41" i="93" s="1"/>
  <c r="AJ21" i="93"/>
  <c r="AK37" i="86"/>
  <c r="AM37" i="86" s="1"/>
  <c r="AT9" i="92"/>
  <c r="AR9" i="92"/>
  <c r="AV9" i="92" s="1"/>
  <c r="AM9" i="92"/>
  <c r="AT13" i="92"/>
  <c r="AR13" i="92"/>
  <c r="AV13" i="92" s="1"/>
  <c r="AM13" i="92"/>
  <c r="AM27" i="92"/>
  <c r="AP27" i="92" s="1"/>
  <c r="BG27" i="92" s="1"/>
  <c r="AT27" i="92"/>
  <c r="AR27" i="92"/>
  <c r="AV27" i="92" s="1"/>
  <c r="AT26" i="92"/>
  <c r="AR26" i="92"/>
  <c r="AV26" i="92" s="1"/>
  <c r="AM26" i="92"/>
  <c r="AX26" i="92"/>
  <c r="AT17" i="92"/>
  <c r="AR17" i="92"/>
  <c r="AV17" i="92" s="1"/>
  <c r="AM17" i="92"/>
  <c r="AX17" i="92"/>
  <c r="BF9" i="92"/>
  <c r="AP9" i="92"/>
  <c r="BG9" i="92" s="1"/>
  <c r="AK36" i="86"/>
  <c r="AM36" i="86" s="1"/>
  <c r="BG20" i="89"/>
  <c r="BG14" i="91"/>
  <c r="H41" i="92"/>
  <c r="B16" i="92"/>
  <c r="AP16" i="92" s="1"/>
  <c r="AJ17" i="92"/>
  <c r="AT21" i="92"/>
  <c r="AR21" i="92"/>
  <c r="AV21" i="92" s="1"/>
  <c r="AM21" i="92"/>
  <c r="AX21" i="92"/>
  <c r="AT29" i="92"/>
  <c r="AR29" i="92"/>
  <c r="AV29" i="92" s="1"/>
  <c r="AM29" i="92"/>
  <c r="AX29" i="92"/>
  <c r="AP8" i="92"/>
  <c r="BG8" i="92" s="1"/>
  <c r="AP12" i="92"/>
  <c r="BG12" i="92" s="1"/>
  <c r="AT16" i="92"/>
  <c r="AM16" i="92"/>
  <c r="AR16" i="92"/>
  <c r="AV16" i="92" s="1"/>
  <c r="AX16" i="92"/>
  <c r="AV8" i="92"/>
  <c r="B13" i="92"/>
  <c r="AT23" i="92"/>
  <c r="AM23" i="92"/>
  <c r="AR23" i="92"/>
  <c r="AV23" i="92" s="1"/>
  <c r="AX23" i="92"/>
  <c r="AM24" i="92"/>
  <c r="AT24" i="92"/>
  <c r="AR24" i="92"/>
  <c r="AV24" i="92" s="1"/>
  <c r="AX24" i="92"/>
  <c r="AM30" i="92"/>
  <c r="AT30" i="92"/>
  <c r="AR30" i="92"/>
  <c r="AV30" i="92" s="1"/>
  <c r="AX30" i="92"/>
  <c r="AZ4" i="92"/>
  <c r="AM8" i="91"/>
  <c r="AT8" i="91"/>
  <c r="AR8" i="91"/>
  <c r="AM22" i="91"/>
  <c r="AT22" i="91"/>
  <c r="AR22" i="91"/>
  <c r="AV22" i="91" s="1"/>
  <c r="AX22" i="91"/>
  <c r="BF9" i="91"/>
  <c r="AP9" i="91"/>
  <c r="BG9" i="91" s="1"/>
  <c r="BF13" i="91"/>
  <c r="AP13" i="91"/>
  <c r="AM9" i="91"/>
  <c r="AR9" i="91"/>
  <c r="AV9" i="91" s="1"/>
  <c r="AT9" i="91"/>
  <c r="H41" i="91" s="1"/>
  <c r="AJ13" i="91"/>
  <c r="AJ14" i="91" s="1"/>
  <c r="AJ15" i="91" s="1"/>
  <c r="AM13" i="91"/>
  <c r="AT13" i="91"/>
  <c r="AR13" i="91"/>
  <c r="AV13" i="91" s="1"/>
  <c r="AX13" i="91"/>
  <c r="AP12" i="89"/>
  <c r="BG12" i="89" s="1"/>
  <c r="AM12" i="91"/>
  <c r="AP12" i="91" s="1"/>
  <c r="BG12" i="91" s="1"/>
  <c r="AT12" i="91"/>
  <c r="AR12" i="91"/>
  <c r="AV12" i="91" s="1"/>
  <c r="AP16" i="91"/>
  <c r="B19" i="91"/>
  <c r="AP19" i="91" s="1"/>
  <c r="BG19" i="91" s="1"/>
  <c r="B17" i="91"/>
  <c r="AR16" i="87"/>
  <c r="AV16" i="87" s="1"/>
  <c r="AM16" i="91"/>
  <c r="AT16" i="91"/>
  <c r="AR16" i="91"/>
  <c r="AV16" i="91" s="1"/>
  <c r="AX16" i="91"/>
  <c r="AM20" i="91"/>
  <c r="AT20" i="91"/>
  <c r="AR20" i="91"/>
  <c r="AV20" i="91" s="1"/>
  <c r="AX20" i="91"/>
  <c r="AM21" i="91"/>
  <c r="AT21" i="91"/>
  <c r="AR21" i="91"/>
  <c r="AV21" i="91" s="1"/>
  <c r="AX21" i="91"/>
  <c r="AM17" i="91"/>
  <c r="AT17" i="91"/>
  <c r="AR17" i="91"/>
  <c r="AV17" i="91" s="1"/>
  <c r="AX17" i="91"/>
  <c r="AP10" i="90"/>
  <c r="BG10" i="90" s="1"/>
  <c r="AK35" i="86"/>
  <c r="AM35" i="86" s="1"/>
  <c r="AN41" i="88"/>
  <c r="AM25" i="90"/>
  <c r="AT25" i="90"/>
  <c r="AR25" i="90"/>
  <c r="AV25" i="90" s="1"/>
  <c r="AX25" i="90"/>
  <c r="BJ21" i="90"/>
  <c r="H21" i="90" s="1"/>
  <c r="BF21" i="90" s="1"/>
  <c r="BM21" i="90"/>
  <c r="AK21" i="90"/>
  <c r="BN21" i="90"/>
  <c r="AM16" i="87"/>
  <c r="AJ21" i="90"/>
  <c r="AJ22" i="90" s="1"/>
  <c r="AJ23" i="90" s="1"/>
  <c r="AJ24" i="90" s="1"/>
  <c r="AJ25" i="90" s="1"/>
  <c r="AJ26" i="90" s="1"/>
  <c r="AJ27" i="90" s="1"/>
  <c r="AJ28" i="90" s="1"/>
  <c r="AJ29" i="90" s="1"/>
  <c r="AZ18" i="88"/>
  <c r="AN6" i="88"/>
  <c r="AM27" i="90"/>
  <c r="AT27" i="90"/>
  <c r="AR27" i="90"/>
  <c r="AV27" i="90" s="1"/>
  <c r="AX27" i="90"/>
  <c r="AM28" i="90"/>
  <c r="AT28" i="90"/>
  <c r="AR28" i="90"/>
  <c r="AV28" i="90" s="1"/>
  <c r="AX28" i="90"/>
  <c r="AM24" i="90"/>
  <c r="AT24" i="90"/>
  <c r="AR24" i="90"/>
  <c r="AV24" i="90" s="1"/>
  <c r="AX24" i="90"/>
  <c r="AM22" i="90"/>
  <c r="AT22" i="90"/>
  <c r="AR22" i="90"/>
  <c r="AV22" i="90" s="1"/>
  <c r="AX22" i="90"/>
  <c r="B11" i="90"/>
  <c r="AK32" i="86"/>
  <c r="AM32" i="86" s="1"/>
  <c r="AY4" i="90"/>
  <c r="BJ12" i="90"/>
  <c r="H12" i="90" s="1"/>
  <c r="BF12" i="90" s="1"/>
  <c r="AK12" i="90"/>
  <c r="BM12" i="90"/>
  <c r="AO12" i="90"/>
  <c r="BN12" i="90"/>
  <c r="B12" i="90"/>
  <c r="AK29" i="84"/>
  <c r="AR29" i="84" s="1"/>
  <c r="AV29" i="84" s="1"/>
  <c r="AK29" i="90"/>
  <c r="BM29" i="90"/>
  <c r="BN29" i="90"/>
  <c r="BA4" i="90"/>
  <c r="AK15" i="90"/>
  <c r="BM15" i="90"/>
  <c r="BN15" i="90"/>
  <c r="BJ19" i="90"/>
  <c r="H19" i="90" s="1"/>
  <c r="BF19" i="90" s="1"/>
  <c r="AK19" i="90"/>
  <c r="BN19" i="90"/>
  <c r="BM19" i="90"/>
  <c r="BJ16" i="90"/>
  <c r="H16" i="90" s="1"/>
  <c r="BF16" i="90" s="1"/>
  <c r="AK16" i="90"/>
  <c r="BM16" i="90"/>
  <c r="BN16" i="90"/>
  <c r="AR10" i="90"/>
  <c r="AV10" i="90" s="1"/>
  <c r="AT10" i="90"/>
  <c r="AM10" i="90"/>
  <c r="BJ23" i="90"/>
  <c r="H23" i="90" s="1"/>
  <c r="BF23" i="90" s="1"/>
  <c r="AK23" i="90"/>
  <c r="BN23" i="90"/>
  <c r="BM23" i="90"/>
  <c r="AM11" i="90"/>
  <c r="AT11" i="90"/>
  <c r="AR11" i="90"/>
  <c r="AV11" i="90" s="1"/>
  <c r="AK8" i="90"/>
  <c r="BM8" i="90"/>
  <c r="AO8" i="90"/>
  <c r="BN8" i="90"/>
  <c r="AK26" i="90"/>
  <c r="BJ26" i="90"/>
  <c r="H26" i="90" s="1"/>
  <c r="BF26" i="90" s="1"/>
  <c r="BN26" i="90"/>
  <c r="BM26" i="90"/>
  <c r="AM30" i="90"/>
  <c r="AT30" i="90"/>
  <c r="AR30" i="90"/>
  <c r="AV30" i="90" s="1"/>
  <c r="AX30" i="90"/>
  <c r="BB4" i="90"/>
  <c r="BJ13" i="90"/>
  <c r="H13" i="90" s="1"/>
  <c r="BF13" i="90" s="1"/>
  <c r="AO13" i="90"/>
  <c r="AK13" i="90"/>
  <c r="BM13" i="90"/>
  <c r="BN13" i="90"/>
  <c r="AK20" i="90"/>
  <c r="BM20" i="90"/>
  <c r="BN20" i="90"/>
  <c r="AZ21" i="90"/>
  <c r="AZ4" i="90" s="1"/>
  <c r="BB33" i="89"/>
  <c r="BA33" i="89"/>
  <c r="BK33" i="89"/>
  <c r="I33" i="89" s="1"/>
  <c r="AY33" i="89"/>
  <c r="BI33" i="89"/>
  <c r="AW33" i="89"/>
  <c r="BN28" i="89"/>
  <c r="BM28" i="89"/>
  <c r="AZ28" i="89"/>
  <c r="BJ28" i="89"/>
  <c r="H28" i="89" s="1"/>
  <c r="BF28" i="89" s="1"/>
  <c r="AK28" i="89"/>
  <c r="AZ35" i="89"/>
  <c r="BN19" i="89"/>
  <c r="AZ19" i="89"/>
  <c r="BJ19" i="89"/>
  <c r="H19" i="89" s="1"/>
  <c r="BF19" i="89" s="1"/>
  <c r="AK19" i="89"/>
  <c r="BK34" i="89"/>
  <c r="I34" i="89" s="1"/>
  <c r="AY34" i="89"/>
  <c r="BI34" i="89"/>
  <c r="AZ34" i="89" s="1"/>
  <c r="AW34" i="89"/>
  <c r="BB34" i="89"/>
  <c r="BA34" i="89"/>
  <c r="BB14" i="89"/>
  <c r="BA14" i="89"/>
  <c r="BK14" i="89"/>
  <c r="I14" i="89" s="1"/>
  <c r="AY14" i="89"/>
  <c r="AX14" i="89"/>
  <c r="BI14" i="89"/>
  <c r="AZ14" i="89" s="1"/>
  <c r="AW14" i="89"/>
  <c r="BK30" i="89"/>
  <c r="I30" i="89" s="1"/>
  <c r="AY30" i="89"/>
  <c r="BI30" i="89"/>
  <c r="AW30" i="89"/>
  <c r="BB30" i="89"/>
  <c r="BA30" i="89"/>
  <c r="AJ16" i="89"/>
  <c r="I11" i="89"/>
  <c r="AO11" i="89"/>
  <c r="BN32" i="89"/>
  <c r="AZ32" i="89"/>
  <c r="BJ32" i="89"/>
  <c r="H32" i="89" s="1"/>
  <c r="BF32" i="89" s="1"/>
  <c r="AK32" i="89"/>
  <c r="B17" i="89"/>
  <c r="BN25" i="89"/>
  <c r="BM25" i="89"/>
  <c r="AZ25" i="89"/>
  <c r="BJ25" i="89"/>
  <c r="H25" i="89" s="1"/>
  <c r="BF25" i="89" s="1"/>
  <c r="AK25" i="89"/>
  <c r="BK27" i="89"/>
  <c r="I27" i="89" s="1"/>
  <c r="AY27" i="89"/>
  <c r="BI27" i="89"/>
  <c r="AW27" i="89"/>
  <c r="BB27" i="89"/>
  <c r="BA27" i="89"/>
  <c r="BN29" i="89"/>
  <c r="BM29" i="89"/>
  <c r="AK29" i="89"/>
  <c r="BN31" i="89"/>
  <c r="AZ31" i="89"/>
  <c r="BJ31" i="89"/>
  <c r="H31" i="89" s="1"/>
  <c r="BF31" i="89" s="1"/>
  <c r="AK31" i="89"/>
  <c r="BN35" i="89"/>
  <c r="BJ35" i="89"/>
  <c r="H35" i="89" s="1"/>
  <c r="BF35" i="89" s="1"/>
  <c r="AK35" i="89"/>
  <c r="BB10" i="89"/>
  <c r="BA10" i="89"/>
  <c r="BK10" i="89"/>
  <c r="AY10" i="89"/>
  <c r="AX10" i="89"/>
  <c r="BI10" i="89"/>
  <c r="AZ10" i="89" s="1"/>
  <c r="AW10" i="89"/>
  <c r="BN15" i="89"/>
  <c r="AZ15" i="89"/>
  <c r="AK15" i="89"/>
  <c r="B13" i="89"/>
  <c r="BK24" i="89"/>
  <c r="I24" i="89" s="1"/>
  <c r="AY24" i="89"/>
  <c r="BI24" i="89"/>
  <c r="AZ24" i="89" s="1"/>
  <c r="AW24" i="89"/>
  <c r="BB24" i="89"/>
  <c r="BA24" i="89"/>
  <c r="BN22" i="89"/>
  <c r="BM22" i="89"/>
  <c r="AZ22" i="89"/>
  <c r="BJ22" i="89"/>
  <c r="H22" i="89" s="1"/>
  <c r="BF22" i="89" s="1"/>
  <c r="AK22" i="89"/>
  <c r="BN26" i="89"/>
  <c r="BM26" i="89"/>
  <c r="BJ26" i="89"/>
  <c r="H26" i="89" s="1"/>
  <c r="BF26" i="89" s="1"/>
  <c r="AK26" i="89"/>
  <c r="B16" i="89"/>
  <c r="AP16" i="89" s="1"/>
  <c r="BG16" i="89" s="1"/>
  <c r="BN11" i="89"/>
  <c r="AZ11" i="89"/>
  <c r="BJ11" i="89"/>
  <c r="H11" i="89" s="1"/>
  <c r="BF11" i="89" s="1"/>
  <c r="AK11" i="89"/>
  <c r="BK21" i="89"/>
  <c r="I21" i="89" s="1"/>
  <c r="AY21" i="89"/>
  <c r="BI21" i="89"/>
  <c r="AZ21" i="89" s="1"/>
  <c r="AW21" i="89"/>
  <c r="BB21" i="89"/>
  <c r="BA21" i="89"/>
  <c r="BK17" i="89"/>
  <c r="I17" i="89" s="1"/>
  <c r="AY17" i="89"/>
  <c r="BI17" i="89"/>
  <c r="AZ17" i="89" s="1"/>
  <c r="AW17" i="89"/>
  <c r="BB17" i="89"/>
  <c r="BA17" i="89"/>
  <c r="BM11" i="89"/>
  <c r="BK13" i="89"/>
  <c r="AY13" i="89"/>
  <c r="AX13" i="89"/>
  <c r="BI13" i="89"/>
  <c r="AZ13" i="89" s="1"/>
  <c r="AW13" i="89"/>
  <c r="BB13" i="89"/>
  <c r="BA13" i="89"/>
  <c r="BN23" i="89"/>
  <c r="BM23" i="89"/>
  <c r="BJ23" i="89"/>
  <c r="H23" i="89" s="1"/>
  <c r="BF23" i="89" s="1"/>
  <c r="AK23" i="89"/>
  <c r="BM19" i="89"/>
  <c r="AX16" i="87"/>
  <c r="BB18" i="89"/>
  <c r="BA18" i="89"/>
  <c r="BK18" i="89"/>
  <c r="I18" i="89" s="1"/>
  <c r="AY18" i="89"/>
  <c r="BI18" i="89"/>
  <c r="AZ18" i="89" s="1"/>
  <c r="AW18" i="89"/>
  <c r="BK9" i="89"/>
  <c r="AY9" i="89"/>
  <c r="AX9" i="89"/>
  <c r="BI9" i="89"/>
  <c r="AZ9" i="89" s="1"/>
  <c r="AW9" i="89"/>
  <c r="BB9" i="89"/>
  <c r="BA9" i="89"/>
  <c r="AJ15" i="88"/>
  <c r="BK30" i="88"/>
  <c r="I30" i="88" s="1"/>
  <c r="AY30" i="88"/>
  <c r="BI30" i="88"/>
  <c r="AW30" i="88"/>
  <c r="BB30" i="88"/>
  <c r="BA30" i="88"/>
  <c r="BK13" i="88"/>
  <c r="I13" i="88" s="1"/>
  <c r="AY13" i="88"/>
  <c r="AX13" i="88"/>
  <c r="BI13" i="88"/>
  <c r="AZ13" i="88" s="1"/>
  <c r="AW13" i="88"/>
  <c r="BB13" i="88"/>
  <c r="BA13" i="88"/>
  <c r="BN26" i="88"/>
  <c r="BM26" i="88"/>
  <c r="BJ26" i="88"/>
  <c r="H26" i="88" s="1"/>
  <c r="BF26" i="88" s="1"/>
  <c r="AK26" i="88"/>
  <c r="AK31" i="86"/>
  <c r="AM31" i="86" s="1"/>
  <c r="BB16" i="88"/>
  <c r="BA16" i="88"/>
  <c r="BK16" i="88"/>
  <c r="I16" i="88" s="1"/>
  <c r="AY16" i="88"/>
  <c r="BI16" i="88"/>
  <c r="AW16" i="88"/>
  <c r="BN11" i="88"/>
  <c r="BM11" i="88"/>
  <c r="AO11" i="88"/>
  <c r="BJ11" i="88"/>
  <c r="H11" i="88" s="1"/>
  <c r="BF11" i="88" s="1"/>
  <c r="AK11" i="88"/>
  <c r="BN35" i="88"/>
  <c r="BJ35" i="88"/>
  <c r="H35" i="88" s="1"/>
  <c r="BF35" i="88" s="1"/>
  <c r="AK35" i="88"/>
  <c r="BB20" i="88"/>
  <c r="BA20" i="88"/>
  <c r="BK20" i="88"/>
  <c r="I20" i="88" s="1"/>
  <c r="AY20" i="88"/>
  <c r="AX20" i="88"/>
  <c r="BI20" i="88"/>
  <c r="AZ20" i="88" s="1"/>
  <c r="AW20" i="88"/>
  <c r="BB12" i="88"/>
  <c r="BA12" i="88"/>
  <c r="BK12" i="88"/>
  <c r="I12" i="88" s="1"/>
  <c r="AY12" i="88"/>
  <c r="AX12" i="88"/>
  <c r="BI12" i="88"/>
  <c r="AZ12" i="88" s="1"/>
  <c r="AW12" i="88"/>
  <c r="BK27" i="88"/>
  <c r="I27" i="88" s="1"/>
  <c r="AY27" i="88"/>
  <c r="BI27" i="88"/>
  <c r="AW27" i="88"/>
  <c r="BB27" i="88"/>
  <c r="BA27" i="88"/>
  <c r="B11" i="88"/>
  <c r="B12" i="88" s="1"/>
  <c r="AI29" i="88"/>
  <c r="C29" i="88" s="1"/>
  <c r="BB8" i="88"/>
  <c r="BA8" i="88"/>
  <c r="BK8" i="88"/>
  <c r="I8" i="88" s="1"/>
  <c r="AY8" i="88"/>
  <c r="AX8" i="88"/>
  <c r="BI8" i="88"/>
  <c r="AW8" i="88"/>
  <c r="BK9" i="88"/>
  <c r="I9" i="88" s="1"/>
  <c r="AY9" i="88"/>
  <c r="AX9" i="88"/>
  <c r="BI9" i="88"/>
  <c r="AZ9" i="88" s="1"/>
  <c r="AW9" i="88"/>
  <c r="BB9" i="88"/>
  <c r="BA9" i="88"/>
  <c r="BN23" i="88"/>
  <c r="BM23" i="88"/>
  <c r="BJ23" i="88"/>
  <c r="H23" i="88" s="1"/>
  <c r="BF23" i="88" s="1"/>
  <c r="AK23" i="88"/>
  <c r="BN18" i="88"/>
  <c r="BJ18" i="88"/>
  <c r="H18" i="88" s="1"/>
  <c r="BF18" i="88" s="1"/>
  <c r="AK18" i="88"/>
  <c r="BN36" i="88"/>
  <c r="BM36" i="88"/>
  <c r="BJ36" i="88"/>
  <c r="H36" i="88" s="1"/>
  <c r="BF36" i="88" s="1"/>
  <c r="AK36" i="88"/>
  <c r="AK29" i="86"/>
  <c r="AM29" i="86" s="1"/>
  <c r="AZ11" i="88"/>
  <c r="BN19" i="88"/>
  <c r="BM19" i="88"/>
  <c r="BJ19" i="88"/>
  <c r="H19" i="88" s="1"/>
  <c r="BF19" i="88" s="1"/>
  <c r="AK19" i="88"/>
  <c r="AZ10" i="88"/>
  <c r="BK24" i="88"/>
  <c r="I24" i="88" s="1"/>
  <c r="AY24" i="88"/>
  <c r="BI24" i="88"/>
  <c r="AZ24" i="88" s="1"/>
  <c r="AW24" i="88"/>
  <c r="BB24" i="88"/>
  <c r="BA24" i="88"/>
  <c r="BM35" i="88"/>
  <c r="AT8" i="87"/>
  <c r="AM8" i="87"/>
  <c r="BN28" i="88"/>
  <c r="BM28" i="88"/>
  <c r="BJ28" i="88"/>
  <c r="H28" i="88" s="1"/>
  <c r="BF28" i="88" s="1"/>
  <c r="AK28" i="88"/>
  <c r="BN32" i="88"/>
  <c r="BM32" i="88"/>
  <c r="AK32" i="88"/>
  <c r="BN31" i="88"/>
  <c r="BJ31" i="88"/>
  <c r="H31" i="88" s="1"/>
  <c r="BF31" i="88" s="1"/>
  <c r="AK31" i="88"/>
  <c r="AT20" i="87"/>
  <c r="AM20" i="87"/>
  <c r="AP20" i="87" s="1"/>
  <c r="BG20" i="87" s="1"/>
  <c r="BK21" i="88"/>
  <c r="I21" i="88" s="1"/>
  <c r="AY21" i="88"/>
  <c r="BI21" i="88"/>
  <c r="AZ21" i="88" s="1"/>
  <c r="AW21" i="88"/>
  <c r="BB21" i="88"/>
  <c r="BA21" i="88"/>
  <c r="AI28" i="88"/>
  <c r="C28" i="88" s="1"/>
  <c r="AI19" i="88"/>
  <c r="C19" i="88" s="1"/>
  <c r="BM33" i="86"/>
  <c r="AZ36" i="88"/>
  <c r="BN25" i="88"/>
  <c r="BM25" i="88"/>
  <c r="BJ25" i="88"/>
  <c r="H25" i="88" s="1"/>
  <c r="BF25" i="88" s="1"/>
  <c r="AK25" i="88"/>
  <c r="BN14" i="88"/>
  <c r="AK14" i="88"/>
  <c r="BM14" i="88"/>
  <c r="AZ31" i="88"/>
  <c r="AI36" i="88"/>
  <c r="C36" i="88" s="1"/>
  <c r="AI26" i="88"/>
  <c r="C26" i="88" s="1"/>
  <c r="AK39" i="86"/>
  <c r="AM39" i="86" s="1"/>
  <c r="AZ32" i="88"/>
  <c r="BN22" i="88"/>
  <c r="BM22" i="88"/>
  <c r="BJ22" i="88"/>
  <c r="H22" i="88" s="1"/>
  <c r="BF22" i="88" s="1"/>
  <c r="AK22" i="88"/>
  <c r="BN15" i="88"/>
  <c r="BM15" i="88"/>
  <c r="AK15" i="88"/>
  <c r="BK34" i="88"/>
  <c r="I34" i="88" s="1"/>
  <c r="AY34" i="88"/>
  <c r="BI34" i="88"/>
  <c r="AW34" i="88"/>
  <c r="BB34" i="88"/>
  <c r="BA34" i="88"/>
  <c r="BK17" i="88"/>
  <c r="I17" i="88" s="1"/>
  <c r="AY17" i="88"/>
  <c r="BI17" i="88"/>
  <c r="AZ17" i="88" s="1"/>
  <c r="AW17" i="88"/>
  <c r="BB17" i="88"/>
  <c r="BA17" i="88"/>
  <c r="BN29" i="88"/>
  <c r="BM29" i="88"/>
  <c r="BJ29" i="88"/>
  <c r="H29" i="88" s="1"/>
  <c r="BF29" i="88" s="1"/>
  <c r="AK29" i="88"/>
  <c r="AI23" i="88"/>
  <c r="C23" i="88" s="1"/>
  <c r="AI35" i="88"/>
  <c r="C35" i="88" s="1"/>
  <c r="AI31" i="88"/>
  <c r="C31" i="88" s="1"/>
  <c r="AI18" i="88"/>
  <c r="C18" i="88" s="1"/>
  <c r="AI34" i="88"/>
  <c r="C34" i="88" s="1"/>
  <c r="AI30" i="88"/>
  <c r="C30" i="88" s="1"/>
  <c r="AI27" i="88"/>
  <c r="C27" i="88" s="1"/>
  <c r="AI24" i="88"/>
  <c r="C24" i="88" s="1"/>
  <c r="AI21" i="88"/>
  <c r="C21" i="88" s="1"/>
  <c r="AI17" i="88"/>
  <c r="C17" i="88" s="1"/>
  <c r="AI33" i="88"/>
  <c r="C33" i="88" s="1"/>
  <c r="AI16" i="88"/>
  <c r="C16" i="88" s="1"/>
  <c r="AI25" i="88"/>
  <c r="C25" i="88" s="1"/>
  <c r="AR20" i="87"/>
  <c r="AV20" i="87" s="1"/>
  <c r="AN41" i="87"/>
  <c r="BB33" i="88"/>
  <c r="BA33" i="88"/>
  <c r="BK33" i="88"/>
  <c r="I33" i="88" s="1"/>
  <c r="AY33" i="88"/>
  <c r="BI33" i="88"/>
  <c r="AZ33" i="88" s="1"/>
  <c r="AW33" i="88"/>
  <c r="BN10" i="88"/>
  <c r="AO10" i="88"/>
  <c r="BJ10" i="88"/>
  <c r="H10" i="88" s="1"/>
  <c r="BF10" i="88" s="1"/>
  <c r="AK10" i="88"/>
  <c r="BN12" i="87"/>
  <c r="BJ12" i="87"/>
  <c r="H12" i="87" s="1"/>
  <c r="BF12" i="87" s="1"/>
  <c r="BM12" i="87"/>
  <c r="AK12" i="87"/>
  <c r="BN22" i="87"/>
  <c r="BM22" i="87"/>
  <c r="BJ22" i="87"/>
  <c r="H22" i="87" s="1"/>
  <c r="BF22" i="87" s="1"/>
  <c r="AK22" i="87"/>
  <c r="BK17" i="87"/>
  <c r="I17" i="87" s="1"/>
  <c r="AY17" i="87"/>
  <c r="BI17" i="87"/>
  <c r="AZ17" i="87" s="1"/>
  <c r="AW17" i="87"/>
  <c r="BA17" i="87"/>
  <c r="BB17" i="87"/>
  <c r="BN15" i="87"/>
  <c r="BM15" i="87"/>
  <c r="AK15" i="87"/>
  <c r="AI26" i="87"/>
  <c r="C26" i="87" s="1"/>
  <c r="AI29" i="87"/>
  <c r="C29" i="87" s="1"/>
  <c r="AJ16" i="87"/>
  <c r="AJ17" i="87" s="1"/>
  <c r="AJ18" i="87" s="1"/>
  <c r="AJ19" i="87" s="1"/>
  <c r="AJ20" i="87" s="1"/>
  <c r="BK13" i="87"/>
  <c r="AY13" i="87"/>
  <c r="AX13" i="87"/>
  <c r="BI13" i="87"/>
  <c r="AZ13" i="87" s="1"/>
  <c r="AW13" i="87"/>
  <c r="BA13" i="87"/>
  <c r="BB13" i="87"/>
  <c r="BB26" i="87"/>
  <c r="BA26" i="87"/>
  <c r="BK26" i="87"/>
  <c r="I26" i="87" s="1"/>
  <c r="AY26" i="87"/>
  <c r="AW26" i="87"/>
  <c r="BI26" i="87"/>
  <c r="AZ26" i="87" s="1"/>
  <c r="BK21" i="87"/>
  <c r="I21" i="87" s="1"/>
  <c r="AY21" i="87"/>
  <c r="BI21" i="87"/>
  <c r="AZ21" i="87" s="1"/>
  <c r="AW21" i="87"/>
  <c r="BB21" i="87"/>
  <c r="BA21" i="87"/>
  <c r="AN25" i="86"/>
  <c r="BE4" i="86"/>
  <c r="AN12" i="86"/>
  <c r="AN16" i="86"/>
  <c r="BB18" i="87"/>
  <c r="BA18" i="87"/>
  <c r="BK18" i="87"/>
  <c r="I18" i="87" s="1"/>
  <c r="AY18" i="87"/>
  <c r="AW18" i="87"/>
  <c r="BI18" i="87"/>
  <c r="AI23" i="87"/>
  <c r="C23" i="87" s="1"/>
  <c r="BK9" i="87"/>
  <c r="AY9" i="87"/>
  <c r="AX9" i="87"/>
  <c r="BI9" i="87"/>
  <c r="AZ9" i="87" s="1"/>
  <c r="AW9" i="87"/>
  <c r="BA9" i="87"/>
  <c r="BB9" i="87"/>
  <c r="BB23" i="87"/>
  <c r="BA23" i="87"/>
  <c r="BI23" i="87"/>
  <c r="AZ23" i="87" s="1"/>
  <c r="BK23" i="87"/>
  <c r="I23" i="87" s="1"/>
  <c r="AY23" i="87"/>
  <c r="AW23" i="87"/>
  <c r="AN22" i="86"/>
  <c r="AN28" i="86"/>
  <c r="BN28" i="87"/>
  <c r="BM28" i="87"/>
  <c r="AK28" i="87"/>
  <c r="BB14" i="87"/>
  <c r="BA14" i="87"/>
  <c r="AX14" i="87"/>
  <c r="BK14" i="87"/>
  <c r="I14" i="87" s="1"/>
  <c r="AY14" i="87"/>
  <c r="AW14" i="87"/>
  <c r="BI14" i="87"/>
  <c r="AZ14" i="87" s="1"/>
  <c r="BK30" i="87"/>
  <c r="I30" i="87" s="1"/>
  <c r="AY30" i="87"/>
  <c r="BI30" i="87"/>
  <c r="AZ30" i="87" s="1"/>
  <c r="AW30" i="87"/>
  <c r="BA30" i="87"/>
  <c r="BB30" i="87"/>
  <c r="AI18" i="87"/>
  <c r="C18" i="87" s="1"/>
  <c r="AI30" i="87"/>
  <c r="C30" i="87" s="1"/>
  <c r="AI27" i="87"/>
  <c r="C27" i="87" s="1"/>
  <c r="AI24" i="87"/>
  <c r="C24" i="87" s="1"/>
  <c r="AI21" i="87"/>
  <c r="C21" i="87" s="1"/>
  <c r="AI17" i="87"/>
  <c r="C17" i="87" s="1"/>
  <c r="AI19" i="87"/>
  <c r="C19" i="87" s="1"/>
  <c r="I11" i="87"/>
  <c r="AO11" i="87"/>
  <c r="BK27" i="87"/>
  <c r="I27" i="87" s="1"/>
  <c r="AY27" i="87"/>
  <c r="BI27" i="87"/>
  <c r="AZ27" i="87" s="1"/>
  <c r="AW27" i="87"/>
  <c r="BB27" i="87"/>
  <c r="BA27" i="87"/>
  <c r="B11" i="87"/>
  <c r="B12" i="87"/>
  <c r="BB29" i="87"/>
  <c r="BA29" i="87"/>
  <c r="BI29" i="87"/>
  <c r="AZ29" i="87" s="1"/>
  <c r="AW29" i="87"/>
  <c r="BK29" i="87"/>
  <c r="I29" i="87" s="1"/>
  <c r="AY29" i="87"/>
  <c r="BN25" i="87"/>
  <c r="BM25" i="87"/>
  <c r="BJ25" i="87"/>
  <c r="H25" i="87" s="1"/>
  <c r="BF25" i="87" s="1"/>
  <c r="AK25" i="87"/>
  <c r="BB10" i="87"/>
  <c r="BA10" i="87"/>
  <c r="AX10" i="87"/>
  <c r="BK10" i="87"/>
  <c r="AY10" i="87"/>
  <c r="BI10" i="87"/>
  <c r="AW10" i="87"/>
  <c r="BN19" i="87"/>
  <c r="BM19" i="87"/>
  <c r="BJ19" i="87"/>
  <c r="H19" i="87" s="1"/>
  <c r="BF19" i="87" s="1"/>
  <c r="AK19" i="87"/>
  <c r="BK24" i="87"/>
  <c r="I24" i="87" s="1"/>
  <c r="AY24" i="87"/>
  <c r="BI24" i="87"/>
  <c r="AZ24" i="87" s="1"/>
  <c r="AW24" i="87"/>
  <c r="BB24" i="87"/>
  <c r="BA24" i="87"/>
  <c r="AV45" i="87"/>
  <c r="BG8" i="87"/>
  <c r="BN11" i="87"/>
  <c r="AK11" i="87"/>
  <c r="BJ11" i="87"/>
  <c r="H11" i="87" s="1"/>
  <c r="BF11" i="87" s="1"/>
  <c r="BM11" i="87"/>
  <c r="BM26" i="84"/>
  <c r="BD4" i="86"/>
  <c r="AU41" i="86"/>
  <c r="BC4" i="86"/>
  <c r="AQ41" i="86"/>
  <c r="AI19" i="86"/>
  <c r="C19" i="86" s="1"/>
  <c r="B10" i="86"/>
  <c r="B9" i="86"/>
  <c r="AI23" i="86"/>
  <c r="C23" i="86" s="1"/>
  <c r="B11" i="86"/>
  <c r="AI12" i="86"/>
  <c r="C12" i="86" s="1"/>
  <c r="AR44" i="86"/>
  <c r="AI26" i="86" s="1"/>
  <c r="C26" i="86" s="1"/>
  <c r="BB22" i="86"/>
  <c r="BB28" i="86"/>
  <c r="BL9" i="86"/>
  <c r="AW10" i="86"/>
  <c r="BI10" i="86"/>
  <c r="BL13" i="86"/>
  <c r="AW14" i="86"/>
  <c r="BI14" i="86"/>
  <c r="AZ14" i="86" s="1"/>
  <c r="BL17" i="86"/>
  <c r="AW18" i="86"/>
  <c r="BI18" i="86"/>
  <c r="AZ18" i="86" s="1"/>
  <c r="BL21" i="86"/>
  <c r="BL24" i="86"/>
  <c r="BL27" i="86"/>
  <c r="BL30" i="86"/>
  <c r="BL34" i="86"/>
  <c r="BL38" i="86"/>
  <c r="AX10" i="86"/>
  <c r="AX14" i="86"/>
  <c r="AW23" i="86"/>
  <c r="BI23" i="86"/>
  <c r="AZ23" i="86" s="1"/>
  <c r="AW26" i="86"/>
  <c r="BI26" i="86"/>
  <c r="BM30" i="86"/>
  <c r="BM34" i="86"/>
  <c r="BM38" i="86"/>
  <c r="G9" i="86"/>
  <c r="AY10" i="86"/>
  <c r="BK10" i="86"/>
  <c r="I10" i="86" s="1"/>
  <c r="G13" i="86"/>
  <c r="AY14" i="86"/>
  <c r="BK14" i="86"/>
  <c r="I14" i="86" s="1"/>
  <c r="G17" i="86"/>
  <c r="AY18" i="86"/>
  <c r="BK18" i="86"/>
  <c r="I18" i="86" s="1"/>
  <c r="G21" i="86"/>
  <c r="G24" i="86"/>
  <c r="G27" i="86"/>
  <c r="AW11" i="86"/>
  <c r="BI11" i="86"/>
  <c r="AW15" i="86"/>
  <c r="BI15" i="86"/>
  <c r="AW19" i="86"/>
  <c r="BI19" i="86"/>
  <c r="AY23" i="86"/>
  <c r="BK23" i="86"/>
  <c r="I23" i="86" s="1"/>
  <c r="AY26" i="86"/>
  <c r="BK26" i="86"/>
  <c r="I26" i="86" s="1"/>
  <c r="AW22" i="86"/>
  <c r="BI22" i="86"/>
  <c r="BA23" i="86"/>
  <c r="AW25" i="86"/>
  <c r="BI25" i="86"/>
  <c r="AZ25" i="86" s="1"/>
  <c r="BA26" i="86"/>
  <c r="AW28" i="86"/>
  <c r="BI28" i="86"/>
  <c r="AZ28" i="86" s="1"/>
  <c r="AY25" i="86"/>
  <c r="BK25" i="86"/>
  <c r="I25" i="86" s="1"/>
  <c r="AY28" i="86"/>
  <c r="BK28" i="86"/>
  <c r="I28" i="86" s="1"/>
  <c r="AJ9" i="86"/>
  <c r="G8" i="86"/>
  <c r="G12" i="86"/>
  <c r="G16" i="86"/>
  <c r="G20" i="86"/>
  <c r="AN22" i="84"/>
  <c r="AJ15" i="84"/>
  <c r="BF14" i="84"/>
  <c r="AT28" i="84"/>
  <c r="AR28" i="84"/>
  <c r="AV28" i="84" s="1"/>
  <c r="AM28" i="84"/>
  <c r="AT26" i="84"/>
  <c r="AM26" i="84"/>
  <c r="AX26" i="84"/>
  <c r="AR26" i="84"/>
  <c r="AV26" i="84" s="1"/>
  <c r="BI9" i="84"/>
  <c r="AZ9" i="84" s="1"/>
  <c r="BK24" i="84"/>
  <c r="I24" i="84" s="1"/>
  <c r="AY24" i="84"/>
  <c r="AW9" i="84"/>
  <c r="BB39" i="84"/>
  <c r="BA39" i="84"/>
  <c r="BK39" i="84"/>
  <c r="I39" i="84" s="1"/>
  <c r="AY39" i="84"/>
  <c r="BI39" i="84"/>
  <c r="BM39" i="84" s="1"/>
  <c r="AW39" i="84"/>
  <c r="G20" i="84"/>
  <c r="BB24" i="84"/>
  <c r="BK10" i="84"/>
  <c r="I10" i="84" s="1"/>
  <c r="BK14" i="84"/>
  <c r="I14" i="84" s="1"/>
  <c r="BK18" i="84"/>
  <c r="I18" i="84" s="1"/>
  <c r="BN25" i="84"/>
  <c r="BJ25" i="84"/>
  <c r="H25" i="84" s="1"/>
  <c r="BF25" i="84" s="1"/>
  <c r="BB32" i="84"/>
  <c r="BI32" i="84"/>
  <c r="AZ32" i="84" s="1"/>
  <c r="AW32" i="84"/>
  <c r="AV43" i="84"/>
  <c r="AV44" i="84" s="1"/>
  <c r="BL12" i="84"/>
  <c r="AY14" i="84"/>
  <c r="AN18" i="84"/>
  <c r="AY18" i="84"/>
  <c r="BL20" i="84"/>
  <c r="BM25" i="84"/>
  <c r="BA31" i="84"/>
  <c r="BK31" i="84"/>
  <c r="I31" i="84" s="1"/>
  <c r="AY31" i="84"/>
  <c r="BI31" i="84"/>
  <c r="AW31" i="84"/>
  <c r="BB31" i="84"/>
  <c r="AI37" i="84"/>
  <c r="C37" i="84" s="1"/>
  <c r="BK9" i="84"/>
  <c r="I9" i="84" s="1"/>
  <c r="AY9" i="84"/>
  <c r="AW24" i="84"/>
  <c r="G33" i="84"/>
  <c r="BA24" i="84"/>
  <c r="BL16" i="84"/>
  <c r="BI22" i="84"/>
  <c r="BJ26" i="84"/>
  <c r="H26" i="84" s="1"/>
  <c r="BF26" i="84" s="1"/>
  <c r="AZ28" i="84"/>
  <c r="AI29" i="84"/>
  <c r="C29" i="84" s="1"/>
  <c r="G27" i="84"/>
  <c r="BL27" i="84"/>
  <c r="BK32" i="84"/>
  <c r="I32" i="84" s="1"/>
  <c r="AI21" i="84"/>
  <c r="C21" i="84" s="1"/>
  <c r="AI9" i="84"/>
  <c r="C9" i="84" s="1"/>
  <c r="G12" i="84"/>
  <c r="AI30" i="84"/>
  <c r="C30" i="84" s="1"/>
  <c r="BI19" i="84"/>
  <c r="AW19" i="84"/>
  <c r="G13" i="84"/>
  <c r="G21" i="84"/>
  <c r="AK25" i="84"/>
  <c r="AX25" i="84" s="1"/>
  <c r="AI26" i="84"/>
  <c r="C26" i="84" s="1"/>
  <c r="AI19" i="84"/>
  <c r="C19" i="84" s="1"/>
  <c r="BL33" i="84"/>
  <c r="AI16" i="84"/>
  <c r="C16" i="84" s="1"/>
  <c r="BE4" i="84"/>
  <c r="BA10" i="84"/>
  <c r="BI10" i="84"/>
  <c r="AW10" i="84"/>
  <c r="BB10" i="84"/>
  <c r="AI10" i="84"/>
  <c r="C10" i="84" s="1"/>
  <c r="AX11" i="84"/>
  <c r="BI11" i="84"/>
  <c r="AW11" i="84"/>
  <c r="AX15" i="84"/>
  <c r="BI15" i="84"/>
  <c r="AW15" i="84"/>
  <c r="BK22" i="84"/>
  <c r="I22" i="84" s="1"/>
  <c r="BI24" i="84"/>
  <c r="BM24" i="84" s="1"/>
  <c r="AZ25" i="84"/>
  <c r="BK11" i="84"/>
  <c r="I11" i="84" s="1"/>
  <c r="G17" i="84"/>
  <c r="BK19" i="84"/>
  <c r="I19" i="84" s="1"/>
  <c r="AY22" i="84"/>
  <c r="BN28" i="84"/>
  <c r="BJ28" i="84"/>
  <c r="H28" i="84" s="1"/>
  <c r="BF28" i="84" s="1"/>
  <c r="E41" i="84"/>
  <c r="AV41" i="84"/>
  <c r="Q5" i="84"/>
  <c r="AT23" i="84"/>
  <c r="AM23" i="84"/>
  <c r="AP23" i="84" s="1"/>
  <c r="G8" i="84"/>
  <c r="BB15" i="84"/>
  <c r="BB19" i="84"/>
  <c r="AR23" i="84"/>
  <c r="AV23" i="84" s="1"/>
  <c r="BM23" i="84"/>
  <c r="BM28" i="84"/>
  <c r="G30" i="84"/>
  <c r="BL30" i="84"/>
  <c r="AI33" i="84"/>
  <c r="C33" i="84" s="1"/>
  <c r="BA35" i="84"/>
  <c r="BK35" i="84"/>
  <c r="I35" i="84" s="1"/>
  <c r="AY35" i="84"/>
  <c r="BI35" i="84"/>
  <c r="AW35" i="84"/>
  <c r="AI12" i="84"/>
  <c r="C12" i="84" s="1"/>
  <c r="AI17" i="84"/>
  <c r="C17" i="84" s="1"/>
  <c r="AI20" i="84"/>
  <c r="C20" i="84" s="1"/>
  <c r="G37" i="84"/>
  <c r="BL37" i="84"/>
  <c r="AX9" i="84"/>
  <c r="BA14" i="84"/>
  <c r="BI14" i="84"/>
  <c r="AW14" i="84"/>
  <c r="BA18" i="84"/>
  <c r="BI18" i="84"/>
  <c r="AZ18" i="84" s="1"/>
  <c r="AW18" i="84"/>
  <c r="AQ41" i="84"/>
  <c r="G16" i="84"/>
  <c r="BA32" i="84"/>
  <c r="AI36" i="84"/>
  <c r="C36" i="84" s="1"/>
  <c r="AI39" i="84"/>
  <c r="C39" i="84" s="1"/>
  <c r="AI35" i="84"/>
  <c r="C35" i="84" s="1"/>
  <c r="AI31" i="84"/>
  <c r="C31" i="84" s="1"/>
  <c r="AI38" i="84"/>
  <c r="C38" i="84" s="1"/>
  <c r="AI34" i="84"/>
  <c r="C34" i="84" s="1"/>
  <c r="AI28" i="84"/>
  <c r="C28" i="84" s="1"/>
  <c r="AI25" i="84"/>
  <c r="C25" i="84" s="1"/>
  <c r="AI22" i="84"/>
  <c r="C22" i="84" s="1"/>
  <c r="B10" i="84"/>
  <c r="B9" i="84"/>
  <c r="BB9" i="84"/>
  <c r="BB11" i="84"/>
  <c r="AS41" i="84"/>
  <c r="AX10" i="84"/>
  <c r="AX14" i="84"/>
  <c r="AI27" i="84"/>
  <c r="C27" i="84" s="1"/>
  <c r="BL34" i="84"/>
  <c r="BL38" i="84"/>
  <c r="BJ29" i="84"/>
  <c r="H29" i="84" s="1"/>
  <c r="BF29" i="84" s="1"/>
  <c r="G34" i="84"/>
  <c r="G38" i="84"/>
  <c r="AY23" i="84"/>
  <c r="BK23" i="84"/>
  <c r="I23" i="84" s="1"/>
  <c r="AY26" i="84"/>
  <c r="BK26" i="84"/>
  <c r="I26" i="84" s="1"/>
  <c r="AY29" i="84"/>
  <c r="BK29" i="84"/>
  <c r="I29" i="84" s="1"/>
  <c r="AW36" i="84"/>
  <c r="BI36" i="84"/>
  <c r="AZ23" i="84"/>
  <c r="AZ26" i="84"/>
  <c r="AZ29" i="84"/>
  <c r="AX28" i="84"/>
  <c r="BA36" i="84"/>
  <c r="U48" i="82"/>
  <c r="BE43" i="82"/>
  <c r="AT43" i="82"/>
  <c r="AT44" i="82" s="1"/>
  <c r="BN39" i="82"/>
  <c r="BL39" i="82"/>
  <c r="BK39" i="82"/>
  <c r="I39" i="82" s="1"/>
  <c r="BJ39" i="82"/>
  <c r="H39" i="82" s="1"/>
  <c r="BF39" i="82" s="1"/>
  <c r="BI39" i="82"/>
  <c r="AK39" i="82" s="1"/>
  <c r="AM39" i="82" s="1"/>
  <c r="BH39" i="82"/>
  <c r="G39" i="82" s="1"/>
  <c r="BG39" i="82"/>
  <c r="BE39" i="82"/>
  <c r="BD39" i="82"/>
  <c r="BC39" i="82"/>
  <c r="BB39" i="82"/>
  <c r="BA39" i="82"/>
  <c r="AZ39" i="82"/>
  <c r="AY39" i="82"/>
  <c r="AX39" i="82"/>
  <c r="AW39" i="82"/>
  <c r="AU39" i="82"/>
  <c r="AT39" i="82"/>
  <c r="AS39" i="82"/>
  <c r="AR39" i="82"/>
  <c r="AV39" i="82" s="1"/>
  <c r="AQ39" i="82"/>
  <c r="AP39" i="82"/>
  <c r="AO39" i="82"/>
  <c r="AL39" i="82"/>
  <c r="AJ39" i="82"/>
  <c r="AI39" i="82"/>
  <c r="AH39" i="82"/>
  <c r="AN39" i="82" s="1"/>
  <c r="AG39" i="82"/>
  <c r="C39" i="82"/>
  <c r="B39" i="82"/>
  <c r="BN38" i="82"/>
  <c r="BL38" i="82"/>
  <c r="BK38" i="82"/>
  <c r="I38" i="82" s="1"/>
  <c r="BJ38" i="82"/>
  <c r="H38" i="82" s="1"/>
  <c r="BF38" i="82" s="1"/>
  <c r="BI38" i="82"/>
  <c r="BM38" i="82" s="1"/>
  <c r="BH38" i="82"/>
  <c r="BG38" i="82"/>
  <c r="BE38" i="82"/>
  <c r="BD38" i="82"/>
  <c r="BC38" i="82"/>
  <c r="BB38" i="82"/>
  <c r="BA38" i="82"/>
  <c r="AZ38" i="82"/>
  <c r="AY38" i="82"/>
  <c r="AX38" i="82"/>
  <c r="AW38" i="82"/>
  <c r="AU38" i="82"/>
  <c r="AT38" i="82"/>
  <c r="AS38" i="82"/>
  <c r="AR38" i="82"/>
  <c r="AV38" i="82" s="1"/>
  <c r="AQ38" i="82"/>
  <c r="AP38" i="82"/>
  <c r="AO38" i="82"/>
  <c r="AL38" i="82"/>
  <c r="AJ38" i="82"/>
  <c r="AI38" i="82"/>
  <c r="AH38" i="82"/>
  <c r="AN38" i="82" s="1"/>
  <c r="AG38" i="82"/>
  <c r="G38" i="82"/>
  <c r="C38" i="82"/>
  <c r="B38" i="82"/>
  <c r="BN37" i="82"/>
  <c r="BL37" i="82"/>
  <c r="BK37" i="82"/>
  <c r="I37" i="82" s="1"/>
  <c r="BJ37" i="82"/>
  <c r="H37" i="82" s="1"/>
  <c r="BF37" i="82" s="1"/>
  <c r="BI37" i="82"/>
  <c r="AK37" i="82" s="1"/>
  <c r="AM37" i="82" s="1"/>
  <c r="BH37" i="82"/>
  <c r="BG37" i="82"/>
  <c r="BE37" i="82"/>
  <c r="BD37" i="82"/>
  <c r="BC37" i="82"/>
  <c r="BB37" i="82"/>
  <c r="BA37" i="82"/>
  <c r="AZ37" i="82"/>
  <c r="AY37" i="82"/>
  <c r="AX37" i="82"/>
  <c r="AW37" i="82"/>
  <c r="AU37" i="82"/>
  <c r="AT37" i="82"/>
  <c r="AS37" i="82"/>
  <c r="AR37" i="82"/>
  <c r="AV37" i="82" s="1"/>
  <c r="AQ37" i="82"/>
  <c r="AP37" i="82"/>
  <c r="AO37" i="82"/>
  <c r="AL37" i="82"/>
  <c r="AJ37" i="82"/>
  <c r="AI37" i="82"/>
  <c r="AH37" i="82"/>
  <c r="AN37" i="82" s="1"/>
  <c r="AG37" i="82"/>
  <c r="G37" i="82"/>
  <c r="C37" i="82"/>
  <c r="B37" i="82"/>
  <c r="BN36" i="82"/>
  <c r="BK36" i="82"/>
  <c r="I36" i="82" s="1"/>
  <c r="BJ36" i="82"/>
  <c r="H36" i="82" s="1"/>
  <c r="BF36" i="82" s="1"/>
  <c r="BI36" i="82"/>
  <c r="AK36" i="82" s="1"/>
  <c r="AM36" i="82" s="1"/>
  <c r="BH36" i="82"/>
  <c r="G36" i="82" s="1"/>
  <c r="BG36" i="82"/>
  <c r="BE36" i="82"/>
  <c r="BD36" i="82"/>
  <c r="BC36" i="82"/>
  <c r="BB36" i="82"/>
  <c r="BA36" i="82"/>
  <c r="AZ36" i="82"/>
  <c r="AY36" i="82"/>
  <c r="AX36" i="82"/>
  <c r="AW36" i="82"/>
  <c r="AU36" i="82"/>
  <c r="AT36" i="82"/>
  <c r="AS36" i="82"/>
  <c r="AR36" i="82"/>
  <c r="AV36" i="82" s="1"/>
  <c r="AQ36" i="82"/>
  <c r="AP36" i="82"/>
  <c r="AO36" i="82"/>
  <c r="AL36" i="82"/>
  <c r="AJ36" i="82"/>
  <c r="AI36" i="82"/>
  <c r="AH36" i="82"/>
  <c r="AN36" i="82" s="1"/>
  <c r="AG36" i="82"/>
  <c r="C36" i="82"/>
  <c r="B36" i="82"/>
  <c r="BN35" i="82"/>
  <c r="BL35" i="82"/>
  <c r="BK35" i="82"/>
  <c r="I35" i="82" s="1"/>
  <c r="BJ35" i="82"/>
  <c r="H35" i="82" s="1"/>
  <c r="BF35" i="82" s="1"/>
  <c r="BI35" i="82"/>
  <c r="AK35" i="82" s="1"/>
  <c r="AM35" i="82" s="1"/>
  <c r="BH35" i="82"/>
  <c r="G35" i="82" s="1"/>
  <c r="BG35" i="82"/>
  <c r="BE35" i="82"/>
  <c r="BD35" i="82"/>
  <c r="BC35" i="82"/>
  <c r="BB35" i="82"/>
  <c r="BA35" i="82"/>
  <c r="AZ35" i="82"/>
  <c r="AY35" i="82"/>
  <c r="AX35" i="82"/>
  <c r="AW35" i="82"/>
  <c r="AU35" i="82"/>
  <c r="AT35" i="82"/>
  <c r="AS35" i="82"/>
  <c r="AR35" i="82"/>
  <c r="AV35" i="82" s="1"/>
  <c r="AQ35" i="82"/>
  <c r="AP35" i="82"/>
  <c r="AO35" i="82"/>
  <c r="AL35" i="82"/>
  <c r="AJ35" i="82"/>
  <c r="AI35" i="82"/>
  <c r="AH35" i="82"/>
  <c r="AN35" i="82" s="1"/>
  <c r="AG35" i="82"/>
  <c r="C35" i="82"/>
  <c r="B35" i="82"/>
  <c r="BN34" i="82"/>
  <c r="BL34" i="82"/>
  <c r="BK34" i="82"/>
  <c r="I34" i="82" s="1"/>
  <c r="BJ34" i="82"/>
  <c r="H34" i="82" s="1"/>
  <c r="BF34" i="82" s="1"/>
  <c r="BI34" i="82"/>
  <c r="BM34" i="82" s="1"/>
  <c r="BH34" i="82"/>
  <c r="BG34" i="82"/>
  <c r="BE34" i="82"/>
  <c r="BD34" i="82"/>
  <c r="BC34" i="82"/>
  <c r="BB34" i="82"/>
  <c r="BA34" i="82"/>
  <c r="AZ34" i="82"/>
  <c r="AY34" i="82"/>
  <c r="AX34" i="82"/>
  <c r="AW34" i="82"/>
  <c r="AU34" i="82"/>
  <c r="AT34" i="82"/>
  <c r="AS34" i="82"/>
  <c r="AR34" i="82"/>
  <c r="AV34" i="82" s="1"/>
  <c r="AQ34" i="82"/>
  <c r="AP34" i="82"/>
  <c r="AO34" i="82"/>
  <c r="AL34" i="82"/>
  <c r="AJ34" i="82"/>
  <c r="AI34" i="82"/>
  <c r="AH34" i="82"/>
  <c r="AN34" i="82" s="1"/>
  <c r="AG34" i="82"/>
  <c r="G34" i="82"/>
  <c r="C34" i="82"/>
  <c r="B34" i="82"/>
  <c r="BN33" i="82"/>
  <c r="BL33" i="82"/>
  <c r="BK33" i="82"/>
  <c r="I33" i="82" s="1"/>
  <c r="BJ33" i="82"/>
  <c r="H33" i="82" s="1"/>
  <c r="BF33" i="82" s="1"/>
  <c r="BI33" i="82"/>
  <c r="BM33" i="82" s="1"/>
  <c r="BH33" i="82"/>
  <c r="BG33" i="82"/>
  <c r="BE33" i="82"/>
  <c r="BD33" i="82"/>
  <c r="BC33" i="82"/>
  <c r="BB33" i="82"/>
  <c r="BA33" i="82"/>
  <c r="AZ33" i="82"/>
  <c r="AY33" i="82"/>
  <c r="AX33" i="82"/>
  <c r="AW33" i="82"/>
  <c r="AU33" i="82"/>
  <c r="AT33" i="82"/>
  <c r="AS33" i="82"/>
  <c r="AR33" i="82"/>
  <c r="AV33" i="82" s="1"/>
  <c r="AQ33" i="82"/>
  <c r="AP33" i="82"/>
  <c r="AO33" i="82"/>
  <c r="AL33" i="82"/>
  <c r="AJ33" i="82"/>
  <c r="AI33" i="82"/>
  <c r="AH33" i="82"/>
  <c r="AN33" i="82" s="1"/>
  <c r="AG33" i="82"/>
  <c r="G33" i="82"/>
  <c r="C33" i="82"/>
  <c r="B33" i="82"/>
  <c r="BN32" i="82"/>
  <c r="BK32" i="82"/>
  <c r="I32" i="82" s="1"/>
  <c r="BJ32" i="82"/>
  <c r="H32" i="82" s="1"/>
  <c r="BF32" i="82" s="1"/>
  <c r="BI32" i="82"/>
  <c r="AK32" i="82" s="1"/>
  <c r="AM32" i="82" s="1"/>
  <c r="BH32" i="82"/>
  <c r="G32" i="82" s="1"/>
  <c r="BG32" i="82"/>
  <c r="BE32" i="82"/>
  <c r="BD32" i="82"/>
  <c r="BC32" i="82"/>
  <c r="BB32" i="82"/>
  <c r="BA32" i="82"/>
  <c r="AZ32" i="82"/>
  <c r="AY32" i="82"/>
  <c r="AX32" i="82"/>
  <c r="AW32" i="82"/>
  <c r="AU32" i="82"/>
  <c r="AT32" i="82"/>
  <c r="AS32" i="82"/>
  <c r="AR32" i="82"/>
  <c r="AV32" i="82" s="1"/>
  <c r="AQ32" i="82"/>
  <c r="AP32" i="82"/>
  <c r="AO32" i="82"/>
  <c r="AL32" i="82"/>
  <c r="AJ32" i="82"/>
  <c r="AI32" i="82"/>
  <c r="AH32" i="82"/>
  <c r="AN32" i="82" s="1"/>
  <c r="AG32" i="82"/>
  <c r="C32" i="82"/>
  <c r="B32" i="82"/>
  <c r="BN31" i="82"/>
  <c r="BL31" i="82"/>
  <c r="BK31" i="82"/>
  <c r="I31" i="82" s="1"/>
  <c r="BJ31" i="82"/>
  <c r="H31" i="82" s="1"/>
  <c r="BF31" i="82" s="1"/>
  <c r="BI31" i="82"/>
  <c r="AK31" i="82" s="1"/>
  <c r="AM31" i="82" s="1"/>
  <c r="BH31" i="82"/>
  <c r="G31" i="82" s="1"/>
  <c r="BG31" i="82"/>
  <c r="BE31" i="82"/>
  <c r="BD31" i="82"/>
  <c r="BC31" i="82"/>
  <c r="BB31" i="82"/>
  <c r="BA31" i="82"/>
  <c r="AZ31" i="82"/>
  <c r="AY31" i="82"/>
  <c r="AX31" i="82"/>
  <c r="AW31" i="82"/>
  <c r="AU31" i="82"/>
  <c r="AT31" i="82"/>
  <c r="AS31" i="82"/>
  <c r="AR31" i="82"/>
  <c r="AV31" i="82" s="1"/>
  <c r="AQ31" i="82"/>
  <c r="AP31" i="82"/>
  <c r="AO31" i="82"/>
  <c r="AL31" i="82"/>
  <c r="AJ31" i="82"/>
  <c r="AI31" i="82"/>
  <c r="AH31" i="82"/>
  <c r="AN31" i="82" s="1"/>
  <c r="AG31" i="82"/>
  <c r="C31" i="82"/>
  <c r="B31" i="82"/>
  <c r="BN30" i="82"/>
  <c r="BL30" i="82"/>
  <c r="BK30" i="82"/>
  <c r="I30" i="82" s="1"/>
  <c r="BJ30" i="82"/>
  <c r="H30" i="82" s="1"/>
  <c r="BF30" i="82" s="1"/>
  <c r="BI30" i="82"/>
  <c r="BM30" i="82" s="1"/>
  <c r="BH30" i="82"/>
  <c r="BG30" i="82"/>
  <c r="BE30" i="82"/>
  <c r="BD30" i="82"/>
  <c r="BC30" i="82"/>
  <c r="BB30" i="82"/>
  <c r="BA30" i="82"/>
  <c r="AZ30" i="82"/>
  <c r="AY30" i="82"/>
  <c r="AX30" i="82"/>
  <c r="AW30" i="82"/>
  <c r="AU30" i="82"/>
  <c r="AT30" i="82"/>
  <c r="AS30" i="82"/>
  <c r="AR30" i="82"/>
  <c r="AV30" i="82" s="1"/>
  <c r="AQ30" i="82"/>
  <c r="AP30" i="82"/>
  <c r="AO30" i="82"/>
  <c r="AL30" i="82"/>
  <c r="AJ30" i="82"/>
  <c r="AI30" i="82"/>
  <c r="AH30" i="82"/>
  <c r="AN30" i="82" s="1"/>
  <c r="AG30" i="82"/>
  <c r="G30" i="82"/>
  <c r="C30" i="82"/>
  <c r="B30" i="82"/>
  <c r="BU29" i="82"/>
  <c r="BT29" i="82"/>
  <c r="BS29" i="82"/>
  <c r="BR29" i="82"/>
  <c r="BQ29" i="82"/>
  <c r="BN29" i="82"/>
  <c r="BK29" i="82"/>
  <c r="I29" i="82" s="1"/>
  <c r="BJ29" i="82"/>
  <c r="H29" i="82" s="1"/>
  <c r="BF29" i="82" s="1"/>
  <c r="BI29" i="82"/>
  <c r="AK29" i="82" s="1"/>
  <c r="AM29" i="82" s="1"/>
  <c r="BH29" i="82"/>
  <c r="G29" i="82" s="1"/>
  <c r="BG29" i="82"/>
  <c r="BE29" i="82"/>
  <c r="BD29" i="82"/>
  <c r="BC29" i="82"/>
  <c r="BB29" i="82"/>
  <c r="BA29" i="82"/>
  <c r="AZ29" i="82"/>
  <c r="AY29" i="82"/>
  <c r="AX29" i="82"/>
  <c r="AW29" i="82"/>
  <c r="AU29" i="82"/>
  <c r="AT29" i="82"/>
  <c r="AS29" i="82"/>
  <c r="AR29" i="82"/>
  <c r="AV29" i="82" s="1"/>
  <c r="AQ29" i="82"/>
  <c r="AP29" i="82"/>
  <c r="AO29" i="82"/>
  <c r="AL29" i="82"/>
  <c r="AJ29" i="82"/>
  <c r="AI29" i="82"/>
  <c r="AH29" i="82"/>
  <c r="AN29" i="82" s="1"/>
  <c r="AG29" i="82"/>
  <c r="C29" i="82"/>
  <c r="B29" i="82"/>
  <c r="BU28" i="82"/>
  <c r="BT28" i="82"/>
  <c r="BS28" i="82"/>
  <c r="BR28" i="82"/>
  <c r="BQ28" i="82"/>
  <c r="BN28" i="82"/>
  <c r="BK28" i="82"/>
  <c r="I28" i="82" s="1"/>
  <c r="BJ28" i="82"/>
  <c r="H28" i="82" s="1"/>
  <c r="BF28" i="82" s="1"/>
  <c r="BI28" i="82"/>
  <c r="AK28" i="82" s="1"/>
  <c r="AM28" i="82" s="1"/>
  <c r="BH28" i="82"/>
  <c r="BL28" i="82" s="1"/>
  <c r="BG28" i="82"/>
  <c r="BE28" i="82"/>
  <c r="BD28" i="82"/>
  <c r="BC28" i="82"/>
  <c r="BB28" i="82"/>
  <c r="BA28" i="82"/>
  <c r="AZ28" i="82"/>
  <c r="AY28" i="82"/>
  <c r="AX28" i="82"/>
  <c r="AW28" i="82"/>
  <c r="AU28" i="82"/>
  <c r="AT28" i="82"/>
  <c r="AS28" i="82"/>
  <c r="AR28" i="82"/>
  <c r="AV28" i="82" s="1"/>
  <c r="AQ28" i="82"/>
  <c r="AP28" i="82"/>
  <c r="AO28" i="82"/>
  <c r="AL28" i="82"/>
  <c r="AJ28" i="82"/>
  <c r="AI28" i="82"/>
  <c r="AH28" i="82"/>
  <c r="AN28" i="82" s="1"/>
  <c r="AG28" i="82"/>
  <c r="G28" i="82"/>
  <c r="C28" i="82"/>
  <c r="B28" i="82"/>
  <c r="BU27" i="82"/>
  <c r="BT27" i="82"/>
  <c r="BS27" i="82"/>
  <c r="BR27" i="82"/>
  <c r="BQ27" i="82"/>
  <c r="BN27" i="82"/>
  <c r="BL27" i="82"/>
  <c r="BK27" i="82"/>
  <c r="I27" i="82" s="1"/>
  <c r="BJ27" i="82"/>
  <c r="H27" i="82" s="1"/>
  <c r="BF27" i="82" s="1"/>
  <c r="BI27" i="82"/>
  <c r="BM27" i="82" s="1"/>
  <c r="BH27" i="82"/>
  <c r="BG27" i="82"/>
  <c r="BE27" i="82"/>
  <c r="BD27" i="82"/>
  <c r="BC27" i="82"/>
  <c r="BB27" i="82"/>
  <c r="BA27" i="82"/>
  <c r="AZ27" i="82"/>
  <c r="AY27" i="82"/>
  <c r="AX27" i="82"/>
  <c r="AW27" i="82"/>
  <c r="AU27" i="82"/>
  <c r="AT27" i="82"/>
  <c r="AS27" i="82"/>
  <c r="AR27" i="82"/>
  <c r="AV27" i="82" s="1"/>
  <c r="AQ27" i="82"/>
  <c r="AP27" i="82"/>
  <c r="AO27" i="82"/>
  <c r="AL27" i="82"/>
  <c r="AJ27" i="82"/>
  <c r="AI27" i="82"/>
  <c r="AH27" i="82"/>
  <c r="AN27" i="82" s="1"/>
  <c r="AG27" i="82"/>
  <c r="G27" i="82"/>
  <c r="C27" i="82"/>
  <c r="B27" i="82"/>
  <c r="BU26" i="82"/>
  <c r="BT26" i="82"/>
  <c r="BS26" i="82"/>
  <c r="BR26" i="82"/>
  <c r="BQ26" i="82"/>
  <c r="BN26" i="82"/>
  <c r="BK26" i="82"/>
  <c r="I26" i="82" s="1"/>
  <c r="BJ26" i="82"/>
  <c r="H26" i="82" s="1"/>
  <c r="BF26" i="82" s="1"/>
  <c r="BI26" i="82"/>
  <c r="AK26" i="82" s="1"/>
  <c r="AM26" i="82" s="1"/>
  <c r="BH26" i="82"/>
  <c r="G26" i="82" s="1"/>
  <c r="BG26" i="82"/>
  <c r="BE26" i="82"/>
  <c r="BD26" i="82"/>
  <c r="BC26" i="82"/>
  <c r="BB26" i="82"/>
  <c r="BA26" i="82"/>
  <c r="AZ26" i="82"/>
  <c r="AY26" i="82"/>
  <c r="AX26" i="82"/>
  <c r="AW26" i="82"/>
  <c r="AU26" i="82"/>
  <c r="AT26" i="82"/>
  <c r="AS26" i="82"/>
  <c r="AR26" i="82"/>
  <c r="AV26" i="82" s="1"/>
  <c r="AQ26" i="82"/>
  <c r="AP26" i="82"/>
  <c r="AO26" i="82"/>
  <c r="AL26" i="82"/>
  <c r="AJ26" i="82"/>
  <c r="AI26" i="82"/>
  <c r="AH26" i="82"/>
  <c r="AN26" i="82" s="1"/>
  <c r="AG26" i="82"/>
  <c r="C26" i="82"/>
  <c r="B26" i="82"/>
  <c r="BU25" i="82"/>
  <c r="BT25" i="82"/>
  <c r="BS25" i="82"/>
  <c r="BR25" i="82"/>
  <c r="BQ25" i="82"/>
  <c r="BH25" i="82"/>
  <c r="BL25" i="82" s="1"/>
  <c r="BE25" i="82"/>
  <c r="BD25" i="82"/>
  <c r="BC25" i="82"/>
  <c r="AU25" i="82"/>
  <c r="AS25" i="82"/>
  <c r="AQ25" i="82"/>
  <c r="AO25" i="82"/>
  <c r="AL25" i="82"/>
  <c r="AH25" i="82"/>
  <c r="AG25" i="82"/>
  <c r="G25" i="82"/>
  <c r="BB25" i="82" s="1"/>
  <c r="BU24" i="82"/>
  <c r="BT24" i="82"/>
  <c r="BS24" i="82"/>
  <c r="BR24" i="82"/>
  <c r="BQ24" i="82"/>
  <c r="BL24" i="82"/>
  <c r="BK24" i="82"/>
  <c r="I24" i="82" s="1"/>
  <c r="BI24" i="82"/>
  <c r="AZ24" i="82" s="1"/>
  <c r="BH24" i="82"/>
  <c r="BE24" i="82"/>
  <c r="BD24" i="82"/>
  <c r="BC24" i="82"/>
  <c r="BA24" i="82"/>
  <c r="AY24" i="82"/>
  <c r="AW24" i="82"/>
  <c r="AU24" i="82"/>
  <c r="AS24" i="82"/>
  <c r="AQ24" i="82"/>
  <c r="AO24" i="82"/>
  <c r="AL24" i="82"/>
  <c r="AH24" i="82"/>
  <c r="AN24" i="82" s="1"/>
  <c r="AG24" i="82"/>
  <c r="G24" i="82"/>
  <c r="BB24" i="82" s="1"/>
  <c r="BU23" i="82"/>
  <c r="BT23" i="82"/>
  <c r="BS23" i="82"/>
  <c r="BR23" i="82"/>
  <c r="BQ23" i="82"/>
  <c r="BH23" i="82"/>
  <c r="BE23" i="82"/>
  <c r="BD23" i="82"/>
  <c r="BC23" i="82"/>
  <c r="AU23" i="82"/>
  <c r="AS23" i="82"/>
  <c r="AQ23" i="82"/>
  <c r="AO23" i="82"/>
  <c r="AL23" i="82"/>
  <c r="AH23" i="82"/>
  <c r="AG23" i="82"/>
  <c r="BU22" i="82"/>
  <c r="BT22" i="82"/>
  <c r="BS22" i="82"/>
  <c r="BR22" i="82"/>
  <c r="BQ22" i="82"/>
  <c r="BH22" i="82"/>
  <c r="BL22" i="82" s="1"/>
  <c r="BD22" i="82"/>
  <c r="BC22" i="82"/>
  <c r="AU22" i="82"/>
  <c r="AS22" i="82"/>
  <c r="AQ22" i="82"/>
  <c r="AO22" i="82"/>
  <c r="AL22" i="82"/>
  <c r="AH22" i="82"/>
  <c r="AN22" i="82" s="1"/>
  <c r="AG22" i="82"/>
  <c r="BU21" i="82"/>
  <c r="BT21" i="82"/>
  <c r="BS21" i="82"/>
  <c r="BR21" i="82"/>
  <c r="BQ21" i="82"/>
  <c r="BL21" i="82"/>
  <c r="BK21" i="82"/>
  <c r="I21" i="82" s="1"/>
  <c r="BI21" i="82"/>
  <c r="BM21" i="82" s="1"/>
  <c r="BH21" i="82"/>
  <c r="BE21" i="82"/>
  <c r="BD21" i="82"/>
  <c r="BC21" i="82"/>
  <c r="BA21" i="82"/>
  <c r="AY21" i="82"/>
  <c r="AW21" i="82"/>
  <c r="AU21" i="82"/>
  <c r="AS21" i="82"/>
  <c r="AQ21" i="82"/>
  <c r="AO21" i="82"/>
  <c r="AL21" i="82"/>
  <c r="AH21" i="82"/>
  <c r="AG21" i="82"/>
  <c r="G21" i="82"/>
  <c r="BB21" i="82" s="1"/>
  <c r="BL20" i="82"/>
  <c r="BH20" i="82"/>
  <c r="BE20" i="82"/>
  <c r="BD20" i="82"/>
  <c r="BC20" i="82"/>
  <c r="BA20" i="82"/>
  <c r="AU20" i="82"/>
  <c r="AS20" i="82"/>
  <c r="AQ20" i="82"/>
  <c r="AO20" i="82"/>
  <c r="AL20" i="82"/>
  <c r="AH20" i="82"/>
  <c r="AG20" i="82"/>
  <c r="G20" i="82"/>
  <c r="BB20" i="82" s="1"/>
  <c r="BJ19" i="82"/>
  <c r="H19" i="82" s="1"/>
  <c r="BF19" i="82" s="1"/>
  <c r="BH19" i="82"/>
  <c r="BE19" i="82"/>
  <c r="BD19" i="82"/>
  <c r="BC19" i="82"/>
  <c r="AU19" i="82"/>
  <c r="AS19" i="82"/>
  <c r="AQ19" i="82"/>
  <c r="AO19" i="82"/>
  <c r="AL19" i="82"/>
  <c r="AH19" i="82"/>
  <c r="AN19" i="82" s="1"/>
  <c r="AG19" i="82"/>
  <c r="B19" i="82"/>
  <c r="BL18" i="82"/>
  <c r="BH18" i="82"/>
  <c r="BE18" i="82"/>
  <c r="BD18" i="82"/>
  <c r="BC18" i="82"/>
  <c r="AU18" i="82"/>
  <c r="AS18" i="82"/>
  <c r="AQ18" i="82"/>
  <c r="AO18" i="82"/>
  <c r="AL18" i="82"/>
  <c r="AH18" i="82"/>
  <c r="AG18" i="82"/>
  <c r="BL17" i="82"/>
  <c r="BK17" i="82"/>
  <c r="I17" i="82" s="1"/>
  <c r="BI17" i="82"/>
  <c r="BJ17" i="82" s="1"/>
  <c r="H17" i="82" s="1"/>
  <c r="BF17" i="82" s="1"/>
  <c r="BH17" i="82"/>
  <c r="BE17" i="82"/>
  <c r="BD17" i="82"/>
  <c r="BC17" i="82"/>
  <c r="BA17" i="82"/>
  <c r="AY17" i="82"/>
  <c r="AW17" i="82"/>
  <c r="AU17" i="82"/>
  <c r="AS17" i="82"/>
  <c r="AQ17" i="82"/>
  <c r="AO17" i="82"/>
  <c r="AL17" i="82"/>
  <c r="AH17" i="82"/>
  <c r="AG17" i="82"/>
  <c r="G17" i="82"/>
  <c r="BB17" i="82" s="1"/>
  <c r="BL16" i="82"/>
  <c r="BH16" i="82"/>
  <c r="BE16" i="82"/>
  <c r="BD16" i="82"/>
  <c r="BC16" i="82"/>
  <c r="BA16" i="82"/>
  <c r="AU16" i="82"/>
  <c r="AS16" i="82"/>
  <c r="AQ16" i="82"/>
  <c r="AO16" i="82"/>
  <c r="AL16" i="82"/>
  <c r="AH16" i="82"/>
  <c r="AG16" i="82"/>
  <c r="G16" i="82"/>
  <c r="BB16" i="82" s="1"/>
  <c r="BJ15" i="82"/>
  <c r="H15" i="82" s="1"/>
  <c r="BF15" i="82" s="1"/>
  <c r="BH15" i="82"/>
  <c r="BE15" i="82"/>
  <c r="BD15" i="82"/>
  <c r="BC15" i="82"/>
  <c r="AU15" i="82"/>
  <c r="AS15" i="82"/>
  <c r="AQ15" i="82"/>
  <c r="AO15" i="82"/>
  <c r="AL15" i="82"/>
  <c r="AH15" i="82"/>
  <c r="AN15" i="82" s="1"/>
  <c r="AG15" i="82"/>
  <c r="B15" i="82"/>
  <c r="BL14" i="82"/>
  <c r="BJ14" i="82"/>
  <c r="H14" i="82" s="1"/>
  <c r="BF14" i="82" s="1"/>
  <c r="BH14" i="82"/>
  <c r="BE14" i="82"/>
  <c r="BD14" i="82"/>
  <c r="BC14" i="82"/>
  <c r="AU14" i="82"/>
  <c r="AS14" i="82"/>
  <c r="AQ14" i="82"/>
  <c r="AO14" i="82"/>
  <c r="AL14" i="82"/>
  <c r="AH14" i="82"/>
  <c r="AN14" i="82" s="1"/>
  <c r="AG14" i="82"/>
  <c r="B14" i="82"/>
  <c r="BL13" i="82"/>
  <c r="BH13" i="82"/>
  <c r="BE13" i="82"/>
  <c r="BD13" i="82"/>
  <c r="BC13" i="82"/>
  <c r="BA13" i="82"/>
  <c r="AY13" i="82"/>
  <c r="AX13" i="82"/>
  <c r="AW13" i="82"/>
  <c r="AU13" i="82"/>
  <c r="AS13" i="82"/>
  <c r="AQ13" i="82"/>
  <c r="AL13" i="82"/>
  <c r="AH13" i="82"/>
  <c r="BI13" i="82" s="1"/>
  <c r="AG13" i="82"/>
  <c r="BK13" i="82" s="1"/>
  <c r="G13" i="82"/>
  <c r="BB13" i="82" s="1"/>
  <c r="BL12" i="82"/>
  <c r="BH12" i="82"/>
  <c r="BE12" i="82"/>
  <c r="BD12" i="82"/>
  <c r="BC12" i="82"/>
  <c r="BA12" i="82"/>
  <c r="AU12" i="82"/>
  <c r="AS12" i="82"/>
  <c r="AQ12" i="82"/>
  <c r="AL12" i="82"/>
  <c r="AH12" i="82"/>
  <c r="AG12" i="82"/>
  <c r="G12" i="82"/>
  <c r="BB12" i="82" s="1"/>
  <c r="BH11" i="82"/>
  <c r="BE11" i="82"/>
  <c r="BD11" i="82"/>
  <c r="BC11" i="82"/>
  <c r="BA11" i="82"/>
  <c r="AX11" i="82"/>
  <c r="AW11" i="82"/>
  <c r="AU11" i="82"/>
  <c r="AS11" i="82"/>
  <c r="AQ11" i="82"/>
  <c r="AL11" i="82"/>
  <c r="AH11" i="82"/>
  <c r="AG11" i="82"/>
  <c r="G11" i="82"/>
  <c r="BB11" i="82" s="1"/>
  <c r="BL10" i="82"/>
  <c r="BH10" i="82"/>
  <c r="BE10" i="82"/>
  <c r="BD10" i="82"/>
  <c r="BC10" i="82"/>
  <c r="AU10" i="82"/>
  <c r="AS10" i="82"/>
  <c r="AQ10" i="82"/>
  <c r="AL10" i="82"/>
  <c r="AH10" i="82"/>
  <c r="AG10" i="82"/>
  <c r="BL9" i="82"/>
  <c r="BH9" i="82"/>
  <c r="BE9" i="82"/>
  <c r="BD9" i="82"/>
  <c r="BC9" i="82"/>
  <c r="BA9" i="82"/>
  <c r="AY9" i="82"/>
  <c r="AX9" i="82"/>
  <c r="AW9" i="82"/>
  <c r="AU9" i="82"/>
  <c r="AS9" i="82"/>
  <c r="AQ9" i="82"/>
  <c r="AL9" i="82"/>
  <c r="AH9" i="82"/>
  <c r="BI9" i="82" s="1"/>
  <c r="AG9" i="82"/>
  <c r="BK9" i="82" s="1"/>
  <c r="G9" i="82"/>
  <c r="BB9" i="82" s="1"/>
  <c r="B9" i="82"/>
  <c r="B10" i="82" s="1"/>
  <c r="BL8" i="82"/>
  <c r="BJ8" i="82"/>
  <c r="H8" i="82" s="1"/>
  <c r="BF8" i="82" s="1"/>
  <c r="BH8" i="82"/>
  <c r="BE8" i="82"/>
  <c r="BD8" i="82"/>
  <c r="BC8" i="82"/>
  <c r="BA8" i="82"/>
  <c r="AU8" i="82"/>
  <c r="AS8" i="82"/>
  <c r="AQ8" i="82"/>
  <c r="AL8" i="82"/>
  <c r="AJ8" i="82"/>
  <c r="AH8" i="82"/>
  <c r="AN8" i="82" s="1"/>
  <c r="AG8" i="82"/>
  <c r="G8" i="82"/>
  <c r="BB8" i="82" s="1"/>
  <c r="B8" i="82"/>
  <c r="AV6" i="82"/>
  <c r="U48" i="81"/>
  <c r="BE43" i="81"/>
  <c r="AT43" i="81"/>
  <c r="AT44" i="81" s="1"/>
  <c r="AR44" i="81" s="1"/>
  <c r="BN39" i="81"/>
  <c r="BK39" i="81"/>
  <c r="I39" i="81" s="1"/>
  <c r="BJ39" i="81"/>
  <c r="H39" i="81" s="1"/>
  <c r="BF39" i="81" s="1"/>
  <c r="BI39" i="81"/>
  <c r="AK39" i="81" s="1"/>
  <c r="AM39" i="81" s="1"/>
  <c r="BH39" i="81"/>
  <c r="G39" i="81" s="1"/>
  <c r="BG39" i="81"/>
  <c r="BE39" i="81"/>
  <c r="BD39" i="81"/>
  <c r="BC39" i="81"/>
  <c r="BB39" i="81"/>
  <c r="BA39" i="81"/>
  <c r="AZ39" i="81"/>
  <c r="AY39" i="81"/>
  <c r="AX39" i="81"/>
  <c r="AW39" i="81"/>
  <c r="AU39" i="81"/>
  <c r="AT39" i="81"/>
  <c r="AS39" i="81"/>
  <c r="AR39" i="81"/>
  <c r="AV39" i="81" s="1"/>
  <c r="AQ39" i="81"/>
  <c r="AP39" i="81"/>
  <c r="AO39" i="81"/>
  <c r="AL39" i="81"/>
  <c r="AJ39" i="81"/>
  <c r="AI39" i="81"/>
  <c r="AH39" i="81"/>
  <c r="AN39" i="81" s="1"/>
  <c r="AG39" i="81"/>
  <c r="C39" i="81"/>
  <c r="B39" i="81"/>
  <c r="BN38" i="81"/>
  <c r="BL38" i="81"/>
  <c r="BK38" i="81"/>
  <c r="I38" i="81" s="1"/>
  <c r="BJ38" i="81"/>
  <c r="H38" i="81" s="1"/>
  <c r="BF38" i="81" s="1"/>
  <c r="BI38" i="81"/>
  <c r="AK38" i="81" s="1"/>
  <c r="AM38" i="81" s="1"/>
  <c r="BH38" i="81"/>
  <c r="G38" i="81" s="1"/>
  <c r="BG38" i="81"/>
  <c r="BE38" i="81"/>
  <c r="BD38" i="81"/>
  <c r="BC38" i="81"/>
  <c r="BB38" i="81"/>
  <c r="BA38" i="81"/>
  <c r="AZ38" i="81"/>
  <c r="AY38" i="81"/>
  <c r="AX38" i="81"/>
  <c r="AW38" i="81"/>
  <c r="AU38" i="81"/>
  <c r="AT38" i="81"/>
  <c r="AS38" i="81"/>
  <c r="AR38" i="81"/>
  <c r="AV38" i="81" s="1"/>
  <c r="AQ38" i="81"/>
  <c r="AP38" i="81"/>
  <c r="AO38" i="81"/>
  <c r="AL38" i="81"/>
  <c r="AJ38" i="81"/>
  <c r="AI38" i="81"/>
  <c r="AH38" i="81"/>
  <c r="AN38" i="81" s="1"/>
  <c r="AG38" i="81"/>
  <c r="C38" i="81"/>
  <c r="B38" i="81"/>
  <c r="BN37" i="81"/>
  <c r="BL37" i="81"/>
  <c r="BK37" i="81"/>
  <c r="I37" i="81" s="1"/>
  <c r="BJ37" i="81"/>
  <c r="H37" i="81" s="1"/>
  <c r="BF37" i="81" s="1"/>
  <c r="BI37" i="81"/>
  <c r="AK37" i="81" s="1"/>
  <c r="AM37" i="81" s="1"/>
  <c r="BH37" i="81"/>
  <c r="BG37" i="81"/>
  <c r="BE37" i="81"/>
  <c r="BD37" i="81"/>
  <c r="BC37" i="81"/>
  <c r="BB37" i="81"/>
  <c r="BA37" i="81"/>
  <c r="AZ37" i="81"/>
  <c r="AY37" i="81"/>
  <c r="AX37" i="81"/>
  <c r="AW37" i="81"/>
  <c r="AU37" i="81"/>
  <c r="AT37" i="81"/>
  <c r="AS37" i="81"/>
  <c r="AR37" i="81"/>
  <c r="AV37" i="81" s="1"/>
  <c r="AQ37" i="81"/>
  <c r="AP37" i="81"/>
  <c r="AO37" i="81"/>
  <c r="AL37" i="81"/>
  <c r="AJ37" i="81"/>
  <c r="AI37" i="81"/>
  <c r="AH37" i="81"/>
  <c r="AN37" i="81" s="1"/>
  <c r="AG37" i="81"/>
  <c r="G37" i="81"/>
  <c r="C37" i="81"/>
  <c r="B37" i="81"/>
  <c r="BN36" i="81"/>
  <c r="BL36" i="81"/>
  <c r="BK36" i="81"/>
  <c r="I36" i="81" s="1"/>
  <c r="BJ36" i="81"/>
  <c r="H36" i="81" s="1"/>
  <c r="BF36" i="81" s="1"/>
  <c r="BI36" i="81"/>
  <c r="BM36" i="81" s="1"/>
  <c r="BH36" i="81"/>
  <c r="BG36" i="81"/>
  <c r="BE36" i="81"/>
  <c r="BD36" i="81"/>
  <c r="BC36" i="81"/>
  <c r="BB36" i="81"/>
  <c r="BA36" i="81"/>
  <c r="AZ36" i="81"/>
  <c r="AY36" i="81"/>
  <c r="AX36" i="81"/>
  <c r="AW36" i="81"/>
  <c r="AU36" i="81"/>
  <c r="AT36" i="81"/>
  <c r="AS36" i="81"/>
  <c r="AR36" i="81"/>
  <c r="AV36" i="81" s="1"/>
  <c r="AQ36" i="81"/>
  <c r="AP36" i="81"/>
  <c r="AO36" i="81"/>
  <c r="AL36" i="81"/>
  <c r="AJ36" i="81"/>
  <c r="AI36" i="81"/>
  <c r="AH36" i="81"/>
  <c r="AN36" i="81" s="1"/>
  <c r="AG36" i="81"/>
  <c r="G36" i="81"/>
  <c r="C36" i="81"/>
  <c r="B36" i="81"/>
  <c r="BN35" i="81"/>
  <c r="BK35" i="81"/>
  <c r="I35" i="81" s="1"/>
  <c r="BJ35" i="81"/>
  <c r="H35" i="81" s="1"/>
  <c r="BF35" i="81" s="1"/>
  <c r="BI35" i="81"/>
  <c r="AK35" i="81" s="1"/>
  <c r="AM35" i="81" s="1"/>
  <c r="BH35" i="81"/>
  <c r="G35" i="81" s="1"/>
  <c r="BG35" i="81"/>
  <c r="BE35" i="81"/>
  <c r="BD35" i="81"/>
  <c r="BC35" i="81"/>
  <c r="BB35" i="81"/>
  <c r="BA35" i="81"/>
  <c r="AZ35" i="81"/>
  <c r="AY35" i="81"/>
  <c r="AX35" i="81"/>
  <c r="AW35" i="81"/>
  <c r="AU35" i="81"/>
  <c r="AT35" i="81"/>
  <c r="AS35" i="81"/>
  <c r="AR35" i="81"/>
  <c r="AV35" i="81" s="1"/>
  <c r="AQ35" i="81"/>
  <c r="AP35" i="81"/>
  <c r="AO35" i="81"/>
  <c r="AL35" i="81"/>
  <c r="AJ35" i="81"/>
  <c r="AI35" i="81"/>
  <c r="AH35" i="81"/>
  <c r="AN35" i="81" s="1"/>
  <c r="AG35" i="81"/>
  <c r="C35" i="81"/>
  <c r="B35" i="81"/>
  <c r="BN34" i="81"/>
  <c r="BK34" i="81"/>
  <c r="I34" i="81" s="1"/>
  <c r="BJ34" i="81"/>
  <c r="H34" i="81" s="1"/>
  <c r="BF34" i="81" s="1"/>
  <c r="BI34" i="81"/>
  <c r="AK34" i="81" s="1"/>
  <c r="AM34" i="81" s="1"/>
  <c r="BH34" i="81"/>
  <c r="G34" i="81" s="1"/>
  <c r="BG34" i="81"/>
  <c r="BE34" i="81"/>
  <c r="BD34" i="81"/>
  <c r="BC34" i="81"/>
  <c r="BB34" i="81"/>
  <c r="BA34" i="81"/>
  <c r="AZ34" i="81"/>
  <c r="AY34" i="81"/>
  <c r="AX34" i="81"/>
  <c r="AW34" i="81"/>
  <c r="AU34" i="81"/>
  <c r="AT34" i="81"/>
  <c r="AS34" i="81"/>
  <c r="AR34" i="81"/>
  <c r="AV34" i="81" s="1"/>
  <c r="AQ34" i="81"/>
  <c r="AP34" i="81"/>
  <c r="AO34" i="81"/>
  <c r="AL34" i="81"/>
  <c r="AJ34" i="81"/>
  <c r="AI34" i="81"/>
  <c r="AH34" i="81"/>
  <c r="AN34" i="81" s="1"/>
  <c r="AG34" i="81"/>
  <c r="C34" i="81"/>
  <c r="B34" i="81"/>
  <c r="BN33" i="81"/>
  <c r="BL33" i="81"/>
  <c r="BK33" i="81"/>
  <c r="I33" i="81" s="1"/>
  <c r="BJ33" i="81"/>
  <c r="H33" i="81" s="1"/>
  <c r="BF33" i="81" s="1"/>
  <c r="BI33" i="81"/>
  <c r="BM33" i="81" s="1"/>
  <c r="BH33" i="81"/>
  <c r="BG33" i="81"/>
  <c r="BE33" i="81"/>
  <c r="BD33" i="81"/>
  <c r="BC33" i="81"/>
  <c r="BB33" i="81"/>
  <c r="BA33" i="81"/>
  <c r="AZ33" i="81"/>
  <c r="AY33" i="81"/>
  <c r="AX33" i="81"/>
  <c r="AW33" i="81"/>
  <c r="AU33" i="81"/>
  <c r="AT33" i="81"/>
  <c r="AS33" i="81"/>
  <c r="AR33" i="81"/>
  <c r="AV33" i="81" s="1"/>
  <c r="AQ33" i="81"/>
  <c r="AP33" i="81"/>
  <c r="AO33" i="81"/>
  <c r="AL33" i="81"/>
  <c r="AJ33" i="81"/>
  <c r="AI33" i="81"/>
  <c r="AH33" i="81"/>
  <c r="AN33" i="81" s="1"/>
  <c r="AG33" i="81"/>
  <c r="G33" i="81"/>
  <c r="C33" i="81"/>
  <c r="B33" i="81"/>
  <c r="BN32" i="81"/>
  <c r="BL32" i="81"/>
  <c r="BK32" i="81"/>
  <c r="I32" i="81" s="1"/>
  <c r="BJ32" i="81"/>
  <c r="H32" i="81" s="1"/>
  <c r="BF32" i="81" s="1"/>
  <c r="BI32" i="81"/>
  <c r="BM32" i="81" s="1"/>
  <c r="BH32" i="81"/>
  <c r="BG32" i="81"/>
  <c r="BE32" i="81"/>
  <c r="BD32" i="81"/>
  <c r="BC32" i="81"/>
  <c r="BB32" i="81"/>
  <c r="BA32" i="81"/>
  <c r="AZ32" i="81"/>
  <c r="AY32" i="81"/>
  <c r="AX32" i="81"/>
  <c r="AW32" i="81"/>
  <c r="AU32" i="81"/>
  <c r="AT32" i="81"/>
  <c r="AS32" i="81"/>
  <c r="AR32" i="81"/>
  <c r="AV32" i="81" s="1"/>
  <c r="AQ32" i="81"/>
  <c r="AP32" i="81"/>
  <c r="AO32" i="81"/>
  <c r="AL32" i="81"/>
  <c r="AJ32" i="81"/>
  <c r="AI32" i="81"/>
  <c r="AH32" i="81"/>
  <c r="AN32" i="81" s="1"/>
  <c r="AG32" i="81"/>
  <c r="G32" i="81"/>
  <c r="C32" i="81"/>
  <c r="B32" i="81"/>
  <c r="BN31" i="81"/>
  <c r="BK31" i="81"/>
  <c r="I31" i="81" s="1"/>
  <c r="BJ31" i="81"/>
  <c r="H31" i="81" s="1"/>
  <c r="BF31" i="81" s="1"/>
  <c r="BI31" i="81"/>
  <c r="AK31" i="81" s="1"/>
  <c r="AM31" i="81" s="1"/>
  <c r="BH31" i="81"/>
  <c r="G31" i="81" s="1"/>
  <c r="BG31" i="81"/>
  <c r="BE31" i="81"/>
  <c r="BD31" i="81"/>
  <c r="BC31" i="81"/>
  <c r="BB31" i="81"/>
  <c r="BA31" i="81"/>
  <c r="AZ31" i="81"/>
  <c r="AY31" i="81"/>
  <c r="AX31" i="81"/>
  <c r="AW31" i="81"/>
  <c r="AU31" i="81"/>
  <c r="AT31" i="81"/>
  <c r="AS31" i="81"/>
  <c r="AR31" i="81"/>
  <c r="AV31" i="81" s="1"/>
  <c r="AQ31" i="81"/>
  <c r="AP31" i="81"/>
  <c r="AO31" i="81"/>
  <c r="AL31" i="81"/>
  <c r="AJ31" i="81"/>
  <c r="AI31" i="81"/>
  <c r="AH31" i="81"/>
  <c r="AN31" i="81" s="1"/>
  <c r="AG31" i="81"/>
  <c r="C31" i="81"/>
  <c r="B31" i="81"/>
  <c r="BN30" i="81"/>
  <c r="BK30" i="81"/>
  <c r="I30" i="81" s="1"/>
  <c r="BJ30" i="81"/>
  <c r="H30" i="81" s="1"/>
  <c r="BF30" i="81" s="1"/>
  <c r="BI30" i="81"/>
  <c r="AK30" i="81" s="1"/>
  <c r="AM30" i="81" s="1"/>
  <c r="BH30" i="81"/>
  <c r="G30" i="81" s="1"/>
  <c r="BG30" i="81"/>
  <c r="BE30" i="81"/>
  <c r="BD30" i="81"/>
  <c r="BC30" i="81"/>
  <c r="BB30" i="81"/>
  <c r="BA30" i="81"/>
  <c r="AZ30" i="81"/>
  <c r="AY30" i="81"/>
  <c r="AX30" i="81"/>
  <c r="AW30" i="81"/>
  <c r="AU30" i="81"/>
  <c r="AT30" i="81"/>
  <c r="AS30" i="81"/>
  <c r="AR30" i="81"/>
  <c r="AV30" i="81" s="1"/>
  <c r="AQ30" i="81"/>
  <c r="AP30" i="81"/>
  <c r="AO30" i="81"/>
  <c r="AL30" i="81"/>
  <c r="AJ30" i="81"/>
  <c r="AI30" i="81"/>
  <c r="AH30" i="81"/>
  <c r="AN30" i="81" s="1"/>
  <c r="AG30" i="81"/>
  <c r="C30" i="81"/>
  <c r="B30" i="81"/>
  <c r="BU29" i="81"/>
  <c r="BT29" i="81"/>
  <c r="BS29" i="81"/>
  <c r="BR29" i="81"/>
  <c r="BQ29" i="81"/>
  <c r="BN29" i="81"/>
  <c r="BL29" i="81"/>
  <c r="BK29" i="81"/>
  <c r="I29" i="81" s="1"/>
  <c r="BJ29" i="81"/>
  <c r="H29" i="81" s="1"/>
  <c r="BF29" i="81" s="1"/>
  <c r="BI29" i="81"/>
  <c r="AK29" i="81" s="1"/>
  <c r="AM29" i="81" s="1"/>
  <c r="BH29" i="81"/>
  <c r="BG29" i="81"/>
  <c r="BE29" i="81"/>
  <c r="BD29" i="81"/>
  <c r="BC29" i="81"/>
  <c r="BB29" i="81"/>
  <c r="BA29" i="81"/>
  <c r="AZ29" i="81"/>
  <c r="AY29" i="81"/>
  <c r="AX29" i="81"/>
  <c r="AW29" i="81"/>
  <c r="AU29" i="81"/>
  <c r="AT29" i="81"/>
  <c r="AS29" i="81"/>
  <c r="AR29" i="81"/>
  <c r="AV29" i="81" s="1"/>
  <c r="AQ29" i="81"/>
  <c r="AP29" i="81"/>
  <c r="AO29" i="81"/>
  <c r="AL29" i="81"/>
  <c r="AJ29" i="81"/>
  <c r="AI29" i="81"/>
  <c r="AH29" i="81"/>
  <c r="AN29" i="81" s="1"/>
  <c r="AG29" i="81"/>
  <c r="G29" i="81"/>
  <c r="C29" i="81"/>
  <c r="B29" i="81"/>
  <c r="BU28" i="81"/>
  <c r="BT28" i="81"/>
  <c r="BS28" i="81"/>
  <c r="BR28" i="81"/>
  <c r="BQ28" i="81"/>
  <c r="BN28" i="81"/>
  <c r="BL28" i="81"/>
  <c r="BK28" i="81"/>
  <c r="I28" i="81" s="1"/>
  <c r="BJ28" i="81"/>
  <c r="H28" i="81" s="1"/>
  <c r="BF28" i="81" s="1"/>
  <c r="BI28" i="81"/>
  <c r="BM28" i="81" s="1"/>
  <c r="BH28" i="81"/>
  <c r="BG28" i="81"/>
  <c r="BE28" i="81"/>
  <c r="BD28" i="81"/>
  <c r="BC28" i="81"/>
  <c r="BB28" i="81"/>
  <c r="BA28" i="81"/>
  <c r="AZ28" i="81"/>
  <c r="AY28" i="81"/>
  <c r="AX28" i="81"/>
  <c r="AW28" i="81"/>
  <c r="AU28" i="81"/>
  <c r="AT28" i="81"/>
  <c r="AS28" i="81"/>
  <c r="AR28" i="81"/>
  <c r="AV28" i="81" s="1"/>
  <c r="AQ28" i="81"/>
  <c r="AP28" i="81"/>
  <c r="AO28" i="81"/>
  <c r="AL28" i="81"/>
  <c r="AJ28" i="81"/>
  <c r="AI28" i="81"/>
  <c r="AH28" i="81"/>
  <c r="AN28" i="81" s="1"/>
  <c r="AG28" i="81"/>
  <c r="G28" i="81"/>
  <c r="C28" i="81"/>
  <c r="B28" i="81"/>
  <c r="BU27" i="81"/>
  <c r="BT27" i="81"/>
  <c r="BS27" i="81"/>
  <c r="BR27" i="81"/>
  <c r="BQ27" i="81"/>
  <c r="BH27" i="81"/>
  <c r="BE27" i="81"/>
  <c r="BD27" i="81"/>
  <c r="BC27" i="81"/>
  <c r="AU27" i="81"/>
  <c r="AS27" i="81"/>
  <c r="AQ27" i="81"/>
  <c r="AO27" i="81"/>
  <c r="AL27" i="81"/>
  <c r="AH27" i="81"/>
  <c r="AN27" i="81" s="1"/>
  <c r="AG27" i="81"/>
  <c r="BU26" i="81"/>
  <c r="BT26" i="81"/>
  <c r="BS26" i="81"/>
  <c r="BR26" i="81"/>
  <c r="BQ26" i="81"/>
  <c r="BH26" i="81"/>
  <c r="BL26" i="81" s="1"/>
  <c r="BE26" i="81"/>
  <c r="BD26" i="81"/>
  <c r="BC26" i="81"/>
  <c r="AU26" i="81"/>
  <c r="AS26" i="81"/>
  <c r="AQ26" i="81"/>
  <c r="AO26" i="81"/>
  <c r="AL26" i="81"/>
  <c r="AH26" i="81"/>
  <c r="AG26" i="81"/>
  <c r="BU25" i="81"/>
  <c r="BT25" i="81"/>
  <c r="BS25" i="81"/>
  <c r="BR25" i="81"/>
  <c r="BQ25" i="81"/>
  <c r="BL25" i="81"/>
  <c r="BH25" i="81"/>
  <c r="BE25" i="81"/>
  <c r="BD25" i="81"/>
  <c r="BC25" i="81"/>
  <c r="AU25" i="81"/>
  <c r="AS25" i="81"/>
  <c r="AQ25" i="81"/>
  <c r="AO25" i="81"/>
  <c r="AL25" i="81"/>
  <c r="AH25" i="81"/>
  <c r="AN25" i="81" s="1"/>
  <c r="AG25" i="81"/>
  <c r="G25" i="81"/>
  <c r="BU24" i="81"/>
  <c r="BT24" i="81"/>
  <c r="BS24" i="81"/>
  <c r="BR24" i="81"/>
  <c r="BQ24" i="81"/>
  <c r="BJ24" i="81"/>
  <c r="H24" i="81" s="1"/>
  <c r="BF24" i="81" s="1"/>
  <c r="BH24" i="81"/>
  <c r="BE24" i="81"/>
  <c r="BD24" i="81"/>
  <c r="BC24" i="81"/>
  <c r="AU24" i="81"/>
  <c r="AS24" i="81"/>
  <c r="AQ24" i="81"/>
  <c r="AO24" i="81"/>
  <c r="AL24" i="81"/>
  <c r="AH24" i="81"/>
  <c r="AN24" i="81" s="1"/>
  <c r="AG24" i="81"/>
  <c r="B24" i="81"/>
  <c r="BU23" i="81"/>
  <c r="BT23" i="81"/>
  <c r="BS23" i="81"/>
  <c r="BR23" i="81"/>
  <c r="BQ23" i="81"/>
  <c r="BL23" i="81"/>
  <c r="BH23" i="81"/>
  <c r="BE23" i="81"/>
  <c r="BD23" i="81"/>
  <c r="BC23" i="81"/>
  <c r="AU23" i="81"/>
  <c r="AS23" i="81"/>
  <c r="AQ23" i="81"/>
  <c r="AO23" i="81"/>
  <c r="AL23" i="81"/>
  <c r="AH23" i="81"/>
  <c r="AG23" i="81"/>
  <c r="G23" i="81"/>
  <c r="AY23" i="81" s="1"/>
  <c r="BU22" i="81"/>
  <c r="BT22" i="81"/>
  <c r="BS22" i="81"/>
  <c r="BR22" i="81"/>
  <c r="BQ22" i="81"/>
  <c r="BH22" i="81"/>
  <c r="BL22" i="81" s="1"/>
  <c r="BE22" i="81"/>
  <c r="BD22" i="81"/>
  <c r="BC22" i="81"/>
  <c r="AU22" i="81"/>
  <c r="AS22" i="81"/>
  <c r="AQ22" i="81"/>
  <c r="AO22" i="81"/>
  <c r="AL22" i="81"/>
  <c r="AH22" i="81"/>
  <c r="AG22" i="81"/>
  <c r="BU21" i="81"/>
  <c r="BT21" i="81"/>
  <c r="BS21" i="81"/>
  <c r="BR21" i="81"/>
  <c r="BQ21" i="81"/>
  <c r="BH21" i="81"/>
  <c r="BE21" i="81"/>
  <c r="BD21" i="81"/>
  <c r="BC21" i="81"/>
  <c r="AU21" i="81"/>
  <c r="AS21" i="81"/>
  <c r="AQ21" i="81"/>
  <c r="AO21" i="81"/>
  <c r="AL21" i="81"/>
  <c r="AH21" i="81"/>
  <c r="AG21" i="81"/>
  <c r="BL20" i="81"/>
  <c r="BK20" i="81"/>
  <c r="I20" i="81" s="1"/>
  <c r="BH20" i="81"/>
  <c r="BE20" i="81"/>
  <c r="BD20" i="81"/>
  <c r="BC20" i="81"/>
  <c r="BB20" i="81"/>
  <c r="BA20" i="81"/>
  <c r="AY20" i="81"/>
  <c r="AU20" i="81"/>
  <c r="AI20" i="81" s="1"/>
  <c r="C20" i="81" s="1"/>
  <c r="AS20" i="81"/>
  <c r="AQ20" i="81"/>
  <c r="AO20" i="81"/>
  <c r="AL20" i="81"/>
  <c r="AH20" i="81"/>
  <c r="AN20" i="81" s="1"/>
  <c r="AG20" i="81"/>
  <c r="G20" i="81"/>
  <c r="BL19" i="81"/>
  <c r="BK19" i="81"/>
  <c r="I19" i="81" s="1"/>
  <c r="BJ19" i="81"/>
  <c r="H19" i="81" s="1"/>
  <c r="BF19" i="81" s="1"/>
  <c r="BH19" i="81"/>
  <c r="BE19" i="81"/>
  <c r="BD19" i="81"/>
  <c r="BC19" i="81"/>
  <c r="BA19" i="81"/>
  <c r="AY19" i="81"/>
  <c r="AX19" i="81"/>
  <c r="AW19" i="81"/>
  <c r="AU19" i="81"/>
  <c r="AS19" i="81"/>
  <c r="AQ19" i="81"/>
  <c r="AO19" i="81"/>
  <c r="AL19" i="81"/>
  <c r="AH19" i="81"/>
  <c r="AN19" i="81" s="1"/>
  <c r="AG19" i="81"/>
  <c r="G19" i="81"/>
  <c r="BB19" i="81" s="1"/>
  <c r="B19" i="81"/>
  <c r="BH18" i="81"/>
  <c r="BE18" i="81"/>
  <c r="BD18" i="81"/>
  <c r="BC18" i="81"/>
  <c r="AU18" i="81"/>
  <c r="AS18" i="81"/>
  <c r="AQ18" i="81"/>
  <c r="AO18" i="81"/>
  <c r="AL18" i="81"/>
  <c r="AH18" i="81"/>
  <c r="AG18" i="81"/>
  <c r="G18" i="81"/>
  <c r="BA18" i="81" s="1"/>
  <c r="BH17" i="81"/>
  <c r="BE17" i="81"/>
  <c r="BD17" i="81"/>
  <c r="BC17" i="81"/>
  <c r="AU17" i="81"/>
  <c r="AS17" i="81"/>
  <c r="AQ17" i="81"/>
  <c r="AO17" i="81"/>
  <c r="AL17" i="81"/>
  <c r="AH17" i="81"/>
  <c r="AG17" i="81"/>
  <c r="BH16" i="81"/>
  <c r="BE16" i="81"/>
  <c r="BD16" i="81"/>
  <c r="BC16" i="81"/>
  <c r="AU16" i="81"/>
  <c r="AS16" i="81"/>
  <c r="AQ16" i="81"/>
  <c r="AO16" i="81"/>
  <c r="AL16" i="81"/>
  <c r="AH16" i="81"/>
  <c r="AN16" i="81" s="1"/>
  <c r="AG16" i="81"/>
  <c r="BL15" i="81"/>
  <c r="BJ15" i="81"/>
  <c r="H15" i="81" s="1"/>
  <c r="BF15" i="81" s="1"/>
  <c r="BH15" i="81"/>
  <c r="BE15" i="81"/>
  <c r="BD15" i="81"/>
  <c r="BC15" i="81"/>
  <c r="AU15" i="81"/>
  <c r="AS15" i="81"/>
  <c r="AQ15" i="81"/>
  <c r="AO15" i="81"/>
  <c r="AL15" i="81"/>
  <c r="AH15" i="81"/>
  <c r="AN15" i="81" s="1"/>
  <c r="AG15" i="81"/>
  <c r="G15" i="81"/>
  <c r="AX15" i="81" s="1"/>
  <c r="B15" i="81"/>
  <c r="BJ14" i="81"/>
  <c r="H14" i="81" s="1"/>
  <c r="BF14" i="81" s="1"/>
  <c r="BH14" i="81"/>
  <c r="G14" i="81" s="1"/>
  <c r="BE14" i="81"/>
  <c r="BD14" i="81"/>
  <c r="BC14" i="81"/>
  <c r="AU14" i="81"/>
  <c r="AS14" i="81"/>
  <c r="AQ14" i="81"/>
  <c r="AO14" i="81"/>
  <c r="AL14" i="81"/>
  <c r="AH14" i="81"/>
  <c r="AN14" i="81" s="1"/>
  <c r="AG14" i="81"/>
  <c r="B14" i="81"/>
  <c r="BH13" i="81"/>
  <c r="BE13" i="81"/>
  <c r="BD13" i="81"/>
  <c r="BC13" i="81"/>
  <c r="AU13" i="81"/>
  <c r="AS13" i="81"/>
  <c r="AQ13" i="81"/>
  <c r="AL13" i="81"/>
  <c r="AH13" i="81"/>
  <c r="AG13" i="81"/>
  <c r="BL12" i="81"/>
  <c r="BH12" i="81"/>
  <c r="BE12" i="81"/>
  <c r="BD12" i="81"/>
  <c r="BC12" i="81"/>
  <c r="AU12" i="81"/>
  <c r="AS12" i="81"/>
  <c r="AQ12" i="81"/>
  <c r="AL12" i="81"/>
  <c r="AH12" i="81"/>
  <c r="AG12" i="81"/>
  <c r="G12" i="81"/>
  <c r="BB12" i="81" s="1"/>
  <c r="BL11" i="81"/>
  <c r="BH11" i="81"/>
  <c r="BE11" i="81"/>
  <c r="BD11" i="81"/>
  <c r="BC11" i="81"/>
  <c r="AU11" i="81"/>
  <c r="AS11" i="81"/>
  <c r="AQ11" i="81"/>
  <c r="AL11" i="81"/>
  <c r="AH11" i="81"/>
  <c r="AG11" i="81"/>
  <c r="G11" i="81"/>
  <c r="BH10" i="81"/>
  <c r="BE10" i="81"/>
  <c r="BD10" i="81"/>
  <c r="BC10" i="81"/>
  <c r="BB10" i="81"/>
  <c r="BA10" i="81"/>
  <c r="AU10" i="81"/>
  <c r="AS10" i="81"/>
  <c r="AQ10" i="81"/>
  <c r="AL10" i="81"/>
  <c r="AH10" i="81"/>
  <c r="AG10" i="81"/>
  <c r="G10" i="81"/>
  <c r="AW10" i="81" s="1"/>
  <c r="BL9" i="81"/>
  <c r="BH9" i="81"/>
  <c r="BE9" i="81"/>
  <c r="BD9" i="81"/>
  <c r="BC9" i="81"/>
  <c r="AU9" i="81"/>
  <c r="AS9" i="81"/>
  <c r="AQ9" i="81"/>
  <c r="AL9" i="81"/>
  <c r="AJ9" i="81"/>
  <c r="AJ10" i="81" s="1"/>
  <c r="AH9" i="81"/>
  <c r="AG9" i="81"/>
  <c r="BJ8" i="81"/>
  <c r="H8" i="81" s="1"/>
  <c r="BF8" i="81" s="1"/>
  <c r="BH8" i="81"/>
  <c r="BE8" i="81"/>
  <c r="BD8" i="81"/>
  <c r="BC8" i="81"/>
  <c r="AU8" i="81"/>
  <c r="AS8" i="81"/>
  <c r="AQ8" i="81"/>
  <c r="AL8" i="81"/>
  <c r="AJ8" i="81"/>
  <c r="AH8" i="81"/>
  <c r="AN8" i="81" s="1"/>
  <c r="AG8" i="81"/>
  <c r="B8" i="81"/>
  <c r="AV6" i="81"/>
  <c r="BK22" i="86" l="1"/>
  <c r="I22" i="86" s="1"/>
  <c r="AY22" i="86"/>
  <c r="BA22" i="86"/>
  <c r="G26" i="81"/>
  <c r="BB26" i="81" s="1"/>
  <c r="AY26" i="81"/>
  <c r="BK26" i="81"/>
  <c r="I26" i="81" s="1"/>
  <c r="AN13" i="81"/>
  <c r="AN9" i="81"/>
  <c r="AI9" i="81"/>
  <c r="C9" i="81" s="1"/>
  <c r="G22" i="81"/>
  <c r="BB22" i="81" s="1"/>
  <c r="AN23" i="81"/>
  <c r="AN10" i="81"/>
  <c r="AN11" i="81"/>
  <c r="AN12" i="81"/>
  <c r="AN18" i="81"/>
  <c r="AN21" i="81"/>
  <c r="AI23" i="81"/>
  <c r="C23" i="81" s="1"/>
  <c r="AI11" i="81"/>
  <c r="C11" i="81" s="1"/>
  <c r="AI12" i="81"/>
  <c r="C12" i="81" s="1"/>
  <c r="AI27" i="81"/>
  <c r="C27" i="81" s="1"/>
  <c r="AI13" i="81"/>
  <c r="C13" i="81" s="1"/>
  <c r="AI16" i="81"/>
  <c r="C16" i="81" s="1"/>
  <c r="AI21" i="81"/>
  <c r="C21" i="81" s="1"/>
  <c r="AI25" i="81"/>
  <c r="C25" i="81" s="1"/>
  <c r="AI18" i="81"/>
  <c r="C18" i="81" s="1"/>
  <c r="AN26" i="81"/>
  <c r="AN22" i="81"/>
  <c r="B41" i="95"/>
  <c r="Q6" i="95"/>
  <c r="G22" i="82"/>
  <c r="BB22" i="82" s="1"/>
  <c r="AN20" i="82"/>
  <c r="AN21" i="82"/>
  <c r="AQ41" i="82"/>
  <c r="AV43" i="82"/>
  <c r="AV44" i="82" s="1"/>
  <c r="AN16" i="82"/>
  <c r="BC4" i="82"/>
  <c r="AN11" i="82"/>
  <c r="AN17" i="82"/>
  <c r="AI22" i="82"/>
  <c r="C22" i="82" s="1"/>
  <c r="AN23" i="82"/>
  <c r="AS41" i="82"/>
  <c r="BD4" i="82"/>
  <c r="AU41" i="82"/>
  <c r="E41" i="82" s="1"/>
  <c r="AN12" i="82"/>
  <c r="AI13" i="82"/>
  <c r="C13" i="82" s="1"/>
  <c r="AN25" i="82"/>
  <c r="AX29" i="84"/>
  <c r="AR45" i="93"/>
  <c r="U45" i="93" s="1"/>
  <c r="Q40" i="93" s="1"/>
  <c r="U44" i="94"/>
  <c r="O40" i="94" s="1"/>
  <c r="AR46" i="94"/>
  <c r="B41" i="94" s="1"/>
  <c r="AP20" i="96"/>
  <c r="BG20" i="96" s="1"/>
  <c r="B22" i="96"/>
  <c r="AP21" i="95"/>
  <c r="BG21" i="95" s="1"/>
  <c r="B22" i="95"/>
  <c r="AJ28" i="95"/>
  <c r="AN6" i="84"/>
  <c r="C14" i="94"/>
  <c r="AI43" i="94"/>
  <c r="AP20" i="94"/>
  <c r="BG20" i="94" s="1"/>
  <c r="B21" i="94"/>
  <c r="AP21" i="94" s="1"/>
  <c r="BG21" i="94" s="1"/>
  <c r="AJ22" i="93"/>
  <c r="AJ23" i="93" s="1"/>
  <c r="AJ24" i="93" s="1"/>
  <c r="AJ25" i="93" s="1"/>
  <c r="AJ26" i="93" s="1"/>
  <c r="AJ27" i="93" s="1"/>
  <c r="AJ28" i="93" s="1"/>
  <c r="AJ29" i="93" s="1"/>
  <c r="AP13" i="93"/>
  <c r="BG13" i="93" s="1"/>
  <c r="B16" i="93"/>
  <c r="B17" i="93"/>
  <c r="AP17" i="93" s="1"/>
  <c r="BG17" i="93" s="1"/>
  <c r="AM6" i="92"/>
  <c r="J41" i="92" s="1"/>
  <c r="AT41" i="92"/>
  <c r="F41" i="93"/>
  <c r="U47" i="93" s="1"/>
  <c r="U49" i="93" s="1"/>
  <c r="Q6" i="93"/>
  <c r="AW4" i="93"/>
  <c r="AP11" i="89"/>
  <c r="BG11" i="89" s="1"/>
  <c r="AP13" i="92"/>
  <c r="BG13" i="92" s="1"/>
  <c r="AR41" i="92"/>
  <c r="AM41" i="92"/>
  <c r="AJ18" i="92"/>
  <c r="AV41" i="92"/>
  <c r="AV45" i="92" s="1"/>
  <c r="E41" i="92" s="1"/>
  <c r="BG16" i="92"/>
  <c r="B17" i="92"/>
  <c r="BG13" i="91"/>
  <c r="AP12" i="90"/>
  <c r="BG12" i="90" s="1"/>
  <c r="AP17" i="91"/>
  <c r="BG17" i="91" s="1"/>
  <c r="B21" i="91"/>
  <c r="AP21" i="91" s="1"/>
  <c r="BG21" i="91" s="1"/>
  <c r="B20" i="91"/>
  <c r="AP20" i="91" s="1"/>
  <c r="BG20" i="91" s="1"/>
  <c r="AJ16" i="91"/>
  <c r="AV8" i="91"/>
  <c r="AR41" i="91"/>
  <c r="AT41" i="91"/>
  <c r="AM41" i="91"/>
  <c r="AM6" i="91"/>
  <c r="AP8" i="91"/>
  <c r="BG8" i="91" s="1"/>
  <c r="BG16" i="91"/>
  <c r="AT20" i="90"/>
  <c r="AR20" i="90"/>
  <c r="AV20" i="90" s="1"/>
  <c r="AM20" i="90"/>
  <c r="AP20" i="90" s="1"/>
  <c r="BG20" i="90" s="1"/>
  <c r="AT8" i="90"/>
  <c r="AM8" i="90"/>
  <c r="AR8" i="90"/>
  <c r="AM19" i="90"/>
  <c r="AT19" i="90"/>
  <c r="AR19" i="90"/>
  <c r="AV19" i="90" s="1"/>
  <c r="AX19" i="90"/>
  <c r="B13" i="90"/>
  <c r="AM29" i="84"/>
  <c r="AI14" i="90"/>
  <c r="AM15" i="90"/>
  <c r="AP15" i="90" s="1"/>
  <c r="BG15" i="90" s="1"/>
  <c r="AT15" i="90"/>
  <c r="AR15" i="90"/>
  <c r="AV15" i="90" s="1"/>
  <c r="AT12" i="90"/>
  <c r="AR12" i="90"/>
  <c r="AV12" i="90" s="1"/>
  <c r="AM12" i="90"/>
  <c r="AM13" i="90"/>
  <c r="AT13" i="90"/>
  <c r="AR13" i="90"/>
  <c r="AV13" i="90" s="1"/>
  <c r="AT26" i="90"/>
  <c r="AR26" i="90"/>
  <c r="AV26" i="90" s="1"/>
  <c r="AM26" i="90"/>
  <c r="AX26" i="90"/>
  <c r="H41" i="90"/>
  <c r="AI29" i="90"/>
  <c r="C29" i="90" s="1"/>
  <c r="AJ30" i="90"/>
  <c r="AT16" i="90"/>
  <c r="AM16" i="90"/>
  <c r="AR16" i="90"/>
  <c r="AV16" i="90" s="1"/>
  <c r="AX16" i="90"/>
  <c r="AI8" i="90"/>
  <c r="C8" i="90" s="1"/>
  <c r="AI20" i="90"/>
  <c r="C20" i="90" s="1"/>
  <c r="AT29" i="84"/>
  <c r="AI15" i="90"/>
  <c r="C15" i="90" s="1"/>
  <c r="AR23" i="90"/>
  <c r="AV23" i="90" s="1"/>
  <c r="AM23" i="90"/>
  <c r="AT23" i="90"/>
  <c r="AX23" i="90"/>
  <c r="AT29" i="90"/>
  <c r="AR29" i="90"/>
  <c r="AV29" i="90" s="1"/>
  <c r="AM29" i="90"/>
  <c r="AP29" i="90" s="1"/>
  <c r="BG29" i="90" s="1"/>
  <c r="AP11" i="90"/>
  <c r="BG11" i="90" s="1"/>
  <c r="AM21" i="90"/>
  <c r="AT21" i="90"/>
  <c r="AR21" i="90"/>
  <c r="AV21" i="90" s="1"/>
  <c r="AX21" i="90"/>
  <c r="I9" i="89"/>
  <c r="AO9" i="89"/>
  <c r="AT23" i="89"/>
  <c r="AR23" i="89"/>
  <c r="AV23" i="89" s="1"/>
  <c r="AM23" i="89"/>
  <c r="AX23" i="89"/>
  <c r="BM33" i="89"/>
  <c r="BJ33" i="89"/>
  <c r="H33" i="89" s="1"/>
  <c r="BF33" i="89" s="1"/>
  <c r="AK33" i="89"/>
  <c r="BN33" i="89"/>
  <c r="AN41" i="84"/>
  <c r="AP12" i="87"/>
  <c r="BG12" i="87" s="1"/>
  <c r="B18" i="89"/>
  <c r="BJ18" i="89"/>
  <c r="H18" i="89" s="1"/>
  <c r="BF18" i="89" s="1"/>
  <c r="AK18" i="89"/>
  <c r="BN18" i="89"/>
  <c r="BM18" i="89"/>
  <c r="BJ27" i="89"/>
  <c r="H27" i="89" s="1"/>
  <c r="BF27" i="89" s="1"/>
  <c r="AK27" i="89"/>
  <c r="BN27" i="89"/>
  <c r="BM27" i="89"/>
  <c r="AR32" i="89"/>
  <c r="AV32" i="89" s="1"/>
  <c r="AM32" i="89"/>
  <c r="AT32" i="89"/>
  <c r="AX32" i="89"/>
  <c r="BJ30" i="89"/>
  <c r="H30" i="89" s="1"/>
  <c r="BF30" i="89" s="1"/>
  <c r="AK30" i="89"/>
  <c r="BN30" i="89"/>
  <c r="BM30" i="89"/>
  <c r="AT26" i="89"/>
  <c r="AR26" i="89"/>
  <c r="AV26" i="89" s="1"/>
  <c r="AM26" i="89"/>
  <c r="AX26" i="89"/>
  <c r="AT31" i="89"/>
  <c r="AR31" i="89"/>
  <c r="AV31" i="89" s="1"/>
  <c r="AM31" i="89"/>
  <c r="AX31" i="89"/>
  <c r="AZ33" i="89"/>
  <c r="BJ21" i="89"/>
  <c r="H21" i="89" s="1"/>
  <c r="BF21" i="89" s="1"/>
  <c r="AK21" i="89"/>
  <c r="BN21" i="89"/>
  <c r="BM21" i="89"/>
  <c r="BM10" i="89"/>
  <c r="BJ10" i="89"/>
  <c r="H10" i="89" s="1"/>
  <c r="AK10" i="89"/>
  <c r="BN10" i="89"/>
  <c r="AR19" i="89"/>
  <c r="AV19" i="89" s="1"/>
  <c r="AM19" i="89"/>
  <c r="AT19" i="89"/>
  <c r="AX19" i="89"/>
  <c r="BA4" i="89"/>
  <c r="BJ24" i="89"/>
  <c r="H24" i="89" s="1"/>
  <c r="BF24" i="89" s="1"/>
  <c r="AK24" i="89"/>
  <c r="BN24" i="89"/>
  <c r="BM24" i="89"/>
  <c r="AM28" i="89"/>
  <c r="AX28" i="89"/>
  <c r="AT28" i="89"/>
  <c r="AR28" i="89"/>
  <c r="AV28" i="89" s="1"/>
  <c r="BB4" i="89"/>
  <c r="BJ17" i="89"/>
  <c r="H17" i="89" s="1"/>
  <c r="BF17" i="89" s="1"/>
  <c r="AK17" i="89"/>
  <c r="BN17" i="89"/>
  <c r="BM17" i="89"/>
  <c r="AM25" i="89"/>
  <c r="AX25" i="89"/>
  <c r="AT25" i="89"/>
  <c r="AR25" i="89"/>
  <c r="AV25" i="89" s="1"/>
  <c r="AT35" i="89"/>
  <c r="AR35" i="89"/>
  <c r="AV35" i="89" s="1"/>
  <c r="AM35" i="89"/>
  <c r="AX35" i="89"/>
  <c r="BJ13" i="89"/>
  <c r="H13" i="89" s="1"/>
  <c r="BF13" i="89" s="1"/>
  <c r="AK13" i="89"/>
  <c r="BN13" i="89"/>
  <c r="BM13" i="89"/>
  <c r="AM22" i="89"/>
  <c r="AX22" i="89"/>
  <c r="AT22" i="89"/>
  <c r="AR22" i="89"/>
  <c r="AV22" i="89" s="1"/>
  <c r="I10" i="89"/>
  <c r="AO10" i="89"/>
  <c r="AT29" i="89"/>
  <c r="AR29" i="89"/>
  <c r="AV29" i="89" s="1"/>
  <c r="AM29" i="89"/>
  <c r="AP29" i="89" s="1"/>
  <c r="BG29" i="89" s="1"/>
  <c r="BJ9" i="89"/>
  <c r="H9" i="89" s="1"/>
  <c r="AK9" i="89"/>
  <c r="BM9" i="89"/>
  <c r="BN9" i="89"/>
  <c r="AR11" i="89"/>
  <c r="AV11" i="89" s="1"/>
  <c r="AM11" i="89"/>
  <c r="AT11" i="89"/>
  <c r="AK14" i="89"/>
  <c r="BN14" i="89"/>
  <c r="BM14" i="89"/>
  <c r="BJ34" i="89"/>
  <c r="H34" i="89" s="1"/>
  <c r="BF34" i="89" s="1"/>
  <c r="AK34" i="89"/>
  <c r="BN34" i="89"/>
  <c r="BM34" i="89"/>
  <c r="B19" i="89"/>
  <c r="AP19" i="89" s="1"/>
  <c r="AJ17" i="89"/>
  <c r="AR15" i="89"/>
  <c r="AV15" i="89" s="1"/>
  <c r="AM15" i="89"/>
  <c r="AP15" i="89" s="1"/>
  <c r="BG15" i="89" s="1"/>
  <c r="AT15" i="89"/>
  <c r="AY4" i="89"/>
  <c r="I13" i="89"/>
  <c r="AO13" i="89"/>
  <c r="B21" i="89"/>
  <c r="AZ27" i="89"/>
  <c r="AZ30" i="89"/>
  <c r="AT12" i="87"/>
  <c r="AM12" i="87"/>
  <c r="AR12" i="87"/>
  <c r="AV12" i="87" s="1"/>
  <c r="AM28" i="88"/>
  <c r="AT28" i="88"/>
  <c r="AR28" i="88"/>
  <c r="AV28" i="88" s="1"/>
  <c r="AX28" i="88"/>
  <c r="BJ30" i="88"/>
  <c r="H30" i="88" s="1"/>
  <c r="BF30" i="88" s="1"/>
  <c r="AK30" i="88"/>
  <c r="BM30" i="88"/>
  <c r="BN30" i="88"/>
  <c r="BJ24" i="88"/>
  <c r="H24" i="88" s="1"/>
  <c r="BF24" i="88" s="1"/>
  <c r="AK24" i="88"/>
  <c r="BN24" i="88"/>
  <c r="BM24" i="88"/>
  <c r="AT35" i="88"/>
  <c r="AR35" i="88"/>
  <c r="AV35" i="88" s="1"/>
  <c r="AM35" i="88"/>
  <c r="AX35" i="88"/>
  <c r="AT14" i="88"/>
  <c r="AR14" i="88"/>
  <c r="AV14" i="88" s="1"/>
  <c r="AM14" i="88"/>
  <c r="AP14" i="88" s="1"/>
  <c r="BG14" i="88" s="1"/>
  <c r="AR36" i="88"/>
  <c r="AV36" i="88" s="1"/>
  <c r="AM36" i="88"/>
  <c r="AT36" i="88"/>
  <c r="AX36" i="88"/>
  <c r="AY4" i="88"/>
  <c r="BM8" i="88"/>
  <c r="AO8" i="88"/>
  <c r="AK8" i="88"/>
  <c r="BN8" i="88"/>
  <c r="BJ34" i="88"/>
  <c r="H34" i="88" s="1"/>
  <c r="BF34" i="88" s="1"/>
  <c r="AK34" i="88"/>
  <c r="BM34" i="88"/>
  <c r="BN34" i="88"/>
  <c r="B17" i="88"/>
  <c r="BJ27" i="88"/>
  <c r="H27" i="88" s="1"/>
  <c r="BF27" i="88" s="1"/>
  <c r="AK27" i="88"/>
  <c r="BM27" i="88"/>
  <c r="BN27" i="88"/>
  <c r="BM16" i="88"/>
  <c r="BJ16" i="88"/>
  <c r="H16" i="88" s="1"/>
  <c r="BF16" i="88" s="1"/>
  <c r="AK16" i="88"/>
  <c r="BN16" i="88"/>
  <c r="AN6" i="86"/>
  <c r="AT10" i="88"/>
  <c r="AR10" i="88"/>
  <c r="AV10" i="88" s="1"/>
  <c r="AM10" i="88"/>
  <c r="AZ8" i="88"/>
  <c r="AR11" i="88"/>
  <c r="AV11" i="88" s="1"/>
  <c r="AM11" i="88"/>
  <c r="AT11" i="88"/>
  <c r="AZ16" i="88"/>
  <c r="BJ13" i="88"/>
  <c r="H13" i="88" s="1"/>
  <c r="BF13" i="88" s="1"/>
  <c r="AK13" i="88"/>
  <c r="AO13" i="88"/>
  <c r="BM13" i="88"/>
  <c r="BN13" i="88"/>
  <c r="AM25" i="88"/>
  <c r="AT25" i="88"/>
  <c r="AR25" i="88"/>
  <c r="AV25" i="88" s="1"/>
  <c r="AX25" i="88"/>
  <c r="AT31" i="88"/>
  <c r="AR31" i="88"/>
  <c r="AV31" i="88" s="1"/>
  <c r="AM31" i="88"/>
  <c r="AX31" i="88"/>
  <c r="BJ9" i="88"/>
  <c r="H9" i="88" s="1"/>
  <c r="AK9" i="88"/>
  <c r="AO9" i="88"/>
  <c r="BM9" i="88"/>
  <c r="BN9" i="88"/>
  <c r="BA4" i="88"/>
  <c r="B13" i="88"/>
  <c r="AR19" i="88"/>
  <c r="AV19" i="88" s="1"/>
  <c r="AM19" i="88"/>
  <c r="AT19" i="88"/>
  <c r="AX19" i="88"/>
  <c r="AT18" i="88"/>
  <c r="AR18" i="88"/>
  <c r="AV18" i="88" s="1"/>
  <c r="AM18" i="88"/>
  <c r="AX18" i="88"/>
  <c r="BB4" i="88"/>
  <c r="BM20" i="88"/>
  <c r="AK20" i="88"/>
  <c r="BN20" i="88"/>
  <c r="AJ16" i="88"/>
  <c r="BJ17" i="88"/>
  <c r="H17" i="88" s="1"/>
  <c r="BF17" i="88" s="1"/>
  <c r="AK17" i="88"/>
  <c r="BM17" i="88"/>
  <c r="BN17" i="88"/>
  <c r="AR15" i="88"/>
  <c r="AV15" i="88" s="1"/>
  <c r="AM15" i="88"/>
  <c r="AP15" i="88" s="1"/>
  <c r="BG15" i="88" s="1"/>
  <c r="AT15" i="88"/>
  <c r="BJ21" i="88"/>
  <c r="H21" i="88" s="1"/>
  <c r="BF21" i="88" s="1"/>
  <c r="AK21" i="88"/>
  <c r="BN21" i="88"/>
  <c r="BM21" i="88"/>
  <c r="AP10" i="88"/>
  <c r="BG10" i="88" s="1"/>
  <c r="AT26" i="88"/>
  <c r="AR26" i="88"/>
  <c r="AV26" i="88" s="1"/>
  <c r="AM26" i="88"/>
  <c r="AX26" i="88"/>
  <c r="AZ30" i="88"/>
  <c r="BM33" i="88"/>
  <c r="BJ33" i="88"/>
  <c r="H33" i="88" s="1"/>
  <c r="BF33" i="88" s="1"/>
  <c r="AK33" i="88"/>
  <c r="BN33" i="88"/>
  <c r="AR32" i="88"/>
  <c r="AV32" i="88" s="1"/>
  <c r="AM32" i="88"/>
  <c r="AP32" i="88" s="1"/>
  <c r="BG32" i="88" s="1"/>
  <c r="AT32" i="88"/>
  <c r="AT23" i="88"/>
  <c r="AR23" i="88"/>
  <c r="AV23" i="88" s="1"/>
  <c r="AM23" i="88"/>
  <c r="AX23" i="88"/>
  <c r="AP11" i="88"/>
  <c r="BG11" i="88" s="1"/>
  <c r="B16" i="88"/>
  <c r="BM12" i="88"/>
  <c r="AO12" i="88"/>
  <c r="BJ12" i="88"/>
  <c r="H12" i="88" s="1"/>
  <c r="BF12" i="88" s="1"/>
  <c r="AK12" i="88"/>
  <c r="BN12" i="88"/>
  <c r="AT29" i="88"/>
  <c r="AR29" i="88"/>
  <c r="AV29" i="88" s="1"/>
  <c r="AM29" i="88"/>
  <c r="AX29" i="88"/>
  <c r="AZ34" i="88"/>
  <c r="AM22" i="88"/>
  <c r="AT22" i="88"/>
  <c r="AR22" i="88"/>
  <c r="AV22" i="88" s="1"/>
  <c r="AX22" i="88"/>
  <c r="AZ27" i="88"/>
  <c r="BJ10" i="87"/>
  <c r="H10" i="87" s="1"/>
  <c r="AK10" i="87"/>
  <c r="BM10" i="87"/>
  <c r="BN10" i="87"/>
  <c r="BM17" i="82"/>
  <c r="AR11" i="87"/>
  <c r="AV11" i="87" s="1"/>
  <c r="AM11" i="87"/>
  <c r="AT11" i="87"/>
  <c r="BJ24" i="87"/>
  <c r="H24" i="87" s="1"/>
  <c r="BF24" i="87" s="1"/>
  <c r="AK24" i="87"/>
  <c r="BM24" i="87"/>
  <c r="BN24" i="87"/>
  <c r="AO10" i="87"/>
  <c r="I10" i="87"/>
  <c r="BJ30" i="87"/>
  <c r="H30" i="87" s="1"/>
  <c r="BF30" i="87" s="1"/>
  <c r="AK30" i="87"/>
  <c r="BM30" i="87"/>
  <c r="BN30" i="87"/>
  <c r="AM28" i="87"/>
  <c r="AP28" i="87" s="1"/>
  <c r="BG28" i="87" s="1"/>
  <c r="AR28" i="87"/>
  <c r="AV28" i="87" s="1"/>
  <c r="AT28" i="87"/>
  <c r="AK23" i="87"/>
  <c r="BJ23" i="87"/>
  <c r="H23" i="87" s="1"/>
  <c r="BF23" i="87" s="1"/>
  <c r="BN23" i="87"/>
  <c r="BM23" i="87"/>
  <c r="B13" i="87"/>
  <c r="AN41" i="86"/>
  <c r="AK26" i="87"/>
  <c r="BJ26" i="87"/>
  <c r="H26" i="87" s="1"/>
  <c r="BF26" i="87" s="1"/>
  <c r="BN26" i="87"/>
  <c r="BM26" i="87"/>
  <c r="BJ29" i="87"/>
  <c r="H29" i="87" s="1"/>
  <c r="BF29" i="87" s="1"/>
  <c r="AK29" i="87"/>
  <c r="BN29" i="87"/>
  <c r="BM29" i="87"/>
  <c r="BJ27" i="87"/>
  <c r="H27" i="87" s="1"/>
  <c r="BF27" i="87" s="1"/>
  <c r="AK27" i="87"/>
  <c r="BM27" i="87"/>
  <c r="BN27" i="87"/>
  <c r="BJ18" i="87"/>
  <c r="H18" i="87" s="1"/>
  <c r="BF18" i="87" s="1"/>
  <c r="AK18" i="87"/>
  <c r="BN18" i="87"/>
  <c r="BM18" i="87"/>
  <c r="BJ13" i="87"/>
  <c r="H13" i="87" s="1"/>
  <c r="BF13" i="87" s="1"/>
  <c r="AK13" i="87"/>
  <c r="BM13" i="87"/>
  <c r="BN13" i="87"/>
  <c r="AM22" i="87"/>
  <c r="AT22" i="87"/>
  <c r="AR22" i="87"/>
  <c r="AV22" i="87" s="1"/>
  <c r="AX22" i="87"/>
  <c r="AV45" i="84"/>
  <c r="AZ10" i="87"/>
  <c r="AO9" i="87"/>
  <c r="I9" i="87"/>
  <c r="AR19" i="87"/>
  <c r="AV19" i="87" s="1"/>
  <c r="AM19" i="87"/>
  <c r="AT19" i="87"/>
  <c r="AX19" i="87"/>
  <c r="AK14" i="87"/>
  <c r="BN14" i="87"/>
  <c r="BM14" i="87"/>
  <c r="BB4" i="87"/>
  <c r="AM25" i="87"/>
  <c r="AT25" i="87"/>
  <c r="AR25" i="87"/>
  <c r="AV25" i="87" s="1"/>
  <c r="AX25" i="87"/>
  <c r="BA4" i="87"/>
  <c r="AO13" i="87"/>
  <c r="I13" i="87"/>
  <c r="AR15" i="87"/>
  <c r="AV15" i="87" s="1"/>
  <c r="AM15" i="87"/>
  <c r="AP15" i="87" s="1"/>
  <c r="BG15" i="87" s="1"/>
  <c r="AT15" i="87"/>
  <c r="AP11" i="87"/>
  <c r="BG11" i="87" s="1"/>
  <c r="BJ17" i="87"/>
  <c r="H17" i="87" s="1"/>
  <c r="BF17" i="87" s="1"/>
  <c r="AK17" i="87"/>
  <c r="BM17" i="87"/>
  <c r="BN17" i="87"/>
  <c r="AK21" i="82"/>
  <c r="AM21" i="82" s="1"/>
  <c r="BJ9" i="87"/>
  <c r="H9" i="87" s="1"/>
  <c r="AK9" i="87"/>
  <c r="BN9" i="87"/>
  <c r="BM9" i="87"/>
  <c r="AZ18" i="87"/>
  <c r="AJ21" i="87"/>
  <c r="BM28" i="82"/>
  <c r="AY4" i="87"/>
  <c r="BJ21" i="87"/>
  <c r="H21" i="87" s="1"/>
  <c r="BF21" i="87" s="1"/>
  <c r="AK21" i="87"/>
  <c r="BN21" i="87"/>
  <c r="BM21" i="87"/>
  <c r="BK24" i="86"/>
  <c r="I24" i="86" s="1"/>
  <c r="AY24" i="86"/>
  <c r="BI24" i="86"/>
  <c r="AW24" i="86"/>
  <c r="BB24" i="86"/>
  <c r="BA24" i="86"/>
  <c r="AI24" i="86"/>
  <c r="C24" i="86" s="1"/>
  <c r="AI16" i="86"/>
  <c r="C16" i="86" s="1"/>
  <c r="AI28" i="86"/>
  <c r="C28" i="86" s="1"/>
  <c r="AI25" i="86"/>
  <c r="C25" i="86" s="1"/>
  <c r="AI22" i="86"/>
  <c r="C22" i="86" s="1"/>
  <c r="AI21" i="86"/>
  <c r="C21" i="86" s="1"/>
  <c r="AI17" i="86"/>
  <c r="C17" i="86" s="1"/>
  <c r="E41" i="86"/>
  <c r="AV41" i="86"/>
  <c r="AV45" i="86" s="1"/>
  <c r="Q5" i="86"/>
  <c r="BM24" i="82"/>
  <c r="BM25" i="86"/>
  <c r="BJ25" i="86"/>
  <c r="H25" i="86" s="1"/>
  <c r="BF25" i="86" s="1"/>
  <c r="AK25" i="86"/>
  <c r="BN25" i="86"/>
  <c r="BN19" i="86"/>
  <c r="AZ19" i="86"/>
  <c r="BJ19" i="86"/>
  <c r="H19" i="86" s="1"/>
  <c r="BF19" i="86" s="1"/>
  <c r="AK19" i="86"/>
  <c r="BM19" i="86"/>
  <c r="BN14" i="86"/>
  <c r="BM14" i="86"/>
  <c r="AK14" i="86"/>
  <c r="B13" i="86"/>
  <c r="AK36" i="81"/>
  <c r="AM36" i="81" s="1"/>
  <c r="AJ10" i="86"/>
  <c r="BK21" i="86"/>
  <c r="I21" i="86" s="1"/>
  <c r="AY21" i="86"/>
  <c r="BB21" i="86"/>
  <c r="BA21" i="86"/>
  <c r="BI21" i="86"/>
  <c r="AW21" i="86"/>
  <c r="B12" i="86"/>
  <c r="AI18" i="86"/>
  <c r="C18" i="86" s="1"/>
  <c r="BN22" i="86"/>
  <c r="BM22" i="86"/>
  <c r="BJ22" i="86"/>
  <c r="H22" i="86" s="1"/>
  <c r="BF22" i="86" s="1"/>
  <c r="AK22" i="86"/>
  <c r="AZ22" i="86" s="1"/>
  <c r="BN15" i="86"/>
  <c r="AK15" i="86"/>
  <c r="AZ15" i="86"/>
  <c r="BM15" i="86"/>
  <c r="BN26" i="86"/>
  <c r="BM26" i="86"/>
  <c r="BJ26" i="86"/>
  <c r="H26" i="86" s="1"/>
  <c r="BF26" i="86" s="1"/>
  <c r="AK26" i="86"/>
  <c r="BN10" i="86"/>
  <c r="BM10" i="86"/>
  <c r="AO10" i="86"/>
  <c r="BJ10" i="86"/>
  <c r="H10" i="86" s="1"/>
  <c r="BF10" i="86" s="1"/>
  <c r="AK10" i="86"/>
  <c r="BK17" i="86"/>
  <c r="I17" i="86" s="1"/>
  <c r="AY17" i="86"/>
  <c r="BB17" i="86"/>
  <c r="BA17" i="86"/>
  <c r="BI17" i="86"/>
  <c r="AZ17" i="86" s="1"/>
  <c r="AW17" i="86"/>
  <c r="AZ26" i="86"/>
  <c r="BN11" i="86"/>
  <c r="BJ11" i="86"/>
  <c r="H11" i="86" s="1"/>
  <c r="BF11" i="86" s="1"/>
  <c r="AK11" i="86"/>
  <c r="BM11" i="86"/>
  <c r="AO11" i="86"/>
  <c r="AZ11" i="86"/>
  <c r="BN23" i="86"/>
  <c r="BM23" i="86"/>
  <c r="BJ23" i="86"/>
  <c r="H23" i="86" s="1"/>
  <c r="BF23" i="86" s="1"/>
  <c r="AK23" i="86"/>
  <c r="BB20" i="86"/>
  <c r="BA20" i="86"/>
  <c r="BK20" i="86"/>
  <c r="I20" i="86" s="1"/>
  <c r="AY20" i="86"/>
  <c r="BI20" i="86"/>
  <c r="AZ20" i="86" s="1"/>
  <c r="AW20" i="86"/>
  <c r="AX20" i="86"/>
  <c r="BK13" i="86"/>
  <c r="I13" i="86" s="1"/>
  <c r="AY13" i="86"/>
  <c r="BB13" i="86"/>
  <c r="BA13" i="86"/>
  <c r="AX13" i="86"/>
  <c r="AW13" i="86"/>
  <c r="BI13" i="86"/>
  <c r="BB16" i="86"/>
  <c r="BK16" i="86"/>
  <c r="I16" i="86" s="1"/>
  <c r="AY16" i="86"/>
  <c r="BI16" i="86"/>
  <c r="BA16" i="86"/>
  <c r="AW16" i="86"/>
  <c r="AZ10" i="86"/>
  <c r="BB12" i="86"/>
  <c r="BK12" i="86"/>
  <c r="I12" i="86" s="1"/>
  <c r="AY12" i="86"/>
  <c r="BA12" i="86"/>
  <c r="AX12" i="86"/>
  <c r="AW12" i="86"/>
  <c r="BI12" i="86"/>
  <c r="AZ12" i="86" s="1"/>
  <c r="BN28" i="86"/>
  <c r="BM28" i="86"/>
  <c r="BJ28" i="86"/>
  <c r="H28" i="86" s="1"/>
  <c r="BF28" i="86" s="1"/>
  <c r="AK28" i="86"/>
  <c r="BK27" i="86"/>
  <c r="I27" i="86" s="1"/>
  <c r="AY27" i="86"/>
  <c r="AX27" i="86"/>
  <c r="BI27" i="86"/>
  <c r="AW27" i="86"/>
  <c r="BB27" i="86"/>
  <c r="BA27" i="86"/>
  <c r="BN18" i="86"/>
  <c r="BM18" i="86"/>
  <c r="BJ18" i="86"/>
  <c r="H18" i="86" s="1"/>
  <c r="BF18" i="86" s="1"/>
  <c r="AK18" i="86"/>
  <c r="BB8" i="86"/>
  <c r="BK8" i="86"/>
  <c r="I8" i="86" s="1"/>
  <c r="AY8" i="86"/>
  <c r="BA8" i="86"/>
  <c r="AX8" i="86"/>
  <c r="AW8" i="86"/>
  <c r="BI8" i="86"/>
  <c r="BK9" i="86"/>
  <c r="I9" i="86" s="1"/>
  <c r="AY9" i="86"/>
  <c r="BB9" i="86"/>
  <c r="BA9" i="86"/>
  <c r="BI9" i="86"/>
  <c r="AX9" i="86"/>
  <c r="AW9" i="86"/>
  <c r="BG23" i="84"/>
  <c r="AN10" i="82"/>
  <c r="AK33" i="82"/>
  <c r="AM33" i="82" s="1"/>
  <c r="AN18" i="82"/>
  <c r="BN24" i="82"/>
  <c r="BN36" i="84"/>
  <c r="BM36" i="84"/>
  <c r="BJ36" i="84"/>
  <c r="H36" i="84" s="1"/>
  <c r="BF36" i="84" s="1"/>
  <c r="AK36" i="84"/>
  <c r="BK30" i="84"/>
  <c r="I30" i="84" s="1"/>
  <c r="AY30" i="84"/>
  <c r="BB30" i="84"/>
  <c r="BA30" i="84"/>
  <c r="BI30" i="84"/>
  <c r="AZ30" i="84" s="1"/>
  <c r="AW30" i="84"/>
  <c r="BK17" i="84"/>
  <c r="I17" i="84" s="1"/>
  <c r="AY17" i="84"/>
  <c r="AW17" i="84"/>
  <c r="BB17" i="84"/>
  <c r="BI17" i="84"/>
  <c r="AZ17" i="84" s="1"/>
  <c r="BA17" i="84"/>
  <c r="BB12" i="84"/>
  <c r="BK12" i="84"/>
  <c r="I12" i="84" s="1"/>
  <c r="BI12" i="84"/>
  <c r="AZ12" i="84" s="1"/>
  <c r="BA12" i="84"/>
  <c r="AY12" i="84"/>
  <c r="AX12" i="84"/>
  <c r="AW12" i="84"/>
  <c r="BN26" i="84"/>
  <c r="AZ39" i="84"/>
  <c r="B11" i="84"/>
  <c r="B12" i="84"/>
  <c r="BJ22" i="84"/>
  <c r="H22" i="84" s="1"/>
  <c r="BF22" i="84" s="1"/>
  <c r="AZ22" i="84"/>
  <c r="BM22" i="84"/>
  <c r="BN22" i="84"/>
  <c r="AK22" i="84"/>
  <c r="AR25" i="84"/>
  <c r="AV25" i="84" s="1"/>
  <c r="AT25" i="84"/>
  <c r="AM25" i="84"/>
  <c r="BM31" i="84"/>
  <c r="BJ31" i="84"/>
  <c r="H31" i="84" s="1"/>
  <c r="BF31" i="84" s="1"/>
  <c r="AK31" i="84"/>
  <c r="BN31" i="84"/>
  <c r="BM14" i="84"/>
  <c r="AK14" i="84"/>
  <c r="BN14" i="84"/>
  <c r="BM35" i="84"/>
  <c r="BJ35" i="84"/>
  <c r="H35" i="84" s="1"/>
  <c r="BF35" i="84" s="1"/>
  <c r="AK35" i="84"/>
  <c r="BN35" i="84"/>
  <c r="BM10" i="84"/>
  <c r="AO10" i="84"/>
  <c r="AK10" i="84"/>
  <c r="BN10" i="84"/>
  <c r="BJ10" i="84"/>
  <c r="H10" i="84" s="1"/>
  <c r="BF10" i="84" s="1"/>
  <c r="AK38" i="82"/>
  <c r="AM38" i="82" s="1"/>
  <c r="AZ36" i="84"/>
  <c r="AZ14" i="84"/>
  <c r="AZ10" i="84"/>
  <c r="BK21" i="84"/>
  <c r="I21" i="84" s="1"/>
  <c r="AY21" i="84"/>
  <c r="AW21" i="84"/>
  <c r="BA21" i="84"/>
  <c r="BI21" i="84"/>
  <c r="AZ21" i="84" s="1"/>
  <c r="BB21" i="84"/>
  <c r="BJ24" i="84"/>
  <c r="H24" i="84" s="1"/>
  <c r="BF24" i="84" s="1"/>
  <c r="AK24" i="84"/>
  <c r="BN29" i="84"/>
  <c r="BK13" i="84"/>
  <c r="I13" i="84" s="1"/>
  <c r="AY13" i="84"/>
  <c r="AW13" i="84"/>
  <c r="BI13" i="84"/>
  <c r="AZ13" i="84" s="1"/>
  <c r="AX13" i="84"/>
  <c r="BA13" i="84"/>
  <c r="BB13" i="84"/>
  <c r="BB20" i="84"/>
  <c r="BK20" i="84"/>
  <c r="I20" i="84" s="1"/>
  <c r="BI20" i="84"/>
  <c r="AZ20" i="84" s="1"/>
  <c r="BA20" i="84"/>
  <c r="AY20" i="84"/>
  <c r="AW20" i="84"/>
  <c r="AZ24" i="84"/>
  <c r="BB33" i="84"/>
  <c r="BA33" i="84"/>
  <c r="BK33" i="84"/>
  <c r="I33" i="84" s="1"/>
  <c r="AY33" i="84"/>
  <c r="BI33" i="84"/>
  <c r="AZ33" i="84" s="1"/>
  <c r="AW33" i="84"/>
  <c r="BM37" i="81"/>
  <c r="BB16" i="84"/>
  <c r="BI16" i="84"/>
  <c r="AZ16" i="84" s="1"/>
  <c r="AY16" i="84"/>
  <c r="AW16" i="84"/>
  <c r="BA16" i="84"/>
  <c r="BK16" i="84"/>
  <c r="I16" i="84" s="1"/>
  <c r="AZ35" i="84"/>
  <c r="AK15" i="84"/>
  <c r="AZ15" i="84"/>
  <c r="BM15" i="84"/>
  <c r="BN15" i="84"/>
  <c r="BN23" i="84"/>
  <c r="AZ31" i="84"/>
  <c r="BN32" i="84"/>
  <c r="BM32" i="84"/>
  <c r="BJ32" i="84"/>
  <c r="H32" i="84" s="1"/>
  <c r="BF32" i="84" s="1"/>
  <c r="AK32" i="84"/>
  <c r="BK27" i="84"/>
  <c r="I27" i="84" s="1"/>
  <c r="AY27" i="84"/>
  <c r="BB27" i="84"/>
  <c r="BA27" i="84"/>
  <c r="AW27" i="84"/>
  <c r="BI27" i="84"/>
  <c r="BN39" i="84"/>
  <c r="BJ39" i="84"/>
  <c r="H39" i="84" s="1"/>
  <c r="BF39" i="84" s="1"/>
  <c r="AK39" i="84"/>
  <c r="BK38" i="84"/>
  <c r="I38" i="84" s="1"/>
  <c r="AY38" i="84"/>
  <c r="BI38" i="84"/>
  <c r="AZ38" i="84" s="1"/>
  <c r="AW38" i="84"/>
  <c r="BB38" i="84"/>
  <c r="BA38" i="84"/>
  <c r="BB37" i="84"/>
  <c r="BA37" i="84"/>
  <c r="BK37" i="84"/>
  <c r="I37" i="84" s="1"/>
  <c r="AY37" i="84"/>
  <c r="BI37" i="84"/>
  <c r="AZ37" i="84" s="1"/>
  <c r="AW37" i="84"/>
  <c r="BB8" i="84"/>
  <c r="BI8" i="84"/>
  <c r="AZ8" i="84" s="1"/>
  <c r="AY8" i="84"/>
  <c r="AX8" i="84"/>
  <c r="AW8" i="84"/>
  <c r="BK8" i="84"/>
  <c r="I8" i="84" s="1"/>
  <c r="BA8" i="84"/>
  <c r="BA4" i="84" s="1"/>
  <c r="BN24" i="84"/>
  <c r="BJ19" i="84"/>
  <c r="H19" i="84" s="1"/>
  <c r="BF19" i="84" s="1"/>
  <c r="AK19" i="84"/>
  <c r="AZ19" i="84"/>
  <c r="BM19" i="84"/>
  <c r="BN19" i="84"/>
  <c r="AK9" i="84"/>
  <c r="BM9" i="84"/>
  <c r="BN9" i="84"/>
  <c r="AO9" i="84"/>
  <c r="BJ9" i="84"/>
  <c r="H9" i="84" s="1"/>
  <c r="BF9" i="84" s="1"/>
  <c r="BK34" i="84"/>
  <c r="I34" i="84" s="1"/>
  <c r="AY34" i="84"/>
  <c r="BB34" i="84"/>
  <c r="BA34" i="84"/>
  <c r="BI34" i="84"/>
  <c r="AZ34" i="84" s="1"/>
  <c r="AW34" i="84"/>
  <c r="BJ11" i="84"/>
  <c r="H11" i="84" s="1"/>
  <c r="BF11" i="84" s="1"/>
  <c r="AK11" i="84"/>
  <c r="BM11" i="84"/>
  <c r="BN11" i="84"/>
  <c r="AZ11" i="84"/>
  <c r="AO11" i="84"/>
  <c r="AJ16" i="84"/>
  <c r="BM18" i="84"/>
  <c r="AK18" i="84"/>
  <c r="BN18" i="84"/>
  <c r="BJ18" i="84"/>
  <c r="H18" i="84" s="1"/>
  <c r="BF18" i="84" s="1"/>
  <c r="BM13" i="82"/>
  <c r="BJ13" i="82"/>
  <c r="H13" i="82" s="1"/>
  <c r="BF13" i="82" s="1"/>
  <c r="AK13" i="82"/>
  <c r="AM13" i="82" s="1"/>
  <c r="AZ13" i="82"/>
  <c r="I9" i="82"/>
  <c r="AO9" i="82"/>
  <c r="BN9" i="82"/>
  <c r="AZ9" i="82"/>
  <c r="BJ9" i="82"/>
  <c r="H9" i="82" s="1"/>
  <c r="BF9" i="82" s="1"/>
  <c r="AK9" i="82"/>
  <c r="AM9" i="82" s="1"/>
  <c r="BM9" i="82"/>
  <c r="I13" i="82"/>
  <c r="AO13" i="82"/>
  <c r="BE4" i="81"/>
  <c r="AZ21" i="82"/>
  <c r="BM37" i="82"/>
  <c r="AK33" i="81"/>
  <c r="AM33" i="81" s="1"/>
  <c r="BN17" i="82"/>
  <c r="AK17" i="82"/>
  <c r="AT17" i="82" s="1"/>
  <c r="AK30" i="82"/>
  <c r="AM30" i="82" s="1"/>
  <c r="BN21" i="82"/>
  <c r="AK27" i="82"/>
  <c r="AM27" i="82" s="1"/>
  <c r="AK34" i="82"/>
  <c r="AM34" i="82" s="1"/>
  <c r="AN9" i="82"/>
  <c r="BJ21" i="82"/>
  <c r="H21" i="82" s="1"/>
  <c r="BF21" i="82" s="1"/>
  <c r="BJ24" i="82"/>
  <c r="H24" i="82" s="1"/>
  <c r="BF24" i="82" s="1"/>
  <c r="AK24" i="82"/>
  <c r="AR24" i="82" s="1"/>
  <c r="AV24" i="82" s="1"/>
  <c r="AN13" i="82"/>
  <c r="AZ17" i="82"/>
  <c r="BN13" i="82"/>
  <c r="Q5" i="82"/>
  <c r="AI12" i="82"/>
  <c r="C12" i="82" s="1"/>
  <c r="AI10" i="82"/>
  <c r="C10" i="82" s="1"/>
  <c r="AR44" i="82"/>
  <c r="AI11" i="82"/>
  <c r="C11" i="82" s="1"/>
  <c r="AI9" i="82"/>
  <c r="C9" i="82" s="1"/>
  <c r="BI11" i="81"/>
  <c r="AZ11" i="81" s="1"/>
  <c r="AK28" i="81"/>
  <c r="AM28" i="81" s="1"/>
  <c r="BI11" i="82"/>
  <c r="AZ11" i="82" s="1"/>
  <c r="BL23" i="82"/>
  <c r="BL26" i="82"/>
  <c r="BL29" i="82"/>
  <c r="BM31" i="82"/>
  <c r="BM35" i="82"/>
  <c r="BM39" i="82"/>
  <c r="BM29" i="81"/>
  <c r="G10" i="82"/>
  <c r="AY11" i="82"/>
  <c r="BK11" i="82"/>
  <c r="G14" i="82"/>
  <c r="G18" i="82"/>
  <c r="AW22" i="82"/>
  <c r="BI22" i="82"/>
  <c r="AZ22" i="82" s="1"/>
  <c r="AW25" i="82"/>
  <c r="BI25" i="82"/>
  <c r="BM26" i="82"/>
  <c r="BM29" i="82"/>
  <c r="AW8" i="82"/>
  <c r="BI8" i="82"/>
  <c r="B11" i="82"/>
  <c r="BL11" i="82"/>
  <c r="AW12" i="82"/>
  <c r="BI12" i="82"/>
  <c r="BL15" i="82"/>
  <c r="AW16" i="82"/>
  <c r="BI16" i="82"/>
  <c r="BL19" i="82"/>
  <c r="AW20" i="82"/>
  <c r="BI20" i="82"/>
  <c r="G23" i="82"/>
  <c r="BL32" i="82"/>
  <c r="BL36" i="82"/>
  <c r="AK32" i="81"/>
  <c r="AM32" i="81" s="1"/>
  <c r="AX8" i="82"/>
  <c r="AX12" i="82"/>
  <c r="AY22" i="82"/>
  <c r="BK22" i="82"/>
  <c r="I22" i="82" s="1"/>
  <c r="AY25" i="82"/>
  <c r="BK25" i="82"/>
  <c r="I25" i="82" s="1"/>
  <c r="BM32" i="82"/>
  <c r="BM36" i="82"/>
  <c r="AY8" i="82"/>
  <c r="BK8" i="82"/>
  <c r="AJ9" i="82"/>
  <c r="AY12" i="82"/>
  <c r="BK12" i="82"/>
  <c r="G15" i="82"/>
  <c r="AY16" i="82"/>
  <c r="BK16" i="82"/>
  <c r="I16" i="82" s="1"/>
  <c r="G19" i="82"/>
  <c r="AY20" i="82"/>
  <c r="BK20" i="82"/>
  <c r="I20" i="82" s="1"/>
  <c r="BA22" i="82"/>
  <c r="BA25" i="82"/>
  <c r="AJ11" i="81"/>
  <c r="AJ12" i="81" s="1"/>
  <c r="AJ13" i="81" s="1"/>
  <c r="AJ14" i="81" s="1"/>
  <c r="BK14" i="81"/>
  <c r="I14" i="81" s="1"/>
  <c r="AY14" i="81"/>
  <c r="AW14" i="81"/>
  <c r="AX14" i="81"/>
  <c r="BI14" i="81"/>
  <c r="AK14" i="81" s="1"/>
  <c r="BA14" i="81"/>
  <c r="BB14" i="81"/>
  <c r="AW11" i="81"/>
  <c r="BI12" i="81"/>
  <c r="AZ12" i="81" s="1"/>
  <c r="BK11" i="81"/>
  <c r="AX12" i="81"/>
  <c r="BM22" i="81"/>
  <c r="BN22" i="81"/>
  <c r="AS41" i="81"/>
  <c r="G9" i="81"/>
  <c r="AI10" i="81"/>
  <c r="C10" i="81" s="1"/>
  <c r="BL10" i="81"/>
  <c r="BB15" i="81"/>
  <c r="BB18" i="81"/>
  <c r="BA22" i="81"/>
  <c r="BB23" i="81"/>
  <c r="BL8" i="81"/>
  <c r="AW12" i="81"/>
  <c r="AY15" i="81"/>
  <c r="BC4" i="81"/>
  <c r="AY22" i="81"/>
  <c r="G8" i="81"/>
  <c r="BI10" i="81"/>
  <c r="AZ10" i="81" s="1"/>
  <c r="AY11" i="81"/>
  <c r="BK12" i="81"/>
  <c r="BL14" i="81"/>
  <c r="G17" i="81"/>
  <c r="BL17" i="81"/>
  <c r="AU41" i="81"/>
  <c r="BA11" i="81"/>
  <c r="BA12" i="81"/>
  <c r="G16" i="81"/>
  <c r="BI19" i="81"/>
  <c r="AW20" i="81"/>
  <c r="BI20" i="81"/>
  <c r="BK10" i="81"/>
  <c r="AY10" i="81"/>
  <c r="AX10" i="81"/>
  <c r="B9" i="81"/>
  <c r="AX11" i="81"/>
  <c r="AQ41" i="81"/>
  <c r="AY12" i="81"/>
  <c r="BA15" i="81"/>
  <c r="AV43" i="81"/>
  <c r="AV44" i="81" s="1"/>
  <c r="AI22" i="81" s="1"/>
  <c r="C22" i="81" s="1"/>
  <c r="BB11" i="81"/>
  <c r="G13" i="81"/>
  <c r="BL13" i="81"/>
  <c r="AN17" i="81"/>
  <c r="AI17" i="81"/>
  <c r="C17" i="81" s="1"/>
  <c r="BI25" i="81"/>
  <c r="AZ25" i="81" s="1"/>
  <c r="AW25" i="81"/>
  <c r="BK25" i="81"/>
  <c r="I25" i="81" s="1"/>
  <c r="G24" i="81"/>
  <c r="BL24" i="81"/>
  <c r="AI26" i="81"/>
  <c r="C26" i="81" s="1"/>
  <c r="BI22" i="81"/>
  <c r="AZ22" i="81" s="1"/>
  <c r="AW22" i="81"/>
  <c r="BA23" i="81"/>
  <c r="BI23" i="81"/>
  <c r="AZ23" i="81" s="1"/>
  <c r="AW23" i="81"/>
  <c r="AY25" i="81"/>
  <c r="BI15" i="81"/>
  <c r="AZ15" i="81" s="1"/>
  <c r="BK18" i="81"/>
  <c r="I18" i="81" s="1"/>
  <c r="AY18" i="81"/>
  <c r="BI18" i="81"/>
  <c r="AZ18" i="81" s="1"/>
  <c r="AW18" i="81"/>
  <c r="BK15" i="81"/>
  <c r="I15" i="81" s="1"/>
  <c r="AW15" i="81"/>
  <c r="BL18" i="81"/>
  <c r="G21" i="81"/>
  <c r="BL21" i="81"/>
  <c r="BK23" i="81"/>
  <c r="I23" i="81" s="1"/>
  <c r="BD4" i="81"/>
  <c r="BL16" i="81"/>
  <c r="BK22" i="81"/>
  <c r="I22" i="81" s="1"/>
  <c r="BA25" i="81"/>
  <c r="AX22" i="81"/>
  <c r="BB25" i="81"/>
  <c r="BL30" i="81"/>
  <c r="AW26" i="81"/>
  <c r="BI26" i="81"/>
  <c r="AZ26" i="81" s="1"/>
  <c r="BM30" i="81"/>
  <c r="BM34" i="81"/>
  <c r="BM38" i="81"/>
  <c r="BL27" i="81"/>
  <c r="BL34" i="81"/>
  <c r="G27" i="81"/>
  <c r="BL31" i="81"/>
  <c r="BL35" i="81"/>
  <c r="BL39" i="81"/>
  <c r="BM31" i="81"/>
  <c r="BM35" i="81"/>
  <c r="BM39" i="81"/>
  <c r="BA26" i="81"/>
  <c r="AN6" i="81" l="1"/>
  <c r="F36" i="9"/>
  <c r="F8" i="8"/>
  <c r="C124" i="14" s="1"/>
  <c r="AV41" i="82"/>
  <c r="AV45" i="82" s="1"/>
  <c r="AR46" i="93"/>
  <c r="B41" i="93" s="1"/>
  <c r="U44" i="93"/>
  <c r="O40" i="93" s="1"/>
  <c r="AP22" i="96"/>
  <c r="BG22" i="96" s="1"/>
  <c r="B23" i="96"/>
  <c r="AI15" i="95"/>
  <c r="C15" i="95" s="1"/>
  <c r="AI20" i="95"/>
  <c r="C20" i="95" s="1"/>
  <c r="AI14" i="95"/>
  <c r="AI8" i="95"/>
  <c r="C8" i="95" s="1"/>
  <c r="AI27" i="95"/>
  <c r="C27" i="95" s="1"/>
  <c r="AP22" i="95"/>
  <c r="BG22" i="95" s="1"/>
  <c r="B23" i="95"/>
  <c r="AR45" i="92"/>
  <c r="AR46" i="92" s="1"/>
  <c r="B41" i="92" s="1"/>
  <c r="B22" i="94"/>
  <c r="AT24" i="82"/>
  <c r="AP16" i="93"/>
  <c r="BG16" i="93" s="1"/>
  <c r="B18" i="93"/>
  <c r="B20" i="93"/>
  <c r="AP20" i="93" s="1"/>
  <c r="BG20" i="93" s="1"/>
  <c r="AJ30" i="93"/>
  <c r="BG19" i="89"/>
  <c r="AP17" i="92"/>
  <c r="BG17" i="92" s="1"/>
  <c r="B18" i="92"/>
  <c r="AR45" i="91"/>
  <c r="AR46" i="91" s="1"/>
  <c r="B41" i="91" s="1"/>
  <c r="AJ19" i="92"/>
  <c r="F41" i="92"/>
  <c r="U47" i="92" s="1"/>
  <c r="U49" i="92" s="1"/>
  <c r="Q6" i="92"/>
  <c r="AW4" i="92"/>
  <c r="B19" i="92"/>
  <c r="AP19" i="92" s="1"/>
  <c r="BG19" i="92" s="1"/>
  <c r="AX4" i="92"/>
  <c r="B22" i="91"/>
  <c r="AP22" i="91" s="1"/>
  <c r="BG22" i="91" s="1"/>
  <c r="AW4" i="91"/>
  <c r="AJ17" i="91"/>
  <c r="AX4" i="91"/>
  <c r="C14" i="90"/>
  <c r="AI43" i="90"/>
  <c r="AM6" i="90"/>
  <c r="J41" i="90" s="1"/>
  <c r="AM41" i="90"/>
  <c r="AX4" i="90" s="1"/>
  <c r="AP8" i="90"/>
  <c r="BG8" i="90" s="1"/>
  <c r="AT41" i="90"/>
  <c r="AP16" i="88"/>
  <c r="AV8" i="90"/>
  <c r="AR41" i="90"/>
  <c r="AP13" i="90"/>
  <c r="BG13" i="90" s="1"/>
  <c r="B16" i="90"/>
  <c r="AP21" i="89"/>
  <c r="B17" i="90"/>
  <c r="AP17" i="90" s="1"/>
  <c r="BG17" i="90" s="1"/>
  <c r="AP13" i="89"/>
  <c r="BG13" i="89" s="1"/>
  <c r="AP17" i="88"/>
  <c r="AP17" i="89"/>
  <c r="AJ18" i="89"/>
  <c r="AM21" i="89"/>
  <c r="AT21" i="89"/>
  <c r="AR21" i="89"/>
  <c r="AV21" i="89" s="1"/>
  <c r="AX21" i="89"/>
  <c r="AP18" i="89"/>
  <c r="AM27" i="89"/>
  <c r="AT27" i="89"/>
  <c r="AR27" i="89"/>
  <c r="AV27" i="89" s="1"/>
  <c r="AX27" i="89"/>
  <c r="AR17" i="82"/>
  <c r="AV17" i="82" s="1"/>
  <c r="AN6" i="82"/>
  <c r="B22" i="89"/>
  <c r="AP22" i="89" s="1"/>
  <c r="BG22" i="89" s="1"/>
  <c r="H41" i="89"/>
  <c r="AP10" i="86"/>
  <c r="BG10" i="86" s="1"/>
  <c r="AM34" i="89"/>
  <c r="AT34" i="89"/>
  <c r="AR34" i="89"/>
  <c r="AV34" i="89" s="1"/>
  <c r="AX34" i="89"/>
  <c r="AM9" i="89"/>
  <c r="AT9" i="89"/>
  <c r="AR9" i="89"/>
  <c r="AM30" i="89"/>
  <c r="AT30" i="89"/>
  <c r="AR30" i="89"/>
  <c r="AV30" i="89" s="1"/>
  <c r="AX30" i="89"/>
  <c r="BF9" i="89"/>
  <c r="AP9" i="89"/>
  <c r="BG9" i="89" s="1"/>
  <c r="AT10" i="89"/>
  <c r="AR10" i="89"/>
  <c r="AV10" i="89" s="1"/>
  <c r="AM10" i="89"/>
  <c r="AM13" i="89"/>
  <c r="AT13" i="89"/>
  <c r="AR13" i="89"/>
  <c r="AV13" i="89" s="1"/>
  <c r="BF10" i="89"/>
  <c r="AP10" i="89"/>
  <c r="BG10" i="89" s="1"/>
  <c r="AT18" i="89"/>
  <c r="AR18" i="89"/>
  <c r="AV18" i="89" s="1"/>
  <c r="AM18" i="89"/>
  <c r="AX18" i="89"/>
  <c r="AM33" i="89"/>
  <c r="AT33" i="89"/>
  <c r="AR33" i="89"/>
  <c r="AV33" i="89" s="1"/>
  <c r="AX33" i="89"/>
  <c r="AZ4" i="89"/>
  <c r="AM24" i="89"/>
  <c r="AT24" i="89"/>
  <c r="AR24" i="89"/>
  <c r="AV24" i="89" s="1"/>
  <c r="AX24" i="89"/>
  <c r="AT14" i="89"/>
  <c r="AR14" i="89"/>
  <c r="AV14" i="89" s="1"/>
  <c r="AM14" i="89"/>
  <c r="AP14" i="89" s="1"/>
  <c r="BG14" i="89" s="1"/>
  <c r="AM17" i="89"/>
  <c r="AT17" i="89"/>
  <c r="AR17" i="89"/>
  <c r="AV17" i="89" s="1"/>
  <c r="AX17" i="89"/>
  <c r="BF9" i="88"/>
  <c r="AP9" i="88"/>
  <c r="BG9" i="88" s="1"/>
  <c r="AM34" i="88"/>
  <c r="AT34" i="88"/>
  <c r="AR34" i="88"/>
  <c r="AV34" i="88" s="1"/>
  <c r="AX34" i="88"/>
  <c r="AM13" i="88"/>
  <c r="AT13" i="88"/>
  <c r="AR13" i="88"/>
  <c r="AV13" i="88" s="1"/>
  <c r="AM16" i="88"/>
  <c r="AT16" i="88"/>
  <c r="AR16" i="88"/>
  <c r="AV16" i="88" s="1"/>
  <c r="AX16" i="88"/>
  <c r="AM17" i="88"/>
  <c r="AT17" i="88"/>
  <c r="AR17" i="88"/>
  <c r="AV17" i="88" s="1"/>
  <c r="AX17" i="88"/>
  <c r="AM30" i="88"/>
  <c r="AT30" i="88"/>
  <c r="AR30" i="88"/>
  <c r="AV30" i="88" s="1"/>
  <c r="AX30" i="88"/>
  <c r="AM8" i="88"/>
  <c r="AT8" i="88"/>
  <c r="AR8" i="88"/>
  <c r="AM33" i="88"/>
  <c r="AT33" i="88"/>
  <c r="AR33" i="88"/>
  <c r="AV33" i="88" s="1"/>
  <c r="AX33" i="88"/>
  <c r="AM21" i="88"/>
  <c r="AT21" i="88"/>
  <c r="AR21" i="88"/>
  <c r="AV21" i="88" s="1"/>
  <c r="AX21" i="88"/>
  <c r="AJ17" i="88"/>
  <c r="AJ18" i="88" s="1"/>
  <c r="AJ19" i="88" s="1"/>
  <c r="AJ20" i="88" s="1"/>
  <c r="B18" i="88"/>
  <c r="AP13" i="88"/>
  <c r="BG13" i="88" s="1"/>
  <c r="AM27" i="88"/>
  <c r="AT27" i="88"/>
  <c r="AR27" i="88"/>
  <c r="AV27" i="88" s="1"/>
  <c r="AX27" i="88"/>
  <c r="AM12" i="88"/>
  <c r="AT12" i="88"/>
  <c r="AR12" i="88"/>
  <c r="AV12" i="88" s="1"/>
  <c r="AM20" i="88"/>
  <c r="AP20" i="88" s="1"/>
  <c r="BG20" i="88" s="1"/>
  <c r="AT20" i="88"/>
  <c r="AR20" i="88"/>
  <c r="AV20" i="88" s="1"/>
  <c r="AZ4" i="88"/>
  <c r="H41" i="88"/>
  <c r="AP12" i="88"/>
  <c r="BG12" i="88" s="1"/>
  <c r="AM24" i="88"/>
  <c r="AT24" i="88"/>
  <c r="AR24" i="88"/>
  <c r="AV24" i="88" s="1"/>
  <c r="AX24" i="88"/>
  <c r="AM9" i="88"/>
  <c r="AT9" i="88"/>
  <c r="AR9" i="88"/>
  <c r="AV9" i="88" s="1"/>
  <c r="AT26" i="87"/>
  <c r="AR26" i="87"/>
  <c r="AV26" i="87" s="1"/>
  <c r="AM26" i="87"/>
  <c r="AX26" i="87"/>
  <c r="AT21" i="82"/>
  <c r="AT14" i="87"/>
  <c r="AM14" i="87"/>
  <c r="AP14" i="87" s="1"/>
  <c r="BG14" i="87" s="1"/>
  <c r="AR14" i="87"/>
  <c r="AV14" i="87" s="1"/>
  <c r="AM30" i="87"/>
  <c r="AT30" i="87"/>
  <c r="AR30" i="87"/>
  <c r="AV30" i="87" s="1"/>
  <c r="AX30" i="87"/>
  <c r="AT18" i="87"/>
  <c r="AR18" i="87"/>
  <c r="AV18" i="87" s="1"/>
  <c r="AM18" i="87"/>
  <c r="AX18" i="87"/>
  <c r="AM17" i="87"/>
  <c r="AT17" i="87"/>
  <c r="AR17" i="87"/>
  <c r="AV17" i="87" s="1"/>
  <c r="AX17" i="87"/>
  <c r="AX21" i="82"/>
  <c r="AM27" i="87"/>
  <c r="AT27" i="87"/>
  <c r="AR27" i="87"/>
  <c r="AV27" i="87" s="1"/>
  <c r="AX27" i="87"/>
  <c r="AP13" i="87"/>
  <c r="BG13" i="87" s="1"/>
  <c r="B16" i="87"/>
  <c r="AM21" i="87"/>
  <c r="AT21" i="87"/>
  <c r="AR21" i="87"/>
  <c r="AV21" i="87" s="1"/>
  <c r="AX21" i="87"/>
  <c r="AJ22" i="87"/>
  <c r="AJ23" i="87" s="1"/>
  <c r="AJ24" i="87" s="1"/>
  <c r="AJ25" i="87" s="1"/>
  <c r="AJ26" i="87" s="1"/>
  <c r="AJ27" i="87" s="1"/>
  <c r="AJ28" i="87" s="1"/>
  <c r="AT10" i="87"/>
  <c r="AM10" i="87"/>
  <c r="AR10" i="87"/>
  <c r="AV10" i="87" s="1"/>
  <c r="BF10" i="87"/>
  <c r="AP10" i="87"/>
  <c r="BG10" i="87" s="1"/>
  <c r="BF9" i="87"/>
  <c r="AP9" i="87"/>
  <c r="BG9" i="87" s="1"/>
  <c r="H41" i="87"/>
  <c r="AM13" i="87"/>
  <c r="AT13" i="87"/>
  <c r="AR13" i="87"/>
  <c r="AV13" i="87" s="1"/>
  <c r="AT29" i="87"/>
  <c r="AR29" i="87"/>
  <c r="AV29" i="87" s="1"/>
  <c r="AM29" i="87"/>
  <c r="AX29" i="87"/>
  <c r="AT23" i="87"/>
  <c r="AR23" i="87"/>
  <c r="AV23" i="87" s="1"/>
  <c r="AM23" i="87"/>
  <c r="AX23" i="87"/>
  <c r="AM24" i="87"/>
  <c r="AT24" i="87"/>
  <c r="AR24" i="87"/>
  <c r="AV24" i="87" s="1"/>
  <c r="AX24" i="87"/>
  <c r="AR21" i="82"/>
  <c r="AV21" i="82" s="1"/>
  <c r="AM9" i="87"/>
  <c r="AT9" i="87"/>
  <c r="AR9" i="87"/>
  <c r="AZ4" i="87"/>
  <c r="AK8" i="86"/>
  <c r="BM8" i="86"/>
  <c r="AO8" i="86"/>
  <c r="BN8" i="86"/>
  <c r="AY4" i="86"/>
  <c r="AK16" i="86"/>
  <c r="BM16" i="86"/>
  <c r="BJ16" i="86"/>
  <c r="H16" i="86" s="1"/>
  <c r="BF16" i="86" s="1"/>
  <c r="BN16" i="86"/>
  <c r="AT22" i="86"/>
  <c r="AR22" i="86"/>
  <c r="AV22" i="86" s="1"/>
  <c r="AM22" i="86"/>
  <c r="AX22" i="86"/>
  <c r="AO9" i="86"/>
  <c r="BJ9" i="86"/>
  <c r="H9" i="86" s="1"/>
  <c r="AK9" i="86"/>
  <c r="BN9" i="86"/>
  <c r="BM9" i="86"/>
  <c r="AM19" i="86"/>
  <c r="AX19" i="86"/>
  <c r="AT19" i="86"/>
  <c r="AR19" i="86"/>
  <c r="AV19" i="86" s="1"/>
  <c r="AN41" i="82"/>
  <c r="AZ9" i="86"/>
  <c r="BB4" i="86"/>
  <c r="AK27" i="86"/>
  <c r="BN27" i="86"/>
  <c r="BM27" i="86"/>
  <c r="BJ17" i="86"/>
  <c r="H17" i="86" s="1"/>
  <c r="BF17" i="86" s="1"/>
  <c r="AK17" i="86"/>
  <c r="BM17" i="86"/>
  <c r="BN17" i="86"/>
  <c r="AK24" i="86"/>
  <c r="BJ24" i="86"/>
  <c r="H24" i="86" s="1"/>
  <c r="BF24" i="86" s="1"/>
  <c r="BN24" i="86"/>
  <c r="BM24" i="86"/>
  <c r="AT26" i="86"/>
  <c r="AR26" i="86"/>
  <c r="AV26" i="86" s="1"/>
  <c r="AM26" i="86"/>
  <c r="AX26" i="86"/>
  <c r="AJ11" i="86"/>
  <c r="AJ12" i="86" s="1"/>
  <c r="AJ13" i="86" s="1"/>
  <c r="AJ14" i="86" s="1"/>
  <c r="AP11" i="86"/>
  <c r="BG11" i="86" s="1"/>
  <c r="AM18" i="86"/>
  <c r="AT18" i="86"/>
  <c r="AR18" i="86"/>
  <c r="AV18" i="86" s="1"/>
  <c r="AX18" i="86"/>
  <c r="AM28" i="86"/>
  <c r="AT28" i="86"/>
  <c r="AR28" i="86"/>
  <c r="AV28" i="86" s="1"/>
  <c r="AX28" i="86"/>
  <c r="AO13" i="86"/>
  <c r="AK13" i="86"/>
  <c r="BJ13" i="86"/>
  <c r="H13" i="86" s="1"/>
  <c r="BF13" i="86" s="1"/>
  <c r="BN13" i="86"/>
  <c r="BM13" i="86"/>
  <c r="AK20" i="86"/>
  <c r="BM20" i="86"/>
  <c r="BN20" i="86"/>
  <c r="AM11" i="86"/>
  <c r="AT11" i="86"/>
  <c r="AR11" i="86"/>
  <c r="AV11" i="86" s="1"/>
  <c r="AM25" i="86"/>
  <c r="AT25" i="86"/>
  <c r="AR25" i="86"/>
  <c r="AV25" i="86" s="1"/>
  <c r="AX25" i="86"/>
  <c r="AZ13" i="86"/>
  <c r="B16" i="86"/>
  <c r="AM14" i="86"/>
  <c r="AP14" i="86" s="1"/>
  <c r="BG14" i="86" s="1"/>
  <c r="AT14" i="86"/>
  <c r="AR14" i="86"/>
  <c r="AV14" i="86" s="1"/>
  <c r="BJ21" i="86"/>
  <c r="H21" i="86" s="1"/>
  <c r="BF21" i="86" s="1"/>
  <c r="AK21" i="86"/>
  <c r="BM21" i="86"/>
  <c r="BN21" i="86"/>
  <c r="AZ8" i="86"/>
  <c r="AZ27" i="86"/>
  <c r="BM12" i="86"/>
  <c r="BJ12" i="86"/>
  <c r="H12" i="86" s="1"/>
  <c r="BF12" i="86" s="1"/>
  <c r="AO12" i="86"/>
  <c r="AK12" i="86"/>
  <c r="BN12" i="86"/>
  <c r="AZ16" i="86"/>
  <c r="AM15" i="86"/>
  <c r="AP15" i="86" s="1"/>
  <c r="BG15" i="86" s="1"/>
  <c r="AT15" i="86"/>
  <c r="AR15" i="86"/>
  <c r="AV15" i="86" s="1"/>
  <c r="AZ21" i="86"/>
  <c r="AZ24" i="86"/>
  <c r="BA4" i="86"/>
  <c r="AR23" i="86"/>
  <c r="AV23" i="86" s="1"/>
  <c r="AM23" i="86"/>
  <c r="AT23" i="86"/>
  <c r="AX23" i="86"/>
  <c r="AM10" i="86"/>
  <c r="AR10" i="86"/>
  <c r="AV10" i="86" s="1"/>
  <c r="AT10" i="86"/>
  <c r="AP10" i="84"/>
  <c r="BG10" i="84" s="1"/>
  <c r="AP9" i="84"/>
  <c r="BG9" i="84" s="1"/>
  <c r="AJ17" i="84"/>
  <c r="AJ18" i="84" s="1"/>
  <c r="AJ19" i="84" s="1"/>
  <c r="AJ20" i="84" s="1"/>
  <c r="AJ21" i="84" s="1"/>
  <c r="AJ22" i="84" s="1"/>
  <c r="AJ23" i="84" s="1"/>
  <c r="BJ34" i="84"/>
  <c r="H34" i="84" s="1"/>
  <c r="BF34" i="84" s="1"/>
  <c r="AK34" i="84"/>
  <c r="BN34" i="84"/>
  <c r="BM34" i="84"/>
  <c r="AT39" i="84"/>
  <c r="AR39" i="84"/>
  <c r="AV39" i="84" s="1"/>
  <c r="AM39" i="84"/>
  <c r="AX39" i="84"/>
  <c r="BJ33" i="84"/>
  <c r="H33" i="84" s="1"/>
  <c r="BF33" i="84" s="1"/>
  <c r="AK33" i="84"/>
  <c r="BN33" i="84"/>
  <c r="BM33" i="84"/>
  <c r="AT10" i="84"/>
  <c r="AM10" i="84"/>
  <c r="AR10" i="84"/>
  <c r="AV10" i="84" s="1"/>
  <c r="AM31" i="84"/>
  <c r="AT31" i="84"/>
  <c r="AR31" i="84"/>
  <c r="AV31" i="84" s="1"/>
  <c r="AX31" i="84"/>
  <c r="AR36" i="84"/>
  <c r="AV36" i="84" s="1"/>
  <c r="AT36" i="84"/>
  <c r="AM36" i="84"/>
  <c r="AX36" i="84"/>
  <c r="AM9" i="84"/>
  <c r="AR9" i="84"/>
  <c r="AV9" i="84" s="1"/>
  <c r="AT9" i="84"/>
  <c r="AR32" i="84"/>
  <c r="AV32" i="84" s="1"/>
  <c r="AT32" i="84"/>
  <c r="AM32" i="84"/>
  <c r="AX32" i="84"/>
  <c r="AR13" i="82"/>
  <c r="AV13" i="82" s="1"/>
  <c r="AY4" i="84"/>
  <c r="BJ20" i="84"/>
  <c r="H20" i="84" s="1"/>
  <c r="BF20" i="84" s="1"/>
  <c r="AK20" i="84"/>
  <c r="BN20" i="84"/>
  <c r="BM20" i="84"/>
  <c r="AP11" i="84"/>
  <c r="BG11" i="84" s="1"/>
  <c r="B13" i="84"/>
  <c r="BJ12" i="84"/>
  <c r="H12" i="84" s="1"/>
  <c r="BF12" i="84" s="1"/>
  <c r="AK12" i="84"/>
  <c r="AO12" i="84"/>
  <c r="BM12" i="84"/>
  <c r="BN12" i="84"/>
  <c r="BM26" i="81"/>
  <c r="BJ27" i="84"/>
  <c r="H27" i="84" s="1"/>
  <c r="BF27" i="84" s="1"/>
  <c r="AK27" i="84"/>
  <c r="BM27" i="84"/>
  <c r="BN27" i="84"/>
  <c r="AT35" i="84"/>
  <c r="AR35" i="84"/>
  <c r="AV35" i="84" s="1"/>
  <c r="AM35" i="84"/>
  <c r="AX35" i="84"/>
  <c r="BJ30" i="84"/>
  <c r="H30" i="84" s="1"/>
  <c r="BF30" i="84" s="1"/>
  <c r="AK30" i="84"/>
  <c r="BM30" i="84"/>
  <c r="BN30" i="84"/>
  <c r="AO8" i="84"/>
  <c r="AK8" i="84"/>
  <c r="BM8" i="84"/>
  <c r="BN8" i="84"/>
  <c r="AM24" i="84"/>
  <c r="AT24" i="84"/>
  <c r="AR24" i="84"/>
  <c r="AV24" i="84" s="1"/>
  <c r="AX24" i="84"/>
  <c r="AP9" i="82"/>
  <c r="BG9" i="82" s="1"/>
  <c r="BB4" i="84"/>
  <c r="BJ16" i="84"/>
  <c r="H16" i="84" s="1"/>
  <c r="BF16" i="84" s="1"/>
  <c r="AK16" i="84"/>
  <c r="BN16" i="84"/>
  <c r="BM16" i="84"/>
  <c r="AZ27" i="84"/>
  <c r="AT11" i="84"/>
  <c r="AM11" i="84"/>
  <c r="AR11" i="84"/>
  <c r="AV11" i="84" s="1"/>
  <c r="AT19" i="84"/>
  <c r="AM19" i="84"/>
  <c r="AR19" i="84"/>
  <c r="AV19" i="84" s="1"/>
  <c r="AX19" i="84"/>
  <c r="BJ37" i="84"/>
  <c r="H37" i="84" s="1"/>
  <c r="BF37" i="84" s="1"/>
  <c r="AK37" i="84"/>
  <c r="BN37" i="84"/>
  <c r="BM37" i="84"/>
  <c r="BJ38" i="84"/>
  <c r="H38" i="84" s="1"/>
  <c r="BF38" i="84" s="1"/>
  <c r="AK38" i="84"/>
  <c r="BN38" i="84"/>
  <c r="BM38" i="84"/>
  <c r="BM21" i="84"/>
  <c r="BJ21" i="84"/>
  <c r="H21" i="84" s="1"/>
  <c r="BF21" i="84" s="1"/>
  <c r="AK21" i="84"/>
  <c r="BN21" i="84"/>
  <c r="AT14" i="84"/>
  <c r="AM14" i="84"/>
  <c r="AP14" i="84" s="1"/>
  <c r="BG14" i="84" s="1"/>
  <c r="AR14" i="84"/>
  <c r="AV14" i="84" s="1"/>
  <c r="AR22" i="84"/>
  <c r="AV22" i="84" s="1"/>
  <c r="AT22" i="84"/>
  <c r="AM22" i="84"/>
  <c r="AX22" i="84"/>
  <c r="AO13" i="84"/>
  <c r="BN13" i="84"/>
  <c r="BJ13" i="84"/>
  <c r="H13" i="84" s="1"/>
  <c r="BF13" i="84" s="1"/>
  <c r="AK13" i="84"/>
  <c r="BM13" i="84"/>
  <c r="BJ17" i="84"/>
  <c r="H17" i="84" s="1"/>
  <c r="BF17" i="84" s="1"/>
  <c r="AK17" i="84"/>
  <c r="BN17" i="84"/>
  <c r="BM17" i="84"/>
  <c r="AT13" i="82"/>
  <c r="AM18" i="84"/>
  <c r="AR18" i="84"/>
  <c r="AV18" i="84" s="1"/>
  <c r="AT18" i="84"/>
  <c r="AX18" i="84"/>
  <c r="AT15" i="84"/>
  <c r="AM15" i="84"/>
  <c r="AP15" i="84" s="1"/>
  <c r="BG15" i="84" s="1"/>
  <c r="AR15" i="84"/>
  <c r="AV15" i="84" s="1"/>
  <c r="AT9" i="82"/>
  <c r="AM24" i="82"/>
  <c r="AX24" i="82"/>
  <c r="AR9" i="82"/>
  <c r="AV9" i="82" s="1"/>
  <c r="AM17" i="82"/>
  <c r="AX17" i="82"/>
  <c r="BN14" i="81"/>
  <c r="BB18" i="82"/>
  <c r="BA18" i="82"/>
  <c r="BK18" i="82"/>
  <c r="I18" i="82" s="1"/>
  <c r="AY18" i="82"/>
  <c r="BI18" i="82"/>
  <c r="AZ18" i="82" s="1"/>
  <c r="AW18" i="82"/>
  <c r="BJ11" i="81"/>
  <c r="H11" i="81" s="1"/>
  <c r="BF11" i="81" s="1"/>
  <c r="BN25" i="82"/>
  <c r="BM25" i="82"/>
  <c r="BJ25" i="82"/>
  <c r="H25" i="82" s="1"/>
  <c r="BF25" i="82" s="1"/>
  <c r="AK25" i="82"/>
  <c r="AO8" i="82"/>
  <c r="I8" i="82"/>
  <c r="BN16" i="82"/>
  <c r="BM16" i="82"/>
  <c r="AZ16" i="82"/>
  <c r="BJ16" i="82"/>
  <c r="H16" i="82" s="1"/>
  <c r="BF16" i="82" s="1"/>
  <c r="AK16" i="82"/>
  <c r="B13" i="82"/>
  <c r="AP13" i="82" s="1"/>
  <c r="BG13" i="82" s="1"/>
  <c r="BN12" i="82"/>
  <c r="BM12" i="82"/>
  <c r="AZ12" i="82"/>
  <c r="BJ12" i="82"/>
  <c r="H12" i="82" s="1"/>
  <c r="BF12" i="82" s="1"/>
  <c r="AK12" i="82"/>
  <c r="AI23" i="82"/>
  <c r="C23" i="82" s="1"/>
  <c r="AI18" i="82"/>
  <c r="C18" i="82" s="1"/>
  <c r="AI25" i="82"/>
  <c r="C25" i="82" s="1"/>
  <c r="BM11" i="81"/>
  <c r="AK11" i="81"/>
  <c r="AT11" i="81" s="1"/>
  <c r="BN10" i="81"/>
  <c r="BB19" i="82"/>
  <c r="BA19" i="82"/>
  <c r="BK19" i="82"/>
  <c r="I19" i="82" s="1"/>
  <c r="AY19" i="82"/>
  <c r="AX19" i="82"/>
  <c r="BI19" i="82"/>
  <c r="AZ19" i="82" s="1"/>
  <c r="AW19" i="82"/>
  <c r="BB23" i="82"/>
  <c r="BA23" i="82"/>
  <c r="BK23" i="82"/>
  <c r="I23" i="82" s="1"/>
  <c r="AY23" i="82"/>
  <c r="BI23" i="82"/>
  <c r="AW23" i="82"/>
  <c r="BN22" i="82"/>
  <c r="BM22" i="82"/>
  <c r="BJ22" i="82"/>
  <c r="H22" i="82" s="1"/>
  <c r="AK22" i="82"/>
  <c r="BM11" i="82"/>
  <c r="BJ11" i="82"/>
  <c r="H11" i="82" s="1"/>
  <c r="BF11" i="82" s="1"/>
  <c r="AK11" i="82"/>
  <c r="BN11" i="82"/>
  <c r="AI21" i="82"/>
  <c r="C21" i="82" s="1"/>
  <c r="BB15" i="82"/>
  <c r="BA15" i="82"/>
  <c r="BK15" i="82"/>
  <c r="I15" i="82" s="1"/>
  <c r="AY15" i="82"/>
  <c r="AX15" i="82"/>
  <c r="BI15" i="82"/>
  <c r="AZ15" i="82" s="1"/>
  <c r="AW15" i="82"/>
  <c r="BN20" i="82"/>
  <c r="BM20" i="82"/>
  <c r="AZ20" i="82"/>
  <c r="BJ20" i="82"/>
  <c r="H20" i="82" s="1"/>
  <c r="BF20" i="82" s="1"/>
  <c r="AK20" i="82"/>
  <c r="BB14" i="82"/>
  <c r="BA14" i="82"/>
  <c r="BK14" i="82"/>
  <c r="I14" i="82" s="1"/>
  <c r="AY14" i="82"/>
  <c r="AX14" i="82"/>
  <c r="BI14" i="82"/>
  <c r="AZ14" i="82" s="1"/>
  <c r="AW14" i="82"/>
  <c r="B16" i="82"/>
  <c r="AO12" i="82"/>
  <c r="I12" i="82"/>
  <c r="I11" i="82"/>
  <c r="AO11" i="82"/>
  <c r="AI20" i="82"/>
  <c r="C20" i="82" s="1"/>
  <c r="AI16" i="82"/>
  <c r="C16" i="82" s="1"/>
  <c r="B12" i="82"/>
  <c r="BN8" i="82"/>
  <c r="BM8" i="82"/>
  <c r="AZ8" i="82"/>
  <c r="AK8" i="82"/>
  <c r="AZ25" i="82"/>
  <c r="AJ10" i="82"/>
  <c r="BB10" i="82"/>
  <c r="BA10" i="82"/>
  <c r="BK10" i="82"/>
  <c r="AY10" i="82"/>
  <c r="AX10" i="82"/>
  <c r="BI10" i="82"/>
  <c r="AW10" i="82"/>
  <c r="AI17" i="82"/>
  <c r="C17" i="82" s="1"/>
  <c r="AI24" i="82"/>
  <c r="C24" i="82" s="1"/>
  <c r="AO10" i="81"/>
  <c r="I10" i="81"/>
  <c r="AK18" i="81"/>
  <c r="BJ18" i="81"/>
  <c r="H18" i="81" s="1"/>
  <c r="BF18" i="81" s="1"/>
  <c r="BB8" i="81"/>
  <c r="BA8" i="81"/>
  <c r="AX8" i="81"/>
  <c r="BI8" i="81"/>
  <c r="AZ8" i="81" s="1"/>
  <c r="AY8" i="81"/>
  <c r="AW8" i="81"/>
  <c r="BK8" i="81"/>
  <c r="Q5" i="81"/>
  <c r="BB21" i="81"/>
  <c r="BA21" i="81"/>
  <c r="BI21" i="81"/>
  <c r="AZ21" i="81" s="1"/>
  <c r="AY21" i="81"/>
  <c r="AW21" i="81"/>
  <c r="BK21" i="81"/>
  <c r="I21" i="81" s="1"/>
  <c r="BM14" i="81"/>
  <c r="BM18" i="81"/>
  <c r="BN26" i="81"/>
  <c r="BJ26" i="81"/>
  <c r="H26" i="81" s="1"/>
  <c r="BF26" i="81" s="1"/>
  <c r="AK26" i="81"/>
  <c r="BM10" i="81"/>
  <c r="AN41" i="81"/>
  <c r="BB24" i="81"/>
  <c r="BA24" i="81"/>
  <c r="AX24" i="81"/>
  <c r="AW24" i="81"/>
  <c r="BK24" i="81"/>
  <c r="I24" i="81" s="1"/>
  <c r="BI24" i="81"/>
  <c r="AZ24" i="81" s="1"/>
  <c r="AY24" i="81"/>
  <c r="AK15" i="81"/>
  <c r="BN15" i="81"/>
  <c r="BM15" i="81"/>
  <c r="BM23" i="81"/>
  <c r="BJ23" i="81"/>
  <c r="H23" i="81" s="1"/>
  <c r="BF23" i="81" s="1"/>
  <c r="AK23" i="81"/>
  <c r="BN23" i="81"/>
  <c r="BJ25" i="81"/>
  <c r="H25" i="81" s="1"/>
  <c r="BF25" i="81" s="1"/>
  <c r="AK25" i="81"/>
  <c r="BN25" i="81"/>
  <c r="BM25" i="81"/>
  <c r="BN20" i="81"/>
  <c r="AZ20" i="81"/>
  <c r="BJ20" i="81"/>
  <c r="H20" i="81" s="1"/>
  <c r="BF20" i="81" s="1"/>
  <c r="AK20" i="81"/>
  <c r="BM20" i="81"/>
  <c r="BB17" i="81"/>
  <c r="BA17" i="81"/>
  <c r="AW17" i="81"/>
  <c r="BK17" i="81"/>
  <c r="I17" i="81" s="1"/>
  <c r="AY17" i="81"/>
  <c r="BI17" i="81"/>
  <c r="AO11" i="81"/>
  <c r="I11" i="81"/>
  <c r="BI16" i="81"/>
  <c r="BK16" i="81"/>
  <c r="I16" i="81" s="1"/>
  <c r="AY16" i="81"/>
  <c r="BB16" i="81"/>
  <c r="BA16" i="81"/>
  <c r="AW16" i="81"/>
  <c r="BI27" i="81"/>
  <c r="AZ27" i="81" s="1"/>
  <c r="BB27" i="81"/>
  <c r="BA27" i="81"/>
  <c r="AY27" i="81"/>
  <c r="AW27" i="81"/>
  <c r="BK27" i="81"/>
  <c r="I27" i="81" s="1"/>
  <c r="BN11" i="81"/>
  <c r="I12" i="81"/>
  <c r="AO12" i="81"/>
  <c r="AM14" i="81"/>
  <c r="AP14" i="81" s="1"/>
  <c r="AR14" i="81"/>
  <c r="AV14" i="81" s="1"/>
  <c r="AT14" i="81"/>
  <c r="B10" i="81"/>
  <c r="AK19" i="81"/>
  <c r="BN19" i="81"/>
  <c r="AZ19" i="81"/>
  <c r="BM19" i="81"/>
  <c r="BN18" i="81"/>
  <c r="AZ14" i="81"/>
  <c r="BN12" i="81"/>
  <c r="BJ12" i="81"/>
  <c r="H12" i="81" s="1"/>
  <c r="BF12" i="81" s="1"/>
  <c r="BM12" i="81"/>
  <c r="AK12" i="81"/>
  <c r="AJ15" i="81"/>
  <c r="AK22" i="81"/>
  <c r="BJ22" i="81"/>
  <c r="H22" i="81" s="1"/>
  <c r="BF22" i="81" s="1"/>
  <c r="BJ10" i="81"/>
  <c r="H10" i="81" s="1"/>
  <c r="BF10" i="81" s="1"/>
  <c r="AK10" i="81"/>
  <c r="BB9" i="81"/>
  <c r="BA9" i="81"/>
  <c r="BK9" i="81"/>
  <c r="AX9" i="81"/>
  <c r="BI9" i="81"/>
  <c r="AZ9" i="81" s="1"/>
  <c r="AY9" i="81"/>
  <c r="AW9" i="81"/>
  <c r="BB13" i="81"/>
  <c r="BA13" i="81"/>
  <c r="AY13" i="81"/>
  <c r="AW13" i="81"/>
  <c r="BK13" i="81"/>
  <c r="BI13" i="81"/>
  <c r="AX13" i="81"/>
  <c r="BF22" i="82" l="1"/>
  <c r="BE22" i="82"/>
  <c r="BE4" i="82" s="1"/>
  <c r="F41" i="91"/>
  <c r="U47" i="91" s="1"/>
  <c r="U49" i="91" s="1"/>
  <c r="J41" i="91"/>
  <c r="U44" i="91"/>
  <c r="O40" i="91" s="1"/>
  <c r="AP23" i="96"/>
  <c r="BG23" i="96" s="1"/>
  <c r="B24" i="96"/>
  <c r="U44" i="92"/>
  <c r="O40" i="92" s="1"/>
  <c r="AP23" i="95"/>
  <c r="BG23" i="95" s="1"/>
  <c r="B24" i="95"/>
  <c r="C14" i="95"/>
  <c r="AI43" i="95"/>
  <c r="U45" i="92"/>
  <c r="Q40" i="92" s="1"/>
  <c r="AP22" i="94"/>
  <c r="BG22" i="94" s="1"/>
  <c r="B23" i="94"/>
  <c r="AJ31" i="93"/>
  <c r="U45" i="91"/>
  <c r="Q40" i="91" s="1"/>
  <c r="AP18" i="93"/>
  <c r="BG18" i="93" s="1"/>
  <c r="B22" i="93"/>
  <c r="B21" i="93"/>
  <c r="AP21" i="93" s="1"/>
  <c r="BG21" i="93" s="1"/>
  <c r="AJ20" i="92"/>
  <c r="B21" i="92"/>
  <c r="AP18" i="92"/>
  <c r="BG18" i="92" s="1"/>
  <c r="BG21" i="89"/>
  <c r="AR45" i="90"/>
  <c r="U45" i="90" s="1"/>
  <c r="Q40" i="90" s="1"/>
  <c r="AJ18" i="91"/>
  <c r="AT41" i="89"/>
  <c r="F41" i="90"/>
  <c r="U47" i="90" s="1"/>
  <c r="U49" i="90" s="1"/>
  <c r="Q6" i="90"/>
  <c r="AW4" i="90"/>
  <c r="AP16" i="90"/>
  <c r="BG16" i="90" s="1"/>
  <c r="B19" i="90"/>
  <c r="AP19" i="90" s="1"/>
  <c r="BG19" i="90" s="1"/>
  <c r="B18" i="90"/>
  <c r="BG17" i="88"/>
  <c r="AM6" i="89"/>
  <c r="J41" i="89" s="1"/>
  <c r="AM41" i="89"/>
  <c r="AX4" i="89" s="1"/>
  <c r="B23" i="89"/>
  <c r="AP23" i="89" s="1"/>
  <c r="BG23" i="89" s="1"/>
  <c r="BG18" i="89"/>
  <c r="AJ19" i="89"/>
  <c r="BG17" i="89"/>
  <c r="B25" i="89"/>
  <c r="B24" i="89"/>
  <c r="AP24" i="89" s="1"/>
  <c r="BG24" i="89" s="1"/>
  <c r="AV9" i="89"/>
  <c r="AR41" i="89"/>
  <c r="AJ21" i="88"/>
  <c r="AJ22" i="88" s="1"/>
  <c r="AJ23" i="88" s="1"/>
  <c r="AJ24" i="88" s="1"/>
  <c r="AJ25" i="88" s="1"/>
  <c r="AJ26" i="88" s="1"/>
  <c r="AJ27" i="88" s="1"/>
  <c r="AJ28" i="88" s="1"/>
  <c r="AJ29" i="88" s="1"/>
  <c r="AJ30" i="88" s="1"/>
  <c r="AJ31" i="88" s="1"/>
  <c r="AJ32" i="88" s="1"/>
  <c r="AR11" i="81"/>
  <c r="AV11" i="81" s="1"/>
  <c r="AP18" i="88"/>
  <c r="BG18" i="88" s="1"/>
  <c r="B19" i="88"/>
  <c r="BG16" i="88"/>
  <c r="AV8" i="88"/>
  <c r="AR41" i="88"/>
  <c r="AT41" i="88"/>
  <c r="AM6" i="88"/>
  <c r="J41" i="88" s="1"/>
  <c r="AM41" i="88"/>
  <c r="AP8" i="88"/>
  <c r="BG8" i="88" s="1"/>
  <c r="AV9" i="87"/>
  <c r="AR41" i="87"/>
  <c r="AT41" i="87"/>
  <c r="AM41" i="87"/>
  <c r="AX4" i="87" s="1"/>
  <c r="AM6" i="87"/>
  <c r="J41" i="87" s="1"/>
  <c r="AP12" i="86"/>
  <c r="BG12" i="86" s="1"/>
  <c r="AP16" i="87"/>
  <c r="BG16" i="87" s="1"/>
  <c r="B17" i="87"/>
  <c r="AP17" i="87" s="1"/>
  <c r="BG17" i="87" s="1"/>
  <c r="AJ29" i="87"/>
  <c r="AM11" i="81"/>
  <c r="AP16" i="86"/>
  <c r="B17" i="86"/>
  <c r="AZ4" i="86"/>
  <c r="AM17" i="86"/>
  <c r="AR17" i="86"/>
  <c r="AV17" i="86" s="1"/>
  <c r="AT17" i="86"/>
  <c r="AX17" i="86"/>
  <c r="AM16" i="86"/>
  <c r="AT16" i="86"/>
  <c r="AR16" i="86"/>
  <c r="AV16" i="86" s="1"/>
  <c r="AX16" i="86"/>
  <c r="AM20" i="86"/>
  <c r="AP20" i="86" s="1"/>
  <c r="BG20" i="86" s="1"/>
  <c r="AT20" i="86"/>
  <c r="AR20" i="86"/>
  <c r="AV20" i="86" s="1"/>
  <c r="AP13" i="86"/>
  <c r="BG13" i="86" s="1"/>
  <c r="AM9" i="86"/>
  <c r="AR9" i="86"/>
  <c r="AV9" i="86" s="1"/>
  <c r="AT9" i="86"/>
  <c r="AM21" i="86"/>
  <c r="AT21" i="86"/>
  <c r="AR21" i="86"/>
  <c r="AV21" i="86" s="1"/>
  <c r="AX21" i="86"/>
  <c r="AM27" i="86"/>
  <c r="AP27" i="86" s="1"/>
  <c r="BG27" i="86" s="1"/>
  <c r="AT27" i="86"/>
  <c r="AR27" i="86"/>
  <c r="AV27" i="86" s="1"/>
  <c r="BF9" i="86"/>
  <c r="AP9" i="86"/>
  <c r="BG9" i="86" s="1"/>
  <c r="AM13" i="86"/>
  <c r="AR13" i="86"/>
  <c r="AV13" i="86" s="1"/>
  <c r="AT13" i="86"/>
  <c r="AM8" i="86"/>
  <c r="AT8" i="86"/>
  <c r="AR8" i="86"/>
  <c r="AM12" i="86"/>
  <c r="AT12" i="86"/>
  <c r="AR12" i="86"/>
  <c r="AV12" i="86" s="1"/>
  <c r="AJ15" i="86"/>
  <c r="AM24" i="86"/>
  <c r="AT24" i="86"/>
  <c r="AR24" i="86"/>
  <c r="AV24" i="86" s="1"/>
  <c r="AX24" i="86"/>
  <c r="AP13" i="84"/>
  <c r="BG13" i="84" s="1"/>
  <c r="AM37" i="84"/>
  <c r="AT37" i="84"/>
  <c r="AR37" i="84"/>
  <c r="AV37" i="84" s="1"/>
  <c r="AX37" i="84"/>
  <c r="AM34" i="84"/>
  <c r="AT34" i="84"/>
  <c r="AR34" i="84"/>
  <c r="AV34" i="84" s="1"/>
  <c r="AX34" i="84"/>
  <c r="AM13" i="84"/>
  <c r="AR13" i="84"/>
  <c r="AV13" i="84" s="1"/>
  <c r="AT13" i="84"/>
  <c r="AM27" i="84"/>
  <c r="AT27" i="84"/>
  <c r="AR27" i="84"/>
  <c r="AV27" i="84" s="1"/>
  <c r="AX27" i="84"/>
  <c r="AT8" i="84"/>
  <c r="AR8" i="84"/>
  <c r="AM8" i="84"/>
  <c r="B17" i="84"/>
  <c r="AP17" i="84" s="1"/>
  <c r="B18" i="84"/>
  <c r="AP18" i="84" s="1"/>
  <c r="BG18" i="84" s="1"/>
  <c r="AM21" i="84"/>
  <c r="AR21" i="84"/>
  <c r="AV21" i="84" s="1"/>
  <c r="AT21" i="84"/>
  <c r="AX21" i="84"/>
  <c r="AM30" i="84"/>
  <c r="AT30" i="84"/>
  <c r="AR30" i="84"/>
  <c r="AV30" i="84" s="1"/>
  <c r="AX30" i="84"/>
  <c r="AM33" i="84"/>
  <c r="AT33" i="84"/>
  <c r="AR33" i="84"/>
  <c r="AV33" i="84" s="1"/>
  <c r="AX33" i="84"/>
  <c r="B16" i="84"/>
  <c r="AP16" i="84" s="1"/>
  <c r="AT16" i="84"/>
  <c r="AM16" i="84"/>
  <c r="AR16" i="84"/>
  <c r="AV16" i="84" s="1"/>
  <c r="AX16" i="84"/>
  <c r="AJ24" i="84"/>
  <c r="AT20" i="84"/>
  <c r="AM20" i="84"/>
  <c r="AR20" i="84"/>
  <c r="AV20" i="84" s="1"/>
  <c r="AX20" i="84"/>
  <c r="AP12" i="84"/>
  <c r="BG12" i="84" s="1"/>
  <c r="AM17" i="84"/>
  <c r="AR17" i="84"/>
  <c r="AV17" i="84" s="1"/>
  <c r="AT17" i="84"/>
  <c r="AX17" i="84"/>
  <c r="AM38" i="84"/>
  <c r="AT38" i="84"/>
  <c r="AR38" i="84"/>
  <c r="AV38" i="84" s="1"/>
  <c r="AX38" i="84"/>
  <c r="AT12" i="84"/>
  <c r="AR12" i="84"/>
  <c r="AV12" i="84" s="1"/>
  <c r="AM12" i="84"/>
  <c r="AZ4" i="84"/>
  <c r="H41" i="84"/>
  <c r="AY4" i="82"/>
  <c r="AP11" i="82"/>
  <c r="BG11" i="82" s="1"/>
  <c r="BB4" i="82"/>
  <c r="BM19" i="82"/>
  <c r="AK19" i="82"/>
  <c r="BN19" i="82"/>
  <c r="B17" i="82"/>
  <c r="AJ11" i="82"/>
  <c r="AM12" i="82"/>
  <c r="AT12" i="82"/>
  <c r="AR12" i="82"/>
  <c r="AV12" i="82" s="1"/>
  <c r="BJ18" i="82"/>
  <c r="H18" i="82" s="1"/>
  <c r="BF18" i="82" s="1"/>
  <c r="AK18" i="82"/>
  <c r="BM18" i="82"/>
  <c r="BN18" i="82"/>
  <c r="AM22" i="82"/>
  <c r="AT22" i="82"/>
  <c r="AR22" i="82"/>
  <c r="AV22" i="82" s="1"/>
  <c r="AX22" i="82"/>
  <c r="AM20" i="82"/>
  <c r="AT20" i="82"/>
  <c r="AR20" i="82"/>
  <c r="AV20" i="82" s="1"/>
  <c r="AX20" i="82"/>
  <c r="AM8" i="82"/>
  <c r="AT8" i="82"/>
  <c r="AR8" i="82"/>
  <c r="AP16" i="82"/>
  <c r="BM15" i="82"/>
  <c r="AK15" i="82"/>
  <c r="BN15" i="82"/>
  <c r="AM25" i="82"/>
  <c r="AT25" i="82"/>
  <c r="AR25" i="82"/>
  <c r="AV25" i="82" s="1"/>
  <c r="AX25" i="82"/>
  <c r="I10" i="82"/>
  <c r="AO10" i="82"/>
  <c r="AR11" i="82"/>
  <c r="AV11" i="82" s="1"/>
  <c r="AM11" i="82"/>
  <c r="AT11" i="82"/>
  <c r="BJ10" i="82"/>
  <c r="H10" i="82" s="1"/>
  <c r="AK10" i="82"/>
  <c r="BN10" i="82"/>
  <c r="BM10" i="82"/>
  <c r="BJ23" i="82"/>
  <c r="H23" i="82" s="1"/>
  <c r="BF23" i="82" s="1"/>
  <c r="AK23" i="82"/>
  <c r="BM23" i="82"/>
  <c r="BN23" i="82"/>
  <c r="AZ10" i="82"/>
  <c r="AK14" i="82"/>
  <c r="BN14" i="82"/>
  <c r="BM14" i="82"/>
  <c r="AZ23" i="82"/>
  <c r="BA4" i="82"/>
  <c r="AP12" i="82"/>
  <c r="BG12" i="82" s="1"/>
  <c r="AM16" i="82"/>
  <c r="AT16" i="82"/>
  <c r="AR16" i="82"/>
  <c r="AV16" i="82" s="1"/>
  <c r="AX16" i="82"/>
  <c r="B18" i="82"/>
  <c r="BJ16" i="81"/>
  <c r="H16" i="81" s="1"/>
  <c r="BF16" i="81" s="1"/>
  <c r="AK16" i="81"/>
  <c r="BN16" i="81"/>
  <c r="BM16" i="81"/>
  <c r="I8" i="81"/>
  <c r="AO8" i="81"/>
  <c r="AK17" i="81"/>
  <c r="BJ17" i="81"/>
  <c r="H17" i="81" s="1"/>
  <c r="BF17" i="81" s="1"/>
  <c r="BN17" i="81"/>
  <c r="BM17" i="81"/>
  <c r="AM26" i="81"/>
  <c r="AR26" i="81"/>
  <c r="AV26" i="81" s="1"/>
  <c r="AT26" i="81"/>
  <c r="AX26" i="81"/>
  <c r="BB4" i="81"/>
  <c r="BG14" i="81"/>
  <c r="AT25" i="81"/>
  <c r="AR25" i="81"/>
  <c r="AV25" i="81" s="1"/>
  <c r="AM25" i="81"/>
  <c r="AX25" i="81"/>
  <c r="AK24" i="81"/>
  <c r="BM24" i="81"/>
  <c r="BN24" i="81"/>
  <c r="AM18" i="81"/>
  <c r="AT18" i="81"/>
  <c r="AR18" i="81"/>
  <c r="AV18" i="81" s="1"/>
  <c r="AX18" i="81"/>
  <c r="AT22" i="81"/>
  <c r="AR22" i="81"/>
  <c r="AV22" i="81" s="1"/>
  <c r="AM22" i="81"/>
  <c r="BJ13" i="81"/>
  <c r="H13" i="81" s="1"/>
  <c r="BF13" i="81" s="1"/>
  <c r="AK13" i="81"/>
  <c r="BM13" i="81"/>
  <c r="BN13" i="81"/>
  <c r="AO13" i="81"/>
  <c r="I13" i="81"/>
  <c r="AP10" i="81"/>
  <c r="BG10" i="81" s="1"/>
  <c r="AT15" i="81"/>
  <c r="AR15" i="81"/>
  <c r="AV15" i="81" s="1"/>
  <c r="AM15" i="81"/>
  <c r="AP15" i="81" s="1"/>
  <c r="BG15" i="81" s="1"/>
  <c r="AY4" i="81"/>
  <c r="AO9" i="81"/>
  <c r="I9" i="81"/>
  <c r="AZ13" i="81"/>
  <c r="AM10" i="81"/>
  <c r="AR10" i="81"/>
  <c r="AV10" i="81" s="1"/>
  <c r="AT10" i="81"/>
  <c r="B11" i="81"/>
  <c r="AP11" i="81" s="1"/>
  <c r="BG11" i="81" s="1"/>
  <c r="AZ16" i="81"/>
  <c r="AZ17" i="81"/>
  <c r="AT23" i="81"/>
  <c r="AR23" i="81"/>
  <c r="AV23" i="81" s="1"/>
  <c r="AM23" i="81"/>
  <c r="AX23" i="81"/>
  <c r="AJ16" i="81"/>
  <c r="AT19" i="81"/>
  <c r="AM19" i="81"/>
  <c r="AP19" i="81" s="1"/>
  <c r="BG19" i="81" s="1"/>
  <c r="AR19" i="81"/>
  <c r="AV19" i="81" s="1"/>
  <c r="AR20" i="81"/>
  <c r="AV20" i="81" s="1"/>
  <c r="AT20" i="81"/>
  <c r="AM20" i="81"/>
  <c r="AX20" i="81"/>
  <c r="AK8" i="81"/>
  <c r="BM8" i="81"/>
  <c r="BN8" i="81"/>
  <c r="BJ9" i="81"/>
  <c r="H9" i="81" s="1"/>
  <c r="AK9" i="81"/>
  <c r="BM9" i="81"/>
  <c r="BN9" i="81"/>
  <c r="AR12" i="81"/>
  <c r="AV12" i="81" s="1"/>
  <c r="AT12" i="81"/>
  <c r="AM12" i="81"/>
  <c r="BJ27" i="81"/>
  <c r="H27" i="81" s="1"/>
  <c r="BF27" i="81" s="1"/>
  <c r="AK27" i="81"/>
  <c r="BM27" i="81"/>
  <c r="BN27" i="81"/>
  <c r="BJ21" i="81"/>
  <c r="H21" i="81" s="1"/>
  <c r="BF21" i="81" s="1"/>
  <c r="AK21" i="81"/>
  <c r="BM21" i="81"/>
  <c r="BN21" i="81"/>
  <c r="BA4" i="81"/>
  <c r="H41" i="86" l="1"/>
  <c r="Q6" i="91"/>
  <c r="AP24" i="96"/>
  <c r="BG24" i="96" s="1"/>
  <c r="B25" i="96"/>
  <c r="AP24" i="95"/>
  <c r="BG24" i="95" s="1"/>
  <c r="B25" i="95"/>
  <c r="AP23" i="94"/>
  <c r="BG23" i="94" s="1"/>
  <c r="B24" i="94"/>
  <c r="AR46" i="90"/>
  <c r="B41" i="90" s="1"/>
  <c r="AP22" i="93"/>
  <c r="BG22" i="93" s="1"/>
  <c r="B23" i="93"/>
  <c r="U44" i="90"/>
  <c r="O40" i="90" s="1"/>
  <c r="AJ32" i="93"/>
  <c r="AR45" i="89"/>
  <c r="U45" i="89" s="1"/>
  <c r="Q40" i="89" s="1"/>
  <c r="AP21" i="92"/>
  <c r="BG21" i="92" s="1"/>
  <c r="B22" i="92"/>
  <c r="AJ21" i="92"/>
  <c r="AI15" i="91"/>
  <c r="C15" i="91" s="1"/>
  <c r="AJ19" i="91"/>
  <c r="AJ20" i="91" s="1"/>
  <c r="AJ21" i="91" s="1"/>
  <c r="AJ22" i="91" s="1"/>
  <c r="AI8" i="91"/>
  <c r="C8" i="91" s="1"/>
  <c r="AI11" i="91"/>
  <c r="AI12" i="91"/>
  <c r="C12" i="91" s="1"/>
  <c r="AP18" i="90"/>
  <c r="BG18" i="90" s="1"/>
  <c r="B21" i="90"/>
  <c r="AJ20" i="89"/>
  <c r="AP25" i="89"/>
  <c r="BG25" i="89" s="1"/>
  <c r="B26" i="89"/>
  <c r="F41" i="89"/>
  <c r="U47" i="89" s="1"/>
  <c r="U49" i="89" s="1"/>
  <c r="Q6" i="89"/>
  <c r="AW4" i="89"/>
  <c r="AR45" i="88"/>
  <c r="AR45" i="87"/>
  <c r="U45" i="87" s="1"/>
  <c r="Q40" i="87" s="1"/>
  <c r="BG16" i="86"/>
  <c r="F41" i="88"/>
  <c r="U47" i="88" s="1"/>
  <c r="U49" i="88" s="1"/>
  <c r="Q6" i="88"/>
  <c r="AW4" i="88"/>
  <c r="AP19" i="88"/>
  <c r="BG19" i="88" s="1"/>
  <c r="B22" i="88"/>
  <c r="AJ33" i="88"/>
  <c r="B21" i="88"/>
  <c r="AP21" i="88" s="1"/>
  <c r="BG21" i="88" s="1"/>
  <c r="AX4" i="88"/>
  <c r="F41" i="87"/>
  <c r="U47" i="87" s="1"/>
  <c r="U49" i="87" s="1"/>
  <c r="Q6" i="87"/>
  <c r="AW4" i="87"/>
  <c r="AJ30" i="87"/>
  <c r="AI15" i="87" s="1"/>
  <c r="C15" i="87" s="1"/>
  <c r="B18" i="87"/>
  <c r="AT41" i="86"/>
  <c r="AV8" i="86"/>
  <c r="AR41" i="86"/>
  <c r="AM41" i="86"/>
  <c r="AX4" i="86" s="1"/>
  <c r="AM6" i="86"/>
  <c r="AP8" i="86"/>
  <c r="BG8" i="86" s="1"/>
  <c r="BG17" i="84"/>
  <c r="AJ16" i="86"/>
  <c r="AP17" i="86"/>
  <c r="BG17" i="86" s="1"/>
  <c r="B18" i="86"/>
  <c r="AI15" i="84"/>
  <c r="C15" i="84" s="1"/>
  <c r="AT41" i="84"/>
  <c r="B19" i="84"/>
  <c r="B21" i="84"/>
  <c r="AP21" i="84" s="1"/>
  <c r="BG21" i="84" s="1"/>
  <c r="BG16" i="84"/>
  <c r="AV8" i="84"/>
  <c r="AR41" i="84"/>
  <c r="AZ4" i="82"/>
  <c r="B20" i="84"/>
  <c r="AP20" i="84" s="1"/>
  <c r="BG20" i="84" s="1"/>
  <c r="AJ25" i="84"/>
  <c r="AJ26" i="84" s="1"/>
  <c r="AJ27" i="84" s="1"/>
  <c r="AJ28" i="84" s="1"/>
  <c r="AJ29" i="84" s="1"/>
  <c r="AJ30" i="84" s="1"/>
  <c r="AJ31" i="84" s="1"/>
  <c r="AJ32" i="84" s="1"/>
  <c r="AJ33" i="84" s="1"/>
  <c r="AJ34" i="84" s="1"/>
  <c r="AJ35" i="84" s="1"/>
  <c r="AJ36" i="84" s="1"/>
  <c r="AJ37" i="84" s="1"/>
  <c r="AJ38" i="84" s="1"/>
  <c r="AJ39" i="84" s="1"/>
  <c r="AI8" i="84"/>
  <c r="C8" i="84" s="1"/>
  <c r="AM41" i="84"/>
  <c r="AX4" i="84" s="1"/>
  <c r="AM6" i="84"/>
  <c r="J41" i="84" s="1"/>
  <c r="AP8" i="84"/>
  <c r="BG8" i="84" s="1"/>
  <c r="AV8" i="82"/>
  <c r="AR19" i="82"/>
  <c r="AV19" i="82" s="1"/>
  <c r="AM19" i="82"/>
  <c r="AP19" i="82" s="1"/>
  <c r="BG19" i="82" s="1"/>
  <c r="AT19" i="82"/>
  <c r="AP18" i="82"/>
  <c r="AJ12" i="82"/>
  <c r="AJ13" i="82" s="1"/>
  <c r="AJ14" i="82" s="1"/>
  <c r="AP17" i="82"/>
  <c r="BG17" i="82" s="1"/>
  <c r="B21" i="82"/>
  <c r="AP21" i="82" s="1"/>
  <c r="BG21" i="82" s="1"/>
  <c r="B22" i="82"/>
  <c r="AP22" i="82" s="1"/>
  <c r="BG22" i="82" s="1"/>
  <c r="AR15" i="82"/>
  <c r="AV15" i="82" s="1"/>
  <c r="AM15" i="82"/>
  <c r="AP15" i="82" s="1"/>
  <c r="BG15" i="82" s="1"/>
  <c r="AT15" i="82"/>
  <c r="B20" i="82"/>
  <c r="AP20" i="82" s="1"/>
  <c r="BG20" i="82" s="1"/>
  <c r="AT23" i="82"/>
  <c r="AR23" i="82"/>
  <c r="AV23" i="82" s="1"/>
  <c r="AM23" i="82"/>
  <c r="AX23" i="82"/>
  <c r="AP8" i="82"/>
  <c r="BG8" i="82" s="1"/>
  <c r="BG16" i="82"/>
  <c r="BF10" i="82"/>
  <c r="AP10" i="82"/>
  <c r="BG10" i="82" s="1"/>
  <c r="AT18" i="82"/>
  <c r="AR18" i="82"/>
  <c r="AV18" i="82" s="1"/>
  <c r="AM18" i="82"/>
  <c r="AX18" i="82"/>
  <c r="AT10" i="82"/>
  <c r="H41" i="82" s="1"/>
  <c r="AR10" i="82"/>
  <c r="AV10" i="82" s="1"/>
  <c r="AM10" i="82"/>
  <c r="AT14" i="82"/>
  <c r="AR14" i="82"/>
  <c r="AV14" i="82" s="1"/>
  <c r="AM14" i="82"/>
  <c r="AP14" i="82" s="1"/>
  <c r="BG14" i="82" s="1"/>
  <c r="H41" i="81"/>
  <c r="AT9" i="81"/>
  <c r="AR9" i="81"/>
  <c r="AV9" i="81" s="1"/>
  <c r="AM9" i="81"/>
  <c r="AR8" i="81"/>
  <c r="AM8" i="81"/>
  <c r="AT8" i="81"/>
  <c r="AT21" i="81"/>
  <c r="AR21" i="81"/>
  <c r="AV21" i="81" s="1"/>
  <c r="AM21" i="81"/>
  <c r="AX21" i="81"/>
  <c r="AZ4" i="81"/>
  <c r="BF9" i="81"/>
  <c r="AP9" i="81"/>
  <c r="BG9" i="81" s="1"/>
  <c r="AJ17" i="81"/>
  <c r="AJ18" i="81" s="1"/>
  <c r="AJ19" i="81" s="1"/>
  <c r="AM17" i="81"/>
  <c r="AR17" i="81"/>
  <c r="AV17" i="81" s="1"/>
  <c r="AT17" i="81"/>
  <c r="AX17" i="81"/>
  <c r="AT27" i="81"/>
  <c r="AR27" i="81"/>
  <c r="AV27" i="81" s="1"/>
  <c r="AM27" i="81"/>
  <c r="AX27" i="81"/>
  <c r="AR16" i="81"/>
  <c r="AV16" i="81" s="1"/>
  <c r="AM16" i="81"/>
  <c r="AT16" i="81"/>
  <c r="AX16" i="81"/>
  <c r="B12" i="81"/>
  <c r="B13" i="81"/>
  <c r="AP13" i="81" s="1"/>
  <c r="BG13" i="81" s="1"/>
  <c r="AR24" i="81"/>
  <c r="AV24" i="81" s="1"/>
  <c r="AT24" i="81"/>
  <c r="AM24" i="81"/>
  <c r="AP24" i="81" s="1"/>
  <c r="BG24" i="81" s="1"/>
  <c r="AT13" i="81"/>
  <c r="AM13" i="81"/>
  <c r="AR13" i="81"/>
  <c r="AV13" i="81" s="1"/>
  <c r="AP25" i="96" l="1"/>
  <c r="BG25" i="96" s="1"/>
  <c r="B26" i="96"/>
  <c r="AP25" i="95"/>
  <c r="BG25" i="95" s="1"/>
  <c r="B26" i="95"/>
  <c r="AR46" i="89"/>
  <c r="B41" i="89" s="1"/>
  <c r="AP24" i="94"/>
  <c r="BG24" i="94" s="1"/>
  <c r="B26" i="94"/>
  <c r="AP26" i="94" s="1"/>
  <c r="BG26" i="94" s="1"/>
  <c r="AJ33" i="93"/>
  <c r="AI19" i="93"/>
  <c r="C19" i="93" s="1"/>
  <c r="U44" i="89"/>
  <c r="O40" i="89" s="1"/>
  <c r="AP23" i="93"/>
  <c r="BG23" i="93" s="1"/>
  <c r="B24" i="93"/>
  <c r="AJ22" i="92"/>
  <c r="AJ23" i="92" s="1"/>
  <c r="AJ24" i="92" s="1"/>
  <c r="AJ25" i="92" s="1"/>
  <c r="AJ26" i="92" s="1"/>
  <c r="AJ27" i="92" s="1"/>
  <c r="AP22" i="92"/>
  <c r="BG22" i="92" s="1"/>
  <c r="B23" i="92"/>
  <c r="C11" i="91"/>
  <c r="AI43" i="91"/>
  <c r="AI18" i="91"/>
  <c r="C18" i="91" s="1"/>
  <c r="AR46" i="87"/>
  <c r="B41" i="87" s="1"/>
  <c r="U44" i="87"/>
  <c r="O40" i="87" s="1"/>
  <c r="AP21" i="90"/>
  <c r="BG21" i="90" s="1"/>
  <c r="B22" i="90"/>
  <c r="AP26" i="89"/>
  <c r="BG26" i="89" s="1"/>
  <c r="B27" i="89"/>
  <c r="AP27" i="89" s="1"/>
  <c r="BG27" i="89" s="1"/>
  <c r="AJ21" i="89"/>
  <c r="AJ34" i="88"/>
  <c r="AJ35" i="88" s="1"/>
  <c r="AJ36" i="88" s="1"/>
  <c r="AI15" i="88" s="1"/>
  <c r="C15" i="88" s="1"/>
  <c r="AP22" i="88"/>
  <c r="BG22" i="88" s="1"/>
  <c r="B23" i="88"/>
  <c r="AI14" i="88"/>
  <c r="U45" i="88"/>
  <c r="Q40" i="88" s="1"/>
  <c r="U44" i="88"/>
  <c r="O40" i="88" s="1"/>
  <c r="AR46" i="88"/>
  <c r="B41" i="88" s="1"/>
  <c r="AI14" i="87"/>
  <c r="AP18" i="87"/>
  <c r="BG18" i="87" s="1"/>
  <c r="B19" i="87"/>
  <c r="B21" i="87"/>
  <c r="AI20" i="87"/>
  <c r="C20" i="87" s="1"/>
  <c r="AR45" i="84"/>
  <c r="U45" i="84" s="1"/>
  <c r="Q40" i="84" s="1"/>
  <c r="AI8" i="87"/>
  <c r="C8" i="87" s="1"/>
  <c r="AI28" i="87"/>
  <c r="C28" i="87" s="1"/>
  <c r="AP18" i="86"/>
  <c r="BG18" i="86" s="1"/>
  <c r="AW4" i="86"/>
  <c r="F41" i="86" s="1"/>
  <c r="U47" i="86" s="1"/>
  <c r="U49" i="86" s="1"/>
  <c r="B19" i="86"/>
  <c r="AR45" i="86"/>
  <c r="J41" i="86" s="1"/>
  <c r="AJ17" i="86"/>
  <c r="BG18" i="82"/>
  <c r="F41" i="84"/>
  <c r="U47" i="84" s="1"/>
  <c r="U49" i="84" s="1"/>
  <c r="Q6" i="84"/>
  <c r="AW4" i="84"/>
  <c r="AI14" i="84"/>
  <c r="B22" i="84"/>
  <c r="AT41" i="82"/>
  <c r="AI23" i="84"/>
  <c r="C23" i="84" s="1"/>
  <c r="AP19" i="84"/>
  <c r="BG19" i="84" s="1"/>
  <c r="AM6" i="82"/>
  <c r="AR41" i="82"/>
  <c r="AM41" i="82"/>
  <c r="B24" i="82"/>
  <c r="AP24" i="82" s="1"/>
  <c r="BG24" i="82" s="1"/>
  <c r="AT41" i="81"/>
  <c r="B25" i="82"/>
  <c r="AP25" i="82" s="1"/>
  <c r="BG25" i="82" s="1"/>
  <c r="B23" i="82"/>
  <c r="AP23" i="82" s="1"/>
  <c r="BG23" i="82" s="1"/>
  <c r="AJ15" i="82"/>
  <c r="AM41" i="81"/>
  <c r="AX4" i="81" s="1"/>
  <c r="AM6" i="81"/>
  <c r="AP8" i="81"/>
  <c r="BG8" i="81" s="1"/>
  <c r="AV8" i="81"/>
  <c r="AV41" i="81" s="1"/>
  <c r="AV45" i="81" s="1"/>
  <c r="E41" i="81" s="1"/>
  <c r="AR41" i="81"/>
  <c r="AJ20" i="81"/>
  <c r="AP12" i="81"/>
  <c r="BG12" i="81" s="1"/>
  <c r="B16" i="81"/>
  <c r="AP26" i="96" l="1"/>
  <c r="BG26" i="96" s="1"/>
  <c r="B27" i="96"/>
  <c r="AP26" i="95"/>
  <c r="BG26" i="95" s="1"/>
  <c r="B28" i="95"/>
  <c r="AP28" i="95" s="1"/>
  <c r="BG28" i="95" s="1"/>
  <c r="AP24" i="93"/>
  <c r="BG24" i="93" s="1"/>
  <c r="B25" i="93"/>
  <c r="AI8" i="93"/>
  <c r="C8" i="93" s="1"/>
  <c r="AI15" i="93"/>
  <c r="C15" i="93" s="1"/>
  <c r="AI14" i="93"/>
  <c r="AI29" i="93"/>
  <c r="C29" i="93" s="1"/>
  <c r="AP23" i="92"/>
  <c r="BG23" i="92" s="1"/>
  <c r="B24" i="92"/>
  <c r="AJ28" i="92"/>
  <c r="AP22" i="90"/>
  <c r="BG22" i="90" s="1"/>
  <c r="B23" i="90"/>
  <c r="AJ22" i="89"/>
  <c r="B28" i="89"/>
  <c r="AP23" i="88"/>
  <c r="BG23" i="88" s="1"/>
  <c r="B24" i="88"/>
  <c r="C14" i="88"/>
  <c r="AI43" i="88"/>
  <c r="AI8" i="88"/>
  <c r="C8" i="88" s="1"/>
  <c r="AI20" i="88"/>
  <c r="C20" i="88" s="1"/>
  <c r="AI32" i="88"/>
  <c r="C32" i="88" s="1"/>
  <c r="AR46" i="84"/>
  <c r="B41" i="84" s="1"/>
  <c r="U44" i="84"/>
  <c r="O40" i="84" s="1"/>
  <c r="AP21" i="87"/>
  <c r="BG21" i="87" s="1"/>
  <c r="B22" i="87"/>
  <c r="AP19" i="87"/>
  <c r="BG19" i="87" s="1"/>
  <c r="C14" i="87"/>
  <c r="AI43" i="87"/>
  <c r="AJ18" i="86"/>
  <c r="AJ19" i="86" s="1"/>
  <c r="AJ20" i="86" s="1"/>
  <c r="U45" i="86"/>
  <c r="Q40" i="86" s="1"/>
  <c r="U44" i="86"/>
  <c r="O40" i="86" s="1"/>
  <c r="AR46" i="86"/>
  <c r="AP19" i="86"/>
  <c r="BG19" i="86" s="1"/>
  <c r="B21" i="86"/>
  <c r="AP21" i="86" s="1"/>
  <c r="BG21" i="86" s="1"/>
  <c r="AR45" i="82"/>
  <c r="AR46" i="82" s="1"/>
  <c r="B41" i="82" s="1"/>
  <c r="AP22" i="84"/>
  <c r="BG22" i="84" s="1"/>
  <c r="B24" i="84"/>
  <c r="C14" i="84"/>
  <c r="AI43" i="84"/>
  <c r="AJ16" i="82"/>
  <c r="AJ17" i="82" s="1"/>
  <c r="AJ18" i="82" s="1"/>
  <c r="AJ19" i="82" s="1"/>
  <c r="AR45" i="81"/>
  <c r="U45" i="81" s="1"/>
  <c r="Q40" i="81" s="1"/>
  <c r="AW4" i="82"/>
  <c r="AX4" i="82"/>
  <c r="AJ21" i="81"/>
  <c r="AP16" i="81"/>
  <c r="BG16" i="81" s="1"/>
  <c r="B17" i="81"/>
  <c r="AW4" i="81"/>
  <c r="F41" i="81" s="1"/>
  <c r="U47" i="81" s="1"/>
  <c r="U49" i="81" s="1"/>
  <c r="B41" i="86" l="1"/>
  <c r="Q6" i="86"/>
  <c r="J41" i="81"/>
  <c r="F41" i="82"/>
  <c r="U47" i="82" s="1"/>
  <c r="U49" i="82" s="1"/>
  <c r="J41" i="82"/>
  <c r="AP27" i="96"/>
  <c r="BG27" i="96" s="1"/>
  <c r="B28" i="96"/>
  <c r="C14" i="93"/>
  <c r="AI43" i="93"/>
  <c r="AP25" i="93"/>
  <c r="BG25" i="93" s="1"/>
  <c r="B26" i="93"/>
  <c r="AJ29" i="92"/>
  <c r="AP24" i="92"/>
  <c r="BG24" i="92" s="1"/>
  <c r="B25" i="92"/>
  <c r="AP23" i="90"/>
  <c r="BG23" i="90" s="1"/>
  <c r="B24" i="90"/>
  <c r="AP28" i="89"/>
  <c r="BG28" i="89" s="1"/>
  <c r="B30" i="89"/>
  <c r="U44" i="82"/>
  <c r="O40" i="82" s="1"/>
  <c r="AJ23" i="89"/>
  <c r="AP24" i="88"/>
  <c r="BG24" i="88" s="1"/>
  <c r="B25" i="88"/>
  <c r="AP22" i="87"/>
  <c r="BG22" i="87" s="1"/>
  <c r="B23" i="87"/>
  <c r="AR46" i="81"/>
  <c r="AJ21" i="86"/>
  <c r="U45" i="82"/>
  <c r="Q40" i="82" s="1"/>
  <c r="B22" i="86"/>
  <c r="AP24" i="84"/>
  <c r="BG24" i="84" s="1"/>
  <c r="B25" i="84"/>
  <c r="U44" i="81"/>
  <c r="O40" i="81" s="1"/>
  <c r="AJ20" i="82"/>
  <c r="AJ22" i="81"/>
  <c r="AP17" i="81"/>
  <c r="BG17" i="81" s="1"/>
  <c r="B18" i="81"/>
  <c r="F23" i="9" l="1"/>
  <c r="F8" i="6"/>
  <c r="C38" i="14" s="1"/>
  <c r="B41" i="81"/>
  <c r="Q6" i="81"/>
  <c r="Q6" i="82"/>
  <c r="F10" i="5" s="1"/>
  <c r="C14" i="14" s="1"/>
  <c r="AP28" i="96"/>
  <c r="BG28" i="96" s="1"/>
  <c r="B29" i="96"/>
  <c r="AP26" i="93"/>
  <c r="BG26" i="93" s="1"/>
  <c r="B27" i="93"/>
  <c r="AP25" i="92"/>
  <c r="BG25" i="92" s="1"/>
  <c r="B26" i="92"/>
  <c r="AJ30" i="92"/>
  <c r="AP24" i="90"/>
  <c r="BG24" i="90" s="1"/>
  <c r="B25" i="90"/>
  <c r="AJ24" i="89"/>
  <c r="AP30" i="89"/>
  <c r="BG30" i="89" s="1"/>
  <c r="B31" i="89"/>
  <c r="AP25" i="88"/>
  <c r="BG25" i="88" s="1"/>
  <c r="B26" i="88"/>
  <c r="AP23" i="87"/>
  <c r="BG23" i="87" s="1"/>
  <c r="B24" i="87"/>
  <c r="AP22" i="86"/>
  <c r="BG22" i="86" s="1"/>
  <c r="B23" i="86"/>
  <c r="AJ22" i="86"/>
  <c r="AP25" i="84"/>
  <c r="BG25" i="84" s="1"/>
  <c r="B26" i="84"/>
  <c r="AJ21" i="82"/>
  <c r="AP18" i="81"/>
  <c r="BG18" i="81" s="1"/>
  <c r="B20" i="81"/>
  <c r="AJ23" i="81"/>
  <c r="F17" i="9" l="1"/>
  <c r="F8" i="5"/>
  <c r="C6" i="14" s="1"/>
  <c r="F19" i="9"/>
  <c r="AP29" i="96"/>
  <c r="BG29" i="96" s="1"/>
  <c r="B30" i="96"/>
  <c r="AP27" i="93"/>
  <c r="BG27" i="93" s="1"/>
  <c r="B28" i="93"/>
  <c r="AJ31" i="92"/>
  <c r="AI20" i="92"/>
  <c r="C20" i="92" s="1"/>
  <c r="AP26" i="92"/>
  <c r="BG26" i="92" s="1"/>
  <c r="B28" i="92"/>
  <c r="AP25" i="90"/>
  <c r="BG25" i="90" s="1"/>
  <c r="B26" i="90"/>
  <c r="AP31" i="89"/>
  <c r="BG31" i="89" s="1"/>
  <c r="B32" i="89"/>
  <c r="AJ25" i="89"/>
  <c r="AJ26" i="89" s="1"/>
  <c r="AJ27" i="89" s="1"/>
  <c r="AJ28" i="89" s="1"/>
  <c r="AJ29" i="89" s="1"/>
  <c r="AP26" i="88"/>
  <c r="BG26" i="88" s="1"/>
  <c r="B27" i="88"/>
  <c r="AP24" i="87"/>
  <c r="BG24" i="87" s="1"/>
  <c r="B25" i="87"/>
  <c r="AJ23" i="86"/>
  <c r="AP23" i="86"/>
  <c r="BG23" i="86" s="1"/>
  <c r="B24" i="86"/>
  <c r="AP26" i="84"/>
  <c r="BG26" i="84" s="1"/>
  <c r="B27" i="84"/>
  <c r="AJ22" i="82"/>
  <c r="AP20" i="81"/>
  <c r="BG20" i="81" s="1"/>
  <c r="B21" i="81"/>
  <c r="AJ24" i="81"/>
  <c r="AP30" i="96" l="1"/>
  <c r="BG30" i="96" s="1"/>
  <c r="B31" i="96"/>
  <c r="AP28" i="93"/>
  <c r="BG28" i="93" s="1"/>
  <c r="B30" i="93"/>
  <c r="AP28" i="92"/>
  <c r="BG28" i="92" s="1"/>
  <c r="B29" i="92"/>
  <c r="AI14" i="92"/>
  <c r="AI8" i="92"/>
  <c r="C8" i="92" s="1"/>
  <c r="AI15" i="92"/>
  <c r="C15" i="92" s="1"/>
  <c r="AI27" i="92"/>
  <c r="C27" i="92" s="1"/>
  <c r="AP26" i="90"/>
  <c r="BG26" i="90" s="1"/>
  <c r="B27" i="90"/>
  <c r="AP32" i="89"/>
  <c r="BG32" i="89" s="1"/>
  <c r="B33" i="89"/>
  <c r="AJ30" i="89"/>
  <c r="AP27" i="88"/>
  <c r="BG27" i="88" s="1"/>
  <c r="B28" i="88"/>
  <c r="AP25" i="87"/>
  <c r="BG25" i="87" s="1"/>
  <c r="B26" i="87"/>
  <c r="AP24" i="86"/>
  <c r="BG24" i="86" s="1"/>
  <c r="B25" i="86"/>
  <c r="AJ24" i="86"/>
  <c r="AP27" i="84"/>
  <c r="BG27" i="84" s="1"/>
  <c r="B28" i="84"/>
  <c r="AJ23" i="82"/>
  <c r="AJ25" i="81"/>
  <c r="AJ26" i="81" s="1"/>
  <c r="AJ27" i="81" s="1"/>
  <c r="AI14" i="81" s="1"/>
  <c r="AI19" i="81"/>
  <c r="C19" i="81" s="1"/>
  <c r="AP21" i="81"/>
  <c r="BG21" i="81" s="1"/>
  <c r="B22" i="81"/>
  <c r="AI24" i="81" l="1"/>
  <c r="C24" i="81" s="1"/>
  <c r="AP31" i="96"/>
  <c r="BG31" i="96" s="1"/>
  <c r="B33" i="96"/>
  <c r="AP33" i="96" s="1"/>
  <c r="BG33" i="96" s="1"/>
  <c r="AP30" i="93"/>
  <c r="BG30" i="93" s="1"/>
  <c r="B31" i="93"/>
  <c r="C14" i="92"/>
  <c r="AI43" i="92"/>
  <c r="AP29" i="92"/>
  <c r="BG29" i="92" s="1"/>
  <c r="B30" i="92"/>
  <c r="AP27" i="90"/>
  <c r="BG27" i="90" s="1"/>
  <c r="B28" i="90"/>
  <c r="AJ31" i="89"/>
  <c r="AP33" i="89"/>
  <c r="BG33" i="89" s="1"/>
  <c r="B34" i="89"/>
  <c r="AP28" i="88"/>
  <c r="BG28" i="88" s="1"/>
  <c r="B29" i="88"/>
  <c r="AP26" i="87"/>
  <c r="BG26" i="87" s="1"/>
  <c r="B27" i="87"/>
  <c r="AJ25" i="86"/>
  <c r="AP25" i="86"/>
  <c r="BG25" i="86" s="1"/>
  <c r="B26" i="86"/>
  <c r="AP28" i="84"/>
  <c r="BG28" i="84" s="1"/>
  <c r="B29" i="84"/>
  <c r="AJ24" i="82"/>
  <c r="AP22" i="81"/>
  <c r="BG22" i="81" s="1"/>
  <c r="B23" i="81"/>
  <c r="C14" i="81"/>
  <c r="AI43" i="81"/>
  <c r="AI8" i="81"/>
  <c r="C8" i="81" s="1"/>
  <c r="AI15" i="81"/>
  <c r="C15" i="81" s="1"/>
  <c r="AP31" i="93" l="1"/>
  <c r="BG31" i="93" s="1"/>
  <c r="B32" i="93"/>
  <c r="AP30" i="92"/>
  <c r="BG30" i="92" s="1"/>
  <c r="B31" i="92"/>
  <c r="AP31" i="92" s="1"/>
  <c r="BG31" i="92" s="1"/>
  <c r="AP28" i="90"/>
  <c r="BG28" i="90" s="1"/>
  <c r="B30" i="90"/>
  <c r="AP30" i="90" s="1"/>
  <c r="BG30" i="90" s="1"/>
  <c r="AP34" i="89"/>
  <c r="BG34" i="89" s="1"/>
  <c r="B35" i="89"/>
  <c r="AP35" i="89" s="1"/>
  <c r="BG35" i="89" s="1"/>
  <c r="AJ32" i="89"/>
  <c r="AP29" i="88"/>
  <c r="BG29" i="88" s="1"/>
  <c r="B30" i="88"/>
  <c r="AP27" i="87"/>
  <c r="BG27" i="87" s="1"/>
  <c r="B29" i="87"/>
  <c r="AP26" i="86"/>
  <c r="BG26" i="86" s="1"/>
  <c r="B28" i="86"/>
  <c r="AP28" i="86" s="1"/>
  <c r="BG28" i="86" s="1"/>
  <c r="AJ26" i="86"/>
  <c r="AP29" i="84"/>
  <c r="BG29" i="84" s="1"/>
  <c r="B30" i="84"/>
  <c r="AJ25" i="82"/>
  <c r="AI15" i="82"/>
  <c r="C15" i="82" s="1"/>
  <c r="AI14" i="82"/>
  <c r="AP23" i="81"/>
  <c r="BG23" i="81" s="1"/>
  <c r="B25" i="81"/>
  <c r="AP32" i="93" l="1"/>
  <c r="BG32" i="93" s="1"/>
  <c r="B33" i="93"/>
  <c r="AP33" i="93" s="1"/>
  <c r="BG33" i="93" s="1"/>
  <c r="AJ33" i="89"/>
  <c r="AP30" i="88"/>
  <c r="BG30" i="88" s="1"/>
  <c r="B31" i="88"/>
  <c r="AP29" i="87"/>
  <c r="BG29" i="87" s="1"/>
  <c r="B30" i="87"/>
  <c r="AP30" i="87" s="1"/>
  <c r="BG30" i="87" s="1"/>
  <c r="AJ27" i="86"/>
  <c r="AP30" i="84"/>
  <c r="BG30" i="84" s="1"/>
  <c r="B31" i="84"/>
  <c r="C14" i="82"/>
  <c r="AI43" i="82"/>
  <c r="AI8" i="82"/>
  <c r="C8" i="82" s="1"/>
  <c r="AI19" i="82"/>
  <c r="C19" i="82" s="1"/>
  <c r="AP25" i="81"/>
  <c r="BG25" i="81" s="1"/>
  <c r="B26" i="81"/>
  <c r="AJ34" i="89" l="1"/>
  <c r="AJ35" i="89" s="1"/>
  <c r="AI29" i="89"/>
  <c r="C29" i="89" s="1"/>
  <c r="AP31" i="88"/>
  <c r="BG31" i="88" s="1"/>
  <c r="B33" i="88"/>
  <c r="AJ28" i="86"/>
  <c r="AP31" i="84"/>
  <c r="BG31" i="84" s="1"/>
  <c r="B32" i="84"/>
  <c r="AP26" i="81"/>
  <c r="BG26" i="81" s="1"/>
  <c r="B27" i="81"/>
  <c r="AP27" i="81" s="1"/>
  <c r="BG27" i="81" s="1"/>
  <c r="AI14" i="89" l="1"/>
  <c r="AI8" i="89"/>
  <c r="C8" i="89" s="1"/>
  <c r="AI15" i="89"/>
  <c r="C15" i="89" s="1"/>
  <c r="AI20" i="89"/>
  <c r="C20" i="89" s="1"/>
  <c r="AP33" i="88"/>
  <c r="BG33" i="88" s="1"/>
  <c r="B34" i="88"/>
  <c r="AI8" i="86"/>
  <c r="C8" i="86" s="1"/>
  <c r="AI14" i="86"/>
  <c r="AI15" i="86"/>
  <c r="C15" i="86" s="1"/>
  <c r="AI20" i="86"/>
  <c r="C20" i="86" s="1"/>
  <c r="AI27" i="86"/>
  <c r="C27" i="86" s="1"/>
  <c r="AP32" i="84"/>
  <c r="BG32" i="84" s="1"/>
  <c r="B33" i="84"/>
  <c r="C14" i="89" l="1"/>
  <c r="AI43" i="89"/>
  <c r="AP34" i="88"/>
  <c r="BG34" i="88" s="1"/>
  <c r="B35" i="88"/>
  <c r="C14" i="86"/>
  <c r="AI43" i="86"/>
  <c r="AP33" i="84"/>
  <c r="BG33" i="84" s="1"/>
  <c r="B34" i="84"/>
  <c r="AP35" i="88" l="1"/>
  <c r="BG35" i="88" s="1"/>
  <c r="B36" i="88"/>
  <c r="AP36" i="88" s="1"/>
  <c r="BG36" i="88" s="1"/>
  <c r="AP34" i="84"/>
  <c r="BG34" i="84" s="1"/>
  <c r="B35" i="84"/>
  <c r="AP35" i="84" l="1"/>
  <c r="BG35" i="84" s="1"/>
  <c r="B36" i="84"/>
  <c r="AP36" i="84" l="1"/>
  <c r="BG36" i="84" s="1"/>
  <c r="B37" i="84"/>
  <c r="AP37" i="84" l="1"/>
  <c r="BG37" i="84" s="1"/>
  <c r="B38" i="84"/>
  <c r="AP38" i="84" l="1"/>
  <c r="BG38" i="84" s="1"/>
  <c r="B39" i="84"/>
  <c r="AP39" i="84" s="1"/>
  <c r="BG39" i="84" s="1"/>
  <c r="U48" i="80" l="1"/>
  <c r="BE43" i="80"/>
  <c r="AT43" i="80"/>
  <c r="AT44" i="80" s="1"/>
  <c r="BN39" i="80"/>
  <c r="BK39" i="80"/>
  <c r="I39" i="80" s="1"/>
  <c r="BJ39" i="80"/>
  <c r="H39" i="80" s="1"/>
  <c r="BF39" i="80" s="1"/>
  <c r="BI39" i="80"/>
  <c r="AK39" i="80" s="1"/>
  <c r="AM39" i="80" s="1"/>
  <c r="BH39" i="80"/>
  <c r="BG39" i="80"/>
  <c r="BE39" i="80"/>
  <c r="BD39" i="80"/>
  <c r="BC39" i="80"/>
  <c r="BB39" i="80"/>
  <c r="BA39" i="80"/>
  <c r="AZ39" i="80"/>
  <c r="AY39" i="80"/>
  <c r="AX39" i="80"/>
  <c r="AW39" i="80"/>
  <c r="AU39" i="80"/>
  <c r="AT39" i="80"/>
  <c r="AS39" i="80"/>
  <c r="AR39" i="80"/>
  <c r="AV39" i="80" s="1"/>
  <c r="AQ39" i="80"/>
  <c r="AP39" i="80"/>
  <c r="AO39" i="80"/>
  <c r="AL39" i="80"/>
  <c r="AJ39" i="80"/>
  <c r="AI39" i="80"/>
  <c r="AH39" i="80"/>
  <c r="AN39" i="80" s="1"/>
  <c r="AG39" i="80"/>
  <c r="G39" i="80"/>
  <c r="C39" i="80"/>
  <c r="B39" i="80"/>
  <c r="BN38" i="80"/>
  <c r="BK38" i="80"/>
  <c r="I38" i="80" s="1"/>
  <c r="BJ38" i="80"/>
  <c r="H38" i="80" s="1"/>
  <c r="BF38" i="80" s="1"/>
  <c r="BI38" i="80"/>
  <c r="AK38" i="80" s="1"/>
  <c r="AM38" i="80" s="1"/>
  <c r="BH38" i="80"/>
  <c r="G38" i="80" s="1"/>
  <c r="BG38" i="80"/>
  <c r="BE38" i="80"/>
  <c r="BD38" i="80"/>
  <c r="BC38" i="80"/>
  <c r="BB38" i="80"/>
  <c r="BA38" i="80"/>
  <c r="AZ38" i="80"/>
  <c r="AY38" i="80"/>
  <c r="AX38" i="80"/>
  <c r="AW38" i="80"/>
  <c r="AU38" i="80"/>
  <c r="AT38" i="80"/>
  <c r="AS38" i="80"/>
  <c r="AR38" i="80"/>
  <c r="AV38" i="80" s="1"/>
  <c r="AQ38" i="80"/>
  <c r="AP38" i="80"/>
  <c r="AO38" i="80"/>
  <c r="AL38" i="80"/>
  <c r="AJ38" i="80"/>
  <c r="AI38" i="80"/>
  <c r="AH38" i="80"/>
  <c r="AN38" i="80" s="1"/>
  <c r="AG38" i="80"/>
  <c r="C38" i="80"/>
  <c r="B38" i="80"/>
  <c r="BN37" i="80"/>
  <c r="BK37" i="80"/>
  <c r="I37" i="80" s="1"/>
  <c r="BJ37" i="80"/>
  <c r="H37" i="80" s="1"/>
  <c r="BF37" i="80" s="1"/>
  <c r="BI37" i="80"/>
  <c r="BM37" i="80" s="1"/>
  <c r="BH37" i="80"/>
  <c r="G37" i="80" s="1"/>
  <c r="BG37" i="80"/>
  <c r="BE37" i="80"/>
  <c r="BD37" i="80"/>
  <c r="BC37" i="80"/>
  <c r="BB37" i="80"/>
  <c r="BA37" i="80"/>
  <c r="AZ37" i="80"/>
  <c r="AY37" i="80"/>
  <c r="AX37" i="80"/>
  <c r="AW37" i="80"/>
  <c r="AU37" i="80"/>
  <c r="AT37" i="80"/>
  <c r="AS37" i="80"/>
  <c r="AR37" i="80"/>
  <c r="AV37" i="80" s="1"/>
  <c r="AQ37" i="80"/>
  <c r="AP37" i="80"/>
  <c r="AO37" i="80"/>
  <c r="AL37" i="80"/>
  <c r="AJ37" i="80"/>
  <c r="AI37" i="80"/>
  <c r="AH37" i="80"/>
  <c r="AN37" i="80" s="1"/>
  <c r="AG37" i="80"/>
  <c r="C37" i="80"/>
  <c r="B37" i="80"/>
  <c r="BN36" i="80"/>
  <c r="BL36" i="80"/>
  <c r="BK36" i="80"/>
  <c r="I36" i="80" s="1"/>
  <c r="BJ36" i="80"/>
  <c r="H36" i="80" s="1"/>
  <c r="BF36" i="80" s="1"/>
  <c r="BI36" i="80"/>
  <c r="BM36" i="80" s="1"/>
  <c r="BH36" i="80"/>
  <c r="BG36" i="80"/>
  <c r="BE36" i="80"/>
  <c r="BD36" i="80"/>
  <c r="BC36" i="80"/>
  <c r="BB36" i="80"/>
  <c r="BA36" i="80"/>
  <c r="AZ36" i="80"/>
  <c r="AY36" i="80"/>
  <c r="AX36" i="80"/>
  <c r="AW36" i="80"/>
  <c r="AU36" i="80"/>
  <c r="AT36" i="80"/>
  <c r="AS36" i="80"/>
  <c r="AR36" i="80"/>
  <c r="AV36" i="80" s="1"/>
  <c r="AQ36" i="80"/>
  <c r="AP36" i="80"/>
  <c r="AO36" i="80"/>
  <c r="AL36" i="80"/>
  <c r="AJ36" i="80"/>
  <c r="AI36" i="80"/>
  <c r="AH36" i="80"/>
  <c r="AN36" i="80" s="1"/>
  <c r="AG36" i="80"/>
  <c r="G36" i="80"/>
  <c r="C36" i="80"/>
  <c r="B36" i="80"/>
  <c r="BN35" i="80"/>
  <c r="BK35" i="80"/>
  <c r="I35" i="80" s="1"/>
  <c r="BJ35" i="80"/>
  <c r="H35" i="80" s="1"/>
  <c r="BF35" i="80" s="1"/>
  <c r="BI35" i="80"/>
  <c r="AK35" i="80" s="1"/>
  <c r="AM35" i="80" s="1"/>
  <c r="BH35" i="80"/>
  <c r="BG35" i="80"/>
  <c r="BE35" i="80"/>
  <c r="BD35" i="80"/>
  <c r="BC35" i="80"/>
  <c r="BB35" i="80"/>
  <c r="BA35" i="80"/>
  <c r="AZ35" i="80"/>
  <c r="AY35" i="80"/>
  <c r="AX35" i="80"/>
  <c r="AW35" i="80"/>
  <c r="AU35" i="80"/>
  <c r="AT35" i="80"/>
  <c r="AS35" i="80"/>
  <c r="AR35" i="80"/>
  <c r="AV35" i="80" s="1"/>
  <c r="AQ35" i="80"/>
  <c r="AP35" i="80"/>
  <c r="AO35" i="80"/>
  <c r="AL35" i="80"/>
  <c r="AJ35" i="80"/>
  <c r="AI35" i="80"/>
  <c r="AH35" i="80"/>
  <c r="AN35" i="80" s="1"/>
  <c r="AG35" i="80"/>
  <c r="G35" i="80"/>
  <c r="C35" i="80"/>
  <c r="B35" i="80"/>
  <c r="BN34" i="80"/>
  <c r="BK34" i="80"/>
  <c r="I34" i="80" s="1"/>
  <c r="BJ34" i="80"/>
  <c r="H34" i="80" s="1"/>
  <c r="BF34" i="80" s="1"/>
  <c r="BI34" i="80"/>
  <c r="AK34" i="80" s="1"/>
  <c r="AM34" i="80" s="1"/>
  <c r="BH34" i="80"/>
  <c r="G34" i="80" s="1"/>
  <c r="BG34" i="80"/>
  <c r="BE34" i="80"/>
  <c r="BD34" i="80"/>
  <c r="BC34" i="80"/>
  <c r="BB34" i="80"/>
  <c r="BA34" i="80"/>
  <c r="AZ34" i="80"/>
  <c r="AY34" i="80"/>
  <c r="AX34" i="80"/>
  <c r="AW34" i="80"/>
  <c r="AU34" i="80"/>
  <c r="AT34" i="80"/>
  <c r="AS34" i="80"/>
  <c r="AR34" i="80"/>
  <c r="AV34" i="80" s="1"/>
  <c r="AQ34" i="80"/>
  <c r="AP34" i="80"/>
  <c r="AO34" i="80"/>
  <c r="AL34" i="80"/>
  <c r="AJ34" i="80"/>
  <c r="AI34" i="80"/>
  <c r="AH34" i="80"/>
  <c r="AN34" i="80" s="1"/>
  <c r="AG34" i="80"/>
  <c r="C34" i="80"/>
  <c r="B34" i="80"/>
  <c r="BN33" i="80"/>
  <c r="BK33" i="80"/>
  <c r="I33" i="80" s="1"/>
  <c r="BJ33" i="80"/>
  <c r="H33" i="80" s="1"/>
  <c r="BF33" i="80" s="1"/>
  <c r="BI33" i="80"/>
  <c r="BM33" i="80" s="1"/>
  <c r="BH33" i="80"/>
  <c r="G33" i="80" s="1"/>
  <c r="BG33" i="80"/>
  <c r="BE33" i="80"/>
  <c r="BD33" i="80"/>
  <c r="BC33" i="80"/>
  <c r="BB33" i="80"/>
  <c r="BA33" i="80"/>
  <c r="AZ33" i="80"/>
  <c r="AY33" i="80"/>
  <c r="AX33" i="80"/>
  <c r="AW33" i="80"/>
  <c r="AU33" i="80"/>
  <c r="AT33" i="80"/>
  <c r="AS33" i="80"/>
  <c r="AR33" i="80"/>
  <c r="AV33" i="80" s="1"/>
  <c r="AQ33" i="80"/>
  <c r="AP33" i="80"/>
  <c r="AO33" i="80"/>
  <c r="AL33" i="80"/>
  <c r="AJ33" i="80"/>
  <c r="AI33" i="80"/>
  <c r="AH33" i="80"/>
  <c r="AN33" i="80" s="1"/>
  <c r="AG33" i="80"/>
  <c r="C33" i="80"/>
  <c r="B33" i="80"/>
  <c r="BN32" i="80"/>
  <c r="BL32" i="80"/>
  <c r="BK32" i="80"/>
  <c r="I32" i="80" s="1"/>
  <c r="BJ32" i="80"/>
  <c r="H32" i="80" s="1"/>
  <c r="BF32" i="80" s="1"/>
  <c r="BI32" i="80"/>
  <c r="AK32" i="80" s="1"/>
  <c r="AM32" i="80" s="1"/>
  <c r="BH32" i="80"/>
  <c r="BG32" i="80"/>
  <c r="BE32" i="80"/>
  <c r="BD32" i="80"/>
  <c r="BC32" i="80"/>
  <c r="BB32" i="80"/>
  <c r="BA32" i="80"/>
  <c r="AZ32" i="80"/>
  <c r="AY32" i="80"/>
  <c r="AX32" i="80"/>
  <c r="AW32" i="80"/>
  <c r="AU32" i="80"/>
  <c r="AT32" i="80"/>
  <c r="AS32" i="80"/>
  <c r="AR32" i="80"/>
  <c r="AV32" i="80" s="1"/>
  <c r="AQ32" i="80"/>
  <c r="AP32" i="80"/>
  <c r="AO32" i="80"/>
  <c r="AL32" i="80"/>
  <c r="AJ32" i="80"/>
  <c r="AI32" i="80"/>
  <c r="AH32" i="80"/>
  <c r="AN32" i="80" s="1"/>
  <c r="AG32" i="80"/>
  <c r="G32" i="80"/>
  <c r="C32" i="80"/>
  <c r="B32" i="80"/>
  <c r="BN31" i="80"/>
  <c r="BK31" i="80"/>
  <c r="I31" i="80" s="1"/>
  <c r="BJ31" i="80"/>
  <c r="H31" i="80" s="1"/>
  <c r="BF31" i="80" s="1"/>
  <c r="BI31" i="80"/>
  <c r="AK31" i="80" s="1"/>
  <c r="AM31" i="80" s="1"/>
  <c r="BH31" i="80"/>
  <c r="BG31" i="80"/>
  <c r="BE31" i="80"/>
  <c r="BD31" i="80"/>
  <c r="BC31" i="80"/>
  <c r="BB31" i="80"/>
  <c r="BA31" i="80"/>
  <c r="AZ31" i="80"/>
  <c r="AY31" i="80"/>
  <c r="AX31" i="80"/>
  <c r="AW31" i="80"/>
  <c r="AU31" i="80"/>
  <c r="AT31" i="80"/>
  <c r="AS31" i="80"/>
  <c r="AR31" i="80"/>
  <c r="AV31" i="80" s="1"/>
  <c r="AQ31" i="80"/>
  <c r="AP31" i="80"/>
  <c r="AO31" i="80"/>
  <c r="AL31" i="80"/>
  <c r="AJ31" i="80"/>
  <c r="AI31" i="80"/>
  <c r="AH31" i="80"/>
  <c r="AN31" i="80" s="1"/>
  <c r="AG31" i="80"/>
  <c r="G31" i="80"/>
  <c r="C31" i="80"/>
  <c r="B31" i="80"/>
  <c r="BH30" i="80"/>
  <c r="BE30" i="80"/>
  <c r="BD30" i="80"/>
  <c r="BC30" i="80"/>
  <c r="AU30" i="80"/>
  <c r="AS30" i="80"/>
  <c r="AQ30" i="80"/>
  <c r="AO30" i="80"/>
  <c r="AL30" i="80"/>
  <c r="AH30" i="80"/>
  <c r="AN30" i="80" s="1"/>
  <c r="AG30" i="80"/>
  <c r="BU29" i="80"/>
  <c r="BT29" i="80"/>
  <c r="BS29" i="80"/>
  <c r="BR29" i="80"/>
  <c r="BQ29" i="80"/>
  <c r="BL29" i="80"/>
  <c r="BJ29" i="80"/>
  <c r="H29" i="80" s="1"/>
  <c r="BF29" i="80" s="1"/>
  <c r="BH29" i="80"/>
  <c r="BE29" i="80"/>
  <c r="BD29" i="80"/>
  <c r="BC29" i="80"/>
  <c r="BA29" i="80"/>
  <c r="AU29" i="80"/>
  <c r="AS29" i="80"/>
  <c r="AQ29" i="80"/>
  <c r="AO29" i="80"/>
  <c r="AL29" i="80"/>
  <c r="AH29" i="80"/>
  <c r="AN29" i="80" s="1"/>
  <c r="AG29" i="80"/>
  <c r="G29" i="80"/>
  <c r="BB29" i="80" s="1"/>
  <c r="B29" i="80"/>
  <c r="BU28" i="80"/>
  <c r="BT28" i="80"/>
  <c r="BS28" i="80"/>
  <c r="BR28" i="80"/>
  <c r="BQ28" i="80"/>
  <c r="BN28" i="80"/>
  <c r="BM28" i="80"/>
  <c r="BL28" i="80"/>
  <c r="BH28" i="80"/>
  <c r="BE28" i="80"/>
  <c r="BD28" i="80"/>
  <c r="BC28" i="80"/>
  <c r="AU28" i="80"/>
  <c r="AS28" i="80"/>
  <c r="AQ28" i="80"/>
  <c r="AI28" i="80" s="1"/>
  <c r="C28" i="80" s="1"/>
  <c r="AO28" i="80"/>
  <c r="AL28" i="80"/>
  <c r="AH28" i="80"/>
  <c r="AN28" i="80" s="1"/>
  <c r="AG28" i="80"/>
  <c r="G28" i="80"/>
  <c r="BB28" i="80" s="1"/>
  <c r="BU27" i="80"/>
  <c r="BT27" i="80"/>
  <c r="BS27" i="80"/>
  <c r="BR27" i="80"/>
  <c r="BQ27" i="80"/>
  <c r="BH27" i="80"/>
  <c r="BE27" i="80"/>
  <c r="BD27" i="80"/>
  <c r="BC27" i="80"/>
  <c r="AU27" i="80"/>
  <c r="AS27" i="80"/>
  <c r="AQ27" i="80"/>
  <c r="AO27" i="80"/>
  <c r="AL27" i="80"/>
  <c r="AH27" i="80"/>
  <c r="AN27" i="80" s="1"/>
  <c r="AG27" i="80"/>
  <c r="BU26" i="80"/>
  <c r="BT26" i="80"/>
  <c r="BS26" i="80"/>
  <c r="BR26" i="80"/>
  <c r="BQ26" i="80"/>
  <c r="BL26" i="80"/>
  <c r="BH26" i="80"/>
  <c r="BE26" i="80"/>
  <c r="BD26" i="80"/>
  <c r="BC26" i="80"/>
  <c r="BA26" i="80"/>
  <c r="AU26" i="80"/>
  <c r="AS26" i="80"/>
  <c r="AQ26" i="80"/>
  <c r="AO26" i="80"/>
  <c r="AL26" i="80"/>
  <c r="AH26" i="80"/>
  <c r="AN26" i="80" s="1"/>
  <c r="AG26" i="80"/>
  <c r="G26" i="80"/>
  <c r="BB26" i="80" s="1"/>
  <c r="BU25" i="80"/>
  <c r="BT25" i="80"/>
  <c r="BS25" i="80"/>
  <c r="BR25" i="80"/>
  <c r="BQ25" i="80"/>
  <c r="BL25" i="80"/>
  <c r="BH25" i="80"/>
  <c r="BE25" i="80"/>
  <c r="BD25" i="80"/>
  <c r="BC25" i="80"/>
  <c r="AU25" i="80"/>
  <c r="AS25" i="80"/>
  <c r="AQ25" i="80"/>
  <c r="AO25" i="80"/>
  <c r="AL25" i="80"/>
  <c r="AH25" i="80"/>
  <c r="AN25" i="80" s="1"/>
  <c r="AG25" i="80"/>
  <c r="G25" i="80"/>
  <c r="BB25" i="80" s="1"/>
  <c r="BU24" i="80"/>
  <c r="BT24" i="80"/>
  <c r="BS24" i="80"/>
  <c r="BR24" i="80"/>
  <c r="BQ24" i="80"/>
  <c r="BH24" i="80"/>
  <c r="BE24" i="80"/>
  <c r="BD24" i="80"/>
  <c r="BC24" i="80"/>
  <c r="AU24" i="80"/>
  <c r="AS24" i="80"/>
  <c r="AQ24" i="80"/>
  <c r="AO24" i="80"/>
  <c r="AL24" i="80"/>
  <c r="AH24" i="80"/>
  <c r="AN24" i="80" s="1"/>
  <c r="AG24" i="80"/>
  <c r="BU23" i="80"/>
  <c r="BT23" i="80"/>
  <c r="BS23" i="80"/>
  <c r="BR23" i="80"/>
  <c r="BQ23" i="80"/>
  <c r="BL23" i="80"/>
  <c r="BH23" i="80"/>
  <c r="BE23" i="80"/>
  <c r="BD23" i="80"/>
  <c r="BC23" i="80"/>
  <c r="BA23" i="80"/>
  <c r="AU23" i="80"/>
  <c r="AS23" i="80"/>
  <c r="AQ23" i="80"/>
  <c r="AO23" i="80"/>
  <c r="AL23" i="80"/>
  <c r="AH23" i="80"/>
  <c r="AN23" i="80" s="1"/>
  <c r="AG23" i="80"/>
  <c r="G23" i="80"/>
  <c r="BB23" i="80" s="1"/>
  <c r="BU22" i="80"/>
  <c r="BT22" i="80"/>
  <c r="BS22" i="80"/>
  <c r="BR22" i="80"/>
  <c r="BQ22" i="80"/>
  <c r="BL22" i="80"/>
  <c r="BJ22" i="80"/>
  <c r="H22" i="80" s="1"/>
  <c r="BF22" i="80" s="1"/>
  <c r="BH22" i="80"/>
  <c r="BE22" i="80"/>
  <c r="BD22" i="80"/>
  <c r="BC22" i="80"/>
  <c r="AU22" i="80"/>
  <c r="AS22" i="80"/>
  <c r="AQ22" i="80"/>
  <c r="AO22" i="80"/>
  <c r="AL22" i="80"/>
  <c r="AH22" i="80"/>
  <c r="AN22" i="80" s="1"/>
  <c r="AG22" i="80"/>
  <c r="G22" i="80"/>
  <c r="BB22" i="80" s="1"/>
  <c r="B22" i="80"/>
  <c r="BU21" i="80"/>
  <c r="BT21" i="80"/>
  <c r="BS21" i="80"/>
  <c r="BR21" i="80"/>
  <c r="BQ21" i="80"/>
  <c r="BH21" i="80"/>
  <c r="BE21" i="80"/>
  <c r="BD21" i="80"/>
  <c r="BC21" i="80"/>
  <c r="AU21" i="80"/>
  <c r="AS21" i="80"/>
  <c r="AQ21" i="80"/>
  <c r="AO21" i="80"/>
  <c r="AL21" i="80"/>
  <c r="AH21" i="80"/>
  <c r="AN21" i="80" s="1"/>
  <c r="AG21" i="80"/>
  <c r="BH20" i="80"/>
  <c r="BE20" i="80"/>
  <c r="BD20" i="80"/>
  <c r="BC20" i="80"/>
  <c r="AU20" i="80"/>
  <c r="AS20" i="80"/>
  <c r="AQ20" i="80"/>
  <c r="AO20" i="80"/>
  <c r="AL20" i="80"/>
  <c r="AH20" i="80"/>
  <c r="AG20" i="80"/>
  <c r="BL19" i="80"/>
  <c r="BJ19" i="80"/>
  <c r="H19" i="80" s="1"/>
  <c r="BF19" i="80" s="1"/>
  <c r="BH19" i="80"/>
  <c r="BE19" i="80"/>
  <c r="BD19" i="80"/>
  <c r="BC19" i="80"/>
  <c r="AU19" i="80"/>
  <c r="AS19" i="80"/>
  <c r="AQ19" i="80"/>
  <c r="AO19" i="80"/>
  <c r="AL19" i="80"/>
  <c r="AH19" i="80"/>
  <c r="AN19" i="80" s="1"/>
  <c r="AG19" i="80"/>
  <c r="G19" i="80"/>
  <c r="BB19" i="80" s="1"/>
  <c r="B19" i="80"/>
  <c r="BH18" i="80"/>
  <c r="BE18" i="80"/>
  <c r="BD18" i="80"/>
  <c r="BC18" i="80"/>
  <c r="AU18" i="80"/>
  <c r="AS18" i="80"/>
  <c r="AQ18" i="80"/>
  <c r="AO18" i="80"/>
  <c r="AL18" i="80"/>
  <c r="AH18" i="80"/>
  <c r="AN18" i="80" s="1"/>
  <c r="AG18" i="80"/>
  <c r="G18" i="80"/>
  <c r="BB18" i="80" s="1"/>
  <c r="BH17" i="80"/>
  <c r="BE17" i="80"/>
  <c r="BD17" i="80"/>
  <c r="BC17" i="80"/>
  <c r="AU17" i="80"/>
  <c r="AS17" i="80"/>
  <c r="AQ17" i="80"/>
  <c r="AO17" i="80"/>
  <c r="AL17" i="80"/>
  <c r="AH17" i="80"/>
  <c r="AN17" i="80" s="1"/>
  <c r="AG17" i="80"/>
  <c r="BH16" i="80"/>
  <c r="BE16" i="80"/>
  <c r="BD16" i="80"/>
  <c r="BC16" i="80"/>
  <c r="AU16" i="80"/>
  <c r="AS16" i="80"/>
  <c r="AQ16" i="80"/>
  <c r="AO16" i="80"/>
  <c r="AL16" i="80"/>
  <c r="AH16" i="80"/>
  <c r="AG16" i="80"/>
  <c r="BL15" i="80"/>
  <c r="BJ15" i="80"/>
  <c r="H15" i="80" s="1"/>
  <c r="BF15" i="80" s="1"/>
  <c r="BH15" i="80"/>
  <c r="BE15" i="80"/>
  <c r="BD15" i="80"/>
  <c r="BC15" i="80"/>
  <c r="AU15" i="80"/>
  <c r="AS15" i="80"/>
  <c r="AQ15" i="80"/>
  <c r="AO15" i="80"/>
  <c r="AL15" i="80"/>
  <c r="AH15" i="80"/>
  <c r="AN15" i="80" s="1"/>
  <c r="AG15" i="80"/>
  <c r="G15" i="80"/>
  <c r="BB15" i="80" s="1"/>
  <c r="B15" i="80"/>
  <c r="BJ14" i="80"/>
  <c r="H14" i="80" s="1"/>
  <c r="BF14" i="80" s="1"/>
  <c r="BH14" i="80"/>
  <c r="BE14" i="80"/>
  <c r="BD14" i="80"/>
  <c r="BC14" i="80"/>
  <c r="AU14" i="80"/>
  <c r="AS14" i="80"/>
  <c r="AQ14" i="80"/>
  <c r="AO14" i="80"/>
  <c r="AL14" i="80"/>
  <c r="AH14" i="80"/>
  <c r="AN14" i="80" s="1"/>
  <c r="AG14" i="80"/>
  <c r="G14" i="80"/>
  <c r="BB14" i="80" s="1"/>
  <c r="B14" i="80"/>
  <c r="BH13" i="80"/>
  <c r="BE13" i="80"/>
  <c r="BD13" i="80"/>
  <c r="BC13" i="80"/>
  <c r="AU13" i="80"/>
  <c r="AS13" i="80"/>
  <c r="AQ13" i="80"/>
  <c r="AL13" i="80"/>
  <c r="AH13" i="80"/>
  <c r="AN13" i="80" s="1"/>
  <c r="AG13" i="80"/>
  <c r="BH12" i="80"/>
  <c r="BE12" i="80"/>
  <c r="BD12" i="80"/>
  <c r="BC12" i="80"/>
  <c r="AU12" i="80"/>
  <c r="AS12" i="80"/>
  <c r="AI12" i="80" s="1"/>
  <c r="C12" i="80" s="1"/>
  <c r="AQ12" i="80"/>
  <c r="AL12" i="80"/>
  <c r="AH12" i="80"/>
  <c r="AG12" i="80"/>
  <c r="BL11" i="80"/>
  <c r="BH11" i="80"/>
  <c r="BE11" i="80"/>
  <c r="BD11" i="80"/>
  <c r="BC11" i="80"/>
  <c r="AU11" i="80"/>
  <c r="AS11" i="80"/>
  <c r="AQ11" i="80"/>
  <c r="AI11" i="80" s="1"/>
  <c r="C11" i="80" s="1"/>
  <c r="AL11" i="80"/>
  <c r="AH11" i="80"/>
  <c r="AN11" i="80" s="1"/>
  <c r="AG11" i="80"/>
  <c r="G11" i="80"/>
  <c r="BB11" i="80" s="1"/>
  <c r="BH10" i="80"/>
  <c r="BL10" i="80" s="1"/>
  <c r="BE10" i="80"/>
  <c r="BD10" i="80"/>
  <c r="BC10" i="80"/>
  <c r="BC4" i="80" s="1"/>
  <c r="AU10" i="80"/>
  <c r="AS10" i="80"/>
  <c r="AQ10" i="80"/>
  <c r="AL10" i="80"/>
  <c r="AH10" i="80"/>
  <c r="AN10" i="80" s="1"/>
  <c r="AG10" i="80"/>
  <c r="G10" i="80"/>
  <c r="BB10" i="80" s="1"/>
  <c r="BH9" i="80"/>
  <c r="BE9" i="80"/>
  <c r="BD9" i="80"/>
  <c r="BC9" i="80"/>
  <c r="AU9" i="80"/>
  <c r="AU41" i="80" s="1"/>
  <c r="AS9" i="80"/>
  <c r="AQ9" i="80"/>
  <c r="AL9" i="80"/>
  <c r="AJ9" i="80"/>
  <c r="AJ10" i="80" s="1"/>
  <c r="AJ11" i="80" s="1"/>
  <c r="AJ12" i="80" s="1"/>
  <c r="AJ13" i="80" s="1"/>
  <c r="AJ14" i="80" s="1"/>
  <c r="AH9" i="80"/>
  <c r="AN9" i="80" s="1"/>
  <c r="AG9" i="80"/>
  <c r="BJ8" i="80"/>
  <c r="H8" i="80" s="1"/>
  <c r="BF8" i="80" s="1"/>
  <c r="BH8" i="80"/>
  <c r="BE8" i="80"/>
  <c r="BD8" i="80"/>
  <c r="BD4" i="80" s="1"/>
  <c r="BC8" i="80"/>
  <c r="AU8" i="80"/>
  <c r="AV43" i="80" s="1"/>
  <c r="AS8" i="80"/>
  <c r="AS41" i="80" s="1"/>
  <c r="AQ8" i="80"/>
  <c r="AQ41" i="80" s="1"/>
  <c r="AL8" i="80"/>
  <c r="AJ8" i="80"/>
  <c r="AH8" i="80"/>
  <c r="AN8" i="80" s="1"/>
  <c r="AG8" i="80"/>
  <c r="B8" i="80"/>
  <c r="AV6" i="80"/>
  <c r="U48" i="78"/>
  <c r="AT44" i="78"/>
  <c r="AR44" i="78" s="1"/>
  <c r="BE43" i="78"/>
  <c r="AT43" i="78"/>
  <c r="BN39" i="78"/>
  <c r="BK39" i="78"/>
  <c r="I39" i="78" s="1"/>
  <c r="BJ39" i="78"/>
  <c r="H39" i="78" s="1"/>
  <c r="BF39" i="78" s="1"/>
  <c r="BI39" i="78"/>
  <c r="AK39" i="78" s="1"/>
  <c r="AM39" i="78" s="1"/>
  <c r="BH39" i="78"/>
  <c r="G39" i="78" s="1"/>
  <c r="BG39" i="78"/>
  <c r="BE39" i="78"/>
  <c r="BD39" i="78"/>
  <c r="BC39" i="78"/>
  <c r="BB39" i="78"/>
  <c r="BA39" i="78"/>
  <c r="AZ39" i="78"/>
  <c r="AY39" i="78"/>
  <c r="AX39" i="78"/>
  <c r="AW39" i="78"/>
  <c r="AU39" i="78"/>
  <c r="AT39" i="78"/>
  <c r="AS39" i="78"/>
  <c r="AR39" i="78"/>
  <c r="AV39" i="78" s="1"/>
  <c r="AQ39" i="78"/>
  <c r="AP39" i="78"/>
  <c r="AO39" i="78"/>
  <c r="AL39" i="78"/>
  <c r="AJ39" i="78"/>
  <c r="AI39" i="78"/>
  <c r="AH39" i="78"/>
  <c r="AN39" i="78" s="1"/>
  <c r="AG39" i="78"/>
  <c r="C39" i="78"/>
  <c r="B39" i="78"/>
  <c r="BN38" i="78"/>
  <c r="BK38" i="78"/>
  <c r="I38" i="78" s="1"/>
  <c r="BJ38" i="78"/>
  <c r="H38" i="78" s="1"/>
  <c r="BF38" i="78" s="1"/>
  <c r="BI38" i="78"/>
  <c r="AK38" i="78" s="1"/>
  <c r="AM38" i="78" s="1"/>
  <c r="BH38" i="78"/>
  <c r="G38" i="78" s="1"/>
  <c r="BG38" i="78"/>
  <c r="BE38" i="78"/>
  <c r="BD38" i="78"/>
  <c r="BC38" i="78"/>
  <c r="BB38" i="78"/>
  <c r="BA38" i="78"/>
  <c r="AZ38" i="78"/>
  <c r="AY38" i="78"/>
  <c r="AX38" i="78"/>
  <c r="AW38" i="78"/>
  <c r="AU38" i="78"/>
  <c r="AT38" i="78"/>
  <c r="AS38" i="78"/>
  <c r="AR38" i="78"/>
  <c r="AV38" i="78" s="1"/>
  <c r="AQ38" i="78"/>
  <c r="AP38" i="78"/>
  <c r="AO38" i="78"/>
  <c r="AL38" i="78"/>
  <c r="AJ38" i="78"/>
  <c r="AI38" i="78"/>
  <c r="AH38" i="78"/>
  <c r="AN38" i="78" s="1"/>
  <c r="AG38" i="78"/>
  <c r="C38" i="78"/>
  <c r="B38" i="78"/>
  <c r="BN37" i="78"/>
  <c r="BK37" i="78"/>
  <c r="I37" i="78" s="1"/>
  <c r="BJ37" i="78"/>
  <c r="H37" i="78" s="1"/>
  <c r="BF37" i="78" s="1"/>
  <c r="BI37" i="78"/>
  <c r="BM37" i="78" s="1"/>
  <c r="BH37" i="78"/>
  <c r="BL37" i="78" s="1"/>
  <c r="BG37" i="78"/>
  <c r="BE37" i="78"/>
  <c r="BD37" i="78"/>
  <c r="BC37" i="78"/>
  <c r="BB37" i="78"/>
  <c r="BA37" i="78"/>
  <c r="AZ37" i="78"/>
  <c r="AY37" i="78"/>
  <c r="AX37" i="78"/>
  <c r="AW37" i="78"/>
  <c r="AU37" i="78"/>
  <c r="AT37" i="78"/>
  <c r="AS37" i="78"/>
  <c r="AR37" i="78"/>
  <c r="AV37" i="78" s="1"/>
  <c r="AQ37" i="78"/>
  <c r="AP37" i="78"/>
  <c r="AO37" i="78"/>
  <c r="AL37" i="78"/>
  <c r="AJ37" i="78"/>
  <c r="AI37" i="78"/>
  <c r="AH37" i="78"/>
  <c r="AN37" i="78" s="1"/>
  <c r="AG37" i="78"/>
  <c r="G37" i="78"/>
  <c r="C37" i="78"/>
  <c r="B37" i="78"/>
  <c r="BN36" i="78"/>
  <c r="BK36" i="78"/>
  <c r="I36" i="78" s="1"/>
  <c r="BJ36" i="78"/>
  <c r="H36" i="78" s="1"/>
  <c r="BF36" i="78" s="1"/>
  <c r="BI36" i="78"/>
  <c r="AK36" i="78" s="1"/>
  <c r="AM36" i="78" s="1"/>
  <c r="BH36" i="78"/>
  <c r="BG36" i="78"/>
  <c r="BE36" i="78"/>
  <c r="BD36" i="78"/>
  <c r="BC36" i="78"/>
  <c r="BB36" i="78"/>
  <c r="BA36" i="78"/>
  <c r="AZ36" i="78"/>
  <c r="AY36" i="78"/>
  <c r="AX36" i="78"/>
  <c r="AW36" i="78"/>
  <c r="AU36" i="78"/>
  <c r="AT36" i="78"/>
  <c r="AS36" i="78"/>
  <c r="AR36" i="78"/>
  <c r="AV36" i="78" s="1"/>
  <c r="AQ36" i="78"/>
  <c r="AP36" i="78"/>
  <c r="AO36" i="78"/>
  <c r="AL36" i="78"/>
  <c r="AJ36" i="78"/>
  <c r="AI36" i="78"/>
  <c r="AH36" i="78"/>
  <c r="AN36" i="78" s="1"/>
  <c r="AG36" i="78"/>
  <c r="G36" i="78"/>
  <c r="C36" i="78"/>
  <c r="B36" i="78"/>
  <c r="BN35" i="78"/>
  <c r="BK35" i="78"/>
  <c r="I35" i="78" s="1"/>
  <c r="BJ35" i="78"/>
  <c r="H35" i="78" s="1"/>
  <c r="BF35" i="78" s="1"/>
  <c r="BI35" i="78"/>
  <c r="AK35" i="78" s="1"/>
  <c r="AM35" i="78" s="1"/>
  <c r="BH35" i="78"/>
  <c r="G35" i="78" s="1"/>
  <c r="BG35" i="78"/>
  <c r="BE35" i="78"/>
  <c r="BD35" i="78"/>
  <c r="BC35" i="78"/>
  <c r="BB35" i="78"/>
  <c r="BA35" i="78"/>
  <c r="AZ35" i="78"/>
  <c r="AY35" i="78"/>
  <c r="AX35" i="78"/>
  <c r="AW35" i="78"/>
  <c r="AU35" i="78"/>
  <c r="AT35" i="78"/>
  <c r="AS35" i="78"/>
  <c r="AR35" i="78"/>
  <c r="AV35" i="78" s="1"/>
  <c r="AQ35" i="78"/>
  <c r="AP35" i="78"/>
  <c r="AO35" i="78"/>
  <c r="AL35" i="78"/>
  <c r="AJ35" i="78"/>
  <c r="AI35" i="78"/>
  <c r="AH35" i="78"/>
  <c r="AN35" i="78" s="1"/>
  <c r="AG35" i="78"/>
  <c r="C35" i="78"/>
  <c r="B35" i="78"/>
  <c r="BN34" i="78"/>
  <c r="BK34" i="78"/>
  <c r="I34" i="78" s="1"/>
  <c r="BJ34" i="78"/>
  <c r="H34" i="78" s="1"/>
  <c r="BF34" i="78" s="1"/>
  <c r="BI34" i="78"/>
  <c r="AK34" i="78" s="1"/>
  <c r="AM34" i="78" s="1"/>
  <c r="BH34" i="78"/>
  <c r="G34" i="78" s="1"/>
  <c r="BG34" i="78"/>
  <c r="BE34" i="78"/>
  <c r="BD34" i="78"/>
  <c r="BC34" i="78"/>
  <c r="BB34" i="78"/>
  <c r="BA34" i="78"/>
  <c r="AZ34" i="78"/>
  <c r="AY34" i="78"/>
  <c r="AX34" i="78"/>
  <c r="AW34" i="78"/>
  <c r="AU34" i="78"/>
  <c r="AT34" i="78"/>
  <c r="AS34" i="78"/>
  <c r="AR34" i="78"/>
  <c r="AV34" i="78" s="1"/>
  <c r="AQ34" i="78"/>
  <c r="AP34" i="78"/>
  <c r="AO34" i="78"/>
  <c r="AL34" i="78"/>
  <c r="AJ34" i="78"/>
  <c r="AI34" i="78"/>
  <c r="AH34" i="78"/>
  <c r="AN34" i="78" s="1"/>
  <c r="AG34" i="78"/>
  <c r="C34" i="78"/>
  <c r="B34" i="78"/>
  <c r="BN33" i="78"/>
  <c r="BK33" i="78"/>
  <c r="I33" i="78" s="1"/>
  <c r="BJ33" i="78"/>
  <c r="H33" i="78" s="1"/>
  <c r="BF33" i="78" s="1"/>
  <c r="BI33" i="78"/>
  <c r="BM33" i="78" s="1"/>
  <c r="BH33" i="78"/>
  <c r="BL33" i="78" s="1"/>
  <c r="BG33" i="78"/>
  <c r="BE33" i="78"/>
  <c r="BD33" i="78"/>
  <c r="BC33" i="78"/>
  <c r="BB33" i="78"/>
  <c r="BA33" i="78"/>
  <c r="AZ33" i="78"/>
  <c r="AY33" i="78"/>
  <c r="AX33" i="78"/>
  <c r="AW33" i="78"/>
  <c r="AU33" i="78"/>
  <c r="AT33" i="78"/>
  <c r="AS33" i="78"/>
  <c r="AR33" i="78"/>
  <c r="AV33" i="78" s="1"/>
  <c r="AQ33" i="78"/>
  <c r="AP33" i="78"/>
  <c r="AO33" i="78"/>
  <c r="AL33" i="78"/>
  <c r="AJ33" i="78"/>
  <c r="AI33" i="78"/>
  <c r="AH33" i="78"/>
  <c r="AN33" i="78" s="1"/>
  <c r="AG33" i="78"/>
  <c r="G33" i="78"/>
  <c r="C33" i="78"/>
  <c r="B33" i="78"/>
  <c r="BN32" i="78"/>
  <c r="BK32" i="78"/>
  <c r="I32" i="78" s="1"/>
  <c r="BJ32" i="78"/>
  <c r="H32" i="78" s="1"/>
  <c r="BF32" i="78" s="1"/>
  <c r="BI32" i="78"/>
  <c r="AK32" i="78" s="1"/>
  <c r="AM32" i="78" s="1"/>
  <c r="BH32" i="78"/>
  <c r="BG32" i="78"/>
  <c r="BE32" i="78"/>
  <c r="BD32" i="78"/>
  <c r="BC32" i="78"/>
  <c r="BB32" i="78"/>
  <c r="BA32" i="78"/>
  <c r="AZ32" i="78"/>
  <c r="AY32" i="78"/>
  <c r="AX32" i="78"/>
  <c r="AW32" i="78"/>
  <c r="AU32" i="78"/>
  <c r="AT32" i="78"/>
  <c r="AS32" i="78"/>
  <c r="AR32" i="78"/>
  <c r="AV32" i="78" s="1"/>
  <c r="AQ32" i="78"/>
  <c r="AP32" i="78"/>
  <c r="AO32" i="78"/>
  <c r="AL32" i="78"/>
  <c r="AJ32" i="78"/>
  <c r="AI32" i="78"/>
  <c r="AH32" i="78"/>
  <c r="AN32" i="78" s="1"/>
  <c r="AG32" i="78"/>
  <c r="G32" i="78"/>
  <c r="C32" i="78"/>
  <c r="B32" i="78"/>
  <c r="BN31" i="78"/>
  <c r="BK31" i="78"/>
  <c r="I31" i="78" s="1"/>
  <c r="BJ31" i="78"/>
  <c r="H31" i="78" s="1"/>
  <c r="BF31" i="78" s="1"/>
  <c r="BI31" i="78"/>
  <c r="AK31" i="78" s="1"/>
  <c r="AM31" i="78" s="1"/>
  <c r="BH31" i="78"/>
  <c r="G31" i="78" s="1"/>
  <c r="BG31" i="78"/>
  <c r="BE31" i="78"/>
  <c r="BD31" i="78"/>
  <c r="BC31" i="78"/>
  <c r="BB31" i="78"/>
  <c r="BA31" i="78"/>
  <c r="AZ31" i="78"/>
  <c r="AY31" i="78"/>
  <c r="AX31" i="78"/>
  <c r="AW31" i="78"/>
  <c r="AU31" i="78"/>
  <c r="AT31" i="78"/>
  <c r="AS31" i="78"/>
  <c r="AR31" i="78"/>
  <c r="AV31" i="78" s="1"/>
  <c r="AQ31" i="78"/>
  <c r="AP31" i="78"/>
  <c r="AO31" i="78"/>
  <c r="AL31" i="78"/>
  <c r="AJ31" i="78"/>
  <c r="AI31" i="78"/>
  <c r="AH31" i="78"/>
  <c r="AN31" i="78" s="1"/>
  <c r="AG31" i="78"/>
  <c r="C31" i="78"/>
  <c r="B31" i="78"/>
  <c r="BN30" i="78"/>
  <c r="BK30" i="78"/>
  <c r="I30" i="78" s="1"/>
  <c r="BJ30" i="78"/>
  <c r="H30" i="78" s="1"/>
  <c r="BF30" i="78" s="1"/>
  <c r="BI30" i="78"/>
  <c r="AK30" i="78" s="1"/>
  <c r="AM30" i="78" s="1"/>
  <c r="BH30" i="78"/>
  <c r="G30" i="78" s="1"/>
  <c r="BG30" i="78"/>
  <c r="BE30" i="78"/>
  <c r="BD30" i="78"/>
  <c r="BC30" i="78"/>
  <c r="BB30" i="78"/>
  <c r="BA30" i="78"/>
  <c r="AZ30" i="78"/>
  <c r="AY30" i="78"/>
  <c r="AX30" i="78"/>
  <c r="AW30" i="78"/>
  <c r="AU30" i="78"/>
  <c r="AT30" i="78"/>
  <c r="AS30" i="78"/>
  <c r="AR30" i="78"/>
  <c r="AV30" i="78" s="1"/>
  <c r="AQ30" i="78"/>
  <c r="AP30" i="78"/>
  <c r="AO30" i="78"/>
  <c r="AL30" i="78"/>
  <c r="AJ30" i="78"/>
  <c r="AI30" i="78"/>
  <c r="AH30" i="78"/>
  <c r="AN30" i="78" s="1"/>
  <c r="AG30" i="78"/>
  <c r="C30" i="78"/>
  <c r="B30" i="78"/>
  <c r="BU29" i="78"/>
  <c r="BT29" i="78"/>
  <c r="BS29" i="78"/>
  <c r="BR29" i="78"/>
  <c r="BQ29" i="78"/>
  <c r="BN29" i="78"/>
  <c r="BL29" i="78"/>
  <c r="BK29" i="78"/>
  <c r="I29" i="78" s="1"/>
  <c r="BJ29" i="78"/>
  <c r="H29" i="78" s="1"/>
  <c r="BF29" i="78" s="1"/>
  <c r="BI29" i="78"/>
  <c r="BM29" i="78" s="1"/>
  <c r="BH29" i="78"/>
  <c r="BG29" i="78"/>
  <c r="BE29" i="78"/>
  <c r="BD29" i="78"/>
  <c r="BC29" i="78"/>
  <c r="BB29" i="78"/>
  <c r="BA29" i="78"/>
  <c r="AZ29" i="78"/>
  <c r="AY29" i="78"/>
  <c r="AX29" i="78"/>
  <c r="AW29" i="78"/>
  <c r="AU29" i="78"/>
  <c r="AT29" i="78"/>
  <c r="AS29" i="78"/>
  <c r="AR29" i="78"/>
  <c r="AV29" i="78" s="1"/>
  <c r="AQ29" i="78"/>
  <c r="AP29" i="78"/>
  <c r="AO29" i="78"/>
  <c r="AL29" i="78"/>
  <c r="AJ29" i="78"/>
  <c r="AI29" i="78"/>
  <c r="AH29" i="78"/>
  <c r="AN29" i="78" s="1"/>
  <c r="AG29" i="78"/>
  <c r="G29" i="78"/>
  <c r="C29" i="78"/>
  <c r="B29" i="78"/>
  <c r="BU28" i="78"/>
  <c r="BT28" i="78"/>
  <c r="BS28" i="78"/>
  <c r="BR28" i="78"/>
  <c r="BQ28" i="78"/>
  <c r="BN28" i="78"/>
  <c r="BL28" i="78"/>
  <c r="BK28" i="78"/>
  <c r="I28" i="78" s="1"/>
  <c r="BJ28" i="78"/>
  <c r="H28" i="78" s="1"/>
  <c r="BF28" i="78" s="1"/>
  <c r="BI28" i="78"/>
  <c r="BM28" i="78" s="1"/>
  <c r="BH28" i="78"/>
  <c r="BG28" i="78"/>
  <c r="BE28" i="78"/>
  <c r="BD28" i="78"/>
  <c r="BC28" i="78"/>
  <c r="BB28" i="78"/>
  <c r="BA28" i="78"/>
  <c r="AZ28" i="78"/>
  <c r="AY28" i="78"/>
  <c r="AX28" i="78"/>
  <c r="AW28" i="78"/>
  <c r="AU28" i="78"/>
  <c r="AT28" i="78"/>
  <c r="AS28" i="78"/>
  <c r="AR28" i="78"/>
  <c r="AV28" i="78" s="1"/>
  <c r="AQ28" i="78"/>
  <c r="AP28" i="78"/>
  <c r="AO28" i="78"/>
  <c r="AL28" i="78"/>
  <c r="AJ28" i="78"/>
  <c r="AI28" i="78"/>
  <c r="AH28" i="78"/>
  <c r="AN28" i="78" s="1"/>
  <c r="AG28" i="78"/>
  <c r="G28" i="78"/>
  <c r="C28" i="78"/>
  <c r="B28" i="78"/>
  <c r="BU27" i="78"/>
  <c r="BT27" i="78"/>
  <c r="BS27" i="78"/>
  <c r="BR27" i="78"/>
  <c r="BQ27" i="78"/>
  <c r="BN27" i="78"/>
  <c r="BK27" i="78"/>
  <c r="I27" i="78" s="1"/>
  <c r="BJ27" i="78"/>
  <c r="H27" i="78" s="1"/>
  <c r="BF27" i="78" s="1"/>
  <c r="BI27" i="78"/>
  <c r="AK27" i="78" s="1"/>
  <c r="AM27" i="78" s="1"/>
  <c r="BH27" i="78"/>
  <c r="G27" i="78" s="1"/>
  <c r="BG27" i="78"/>
  <c r="BE27" i="78"/>
  <c r="BD27" i="78"/>
  <c r="BC27" i="78"/>
  <c r="BB27" i="78"/>
  <c r="BA27" i="78"/>
  <c r="AZ27" i="78"/>
  <c r="AY27" i="78"/>
  <c r="AX27" i="78"/>
  <c r="AW27" i="78"/>
  <c r="AU27" i="78"/>
  <c r="AT27" i="78"/>
  <c r="AS27" i="78"/>
  <c r="AR27" i="78"/>
  <c r="AV27" i="78" s="1"/>
  <c r="AQ27" i="78"/>
  <c r="AP27" i="78"/>
  <c r="AO27" i="78"/>
  <c r="AL27" i="78"/>
  <c r="AJ27" i="78"/>
  <c r="AI27" i="78"/>
  <c r="AH27" i="78"/>
  <c r="AN27" i="78" s="1"/>
  <c r="AG27" i="78"/>
  <c r="C27" i="78"/>
  <c r="B27" i="78"/>
  <c r="BU26" i="78"/>
  <c r="BT26" i="78"/>
  <c r="BS26" i="78"/>
  <c r="BR26" i="78"/>
  <c r="BQ26" i="78"/>
  <c r="BN26" i="78"/>
  <c r="BL26" i="78"/>
  <c r="BK26" i="78"/>
  <c r="I26" i="78" s="1"/>
  <c r="BJ26" i="78"/>
  <c r="H26" i="78" s="1"/>
  <c r="BF26" i="78" s="1"/>
  <c r="BI26" i="78"/>
  <c r="BM26" i="78" s="1"/>
  <c r="BH26" i="78"/>
  <c r="BG26" i="78"/>
  <c r="BE26" i="78"/>
  <c r="BD26" i="78"/>
  <c r="BC26" i="78"/>
  <c r="BB26" i="78"/>
  <c r="BA26" i="78"/>
  <c r="AZ26" i="78"/>
  <c r="AY26" i="78"/>
  <c r="AX26" i="78"/>
  <c r="AW26" i="78"/>
  <c r="AU26" i="78"/>
  <c r="AT26" i="78"/>
  <c r="AS26" i="78"/>
  <c r="AR26" i="78"/>
  <c r="AV26" i="78" s="1"/>
  <c r="AQ26" i="78"/>
  <c r="AP26" i="78"/>
  <c r="AO26" i="78"/>
  <c r="AL26" i="78"/>
  <c r="AJ26" i="78"/>
  <c r="AI26" i="78"/>
  <c r="AH26" i="78"/>
  <c r="AN26" i="78" s="1"/>
  <c r="AG26" i="78"/>
  <c r="G26" i="78"/>
  <c r="C26" i="78"/>
  <c r="B26" i="78"/>
  <c r="BU25" i="78"/>
  <c r="BT25" i="78"/>
  <c r="BS25" i="78"/>
  <c r="BR25" i="78"/>
  <c r="BQ25" i="78"/>
  <c r="BL25" i="78"/>
  <c r="BK25" i="78"/>
  <c r="I25" i="78" s="1"/>
  <c r="BH25" i="78"/>
  <c r="BE25" i="78"/>
  <c r="BD25" i="78"/>
  <c r="BC25" i="78"/>
  <c r="AY25" i="78"/>
  <c r="AU25" i="78"/>
  <c r="AS25" i="78"/>
  <c r="AQ25" i="78"/>
  <c r="AI25" i="78" s="1"/>
  <c r="C25" i="78" s="1"/>
  <c r="AO25" i="78"/>
  <c r="AL25" i="78"/>
  <c r="AH25" i="78"/>
  <c r="AN25" i="78" s="1"/>
  <c r="AG25" i="78"/>
  <c r="G25" i="78"/>
  <c r="BB25" i="78" s="1"/>
  <c r="BU24" i="78"/>
  <c r="BT24" i="78"/>
  <c r="BS24" i="78"/>
  <c r="BR24" i="78"/>
  <c r="BQ24" i="78"/>
  <c r="BH24" i="78"/>
  <c r="BE24" i="78"/>
  <c r="BD24" i="78"/>
  <c r="BC24" i="78"/>
  <c r="AU24" i="78"/>
  <c r="AS24" i="78"/>
  <c r="AQ24" i="78"/>
  <c r="AI24" i="78" s="1"/>
  <c r="C24" i="78" s="1"/>
  <c r="AO24" i="78"/>
  <c r="AL24" i="78"/>
  <c r="AH24" i="78"/>
  <c r="AN24" i="78" s="1"/>
  <c r="AG24" i="78"/>
  <c r="BU23" i="78"/>
  <c r="BT23" i="78"/>
  <c r="BS23" i="78"/>
  <c r="BR23" i="78"/>
  <c r="BQ23" i="78"/>
  <c r="BL23" i="78"/>
  <c r="BK23" i="78"/>
  <c r="I23" i="78" s="1"/>
  <c r="BI23" i="78"/>
  <c r="AK23" i="78" s="1"/>
  <c r="AT23" i="78" s="1"/>
  <c r="BH23" i="78"/>
  <c r="BE23" i="78"/>
  <c r="BD23" i="78"/>
  <c r="BC23" i="78"/>
  <c r="AY23" i="78"/>
  <c r="AW23" i="78"/>
  <c r="AU23" i="78"/>
  <c r="AS23" i="78"/>
  <c r="AQ23" i="78"/>
  <c r="AO23" i="78"/>
  <c r="AL23" i="78"/>
  <c r="AH23" i="78"/>
  <c r="AN23" i="78" s="1"/>
  <c r="AG23" i="78"/>
  <c r="G23" i="78"/>
  <c r="BB23" i="78" s="1"/>
  <c r="BU22" i="78"/>
  <c r="BT22" i="78"/>
  <c r="BS22" i="78"/>
  <c r="BR22" i="78"/>
  <c r="BQ22" i="78"/>
  <c r="BL22" i="78"/>
  <c r="BK22" i="78"/>
  <c r="I22" i="78" s="1"/>
  <c r="BH22" i="78"/>
  <c r="BE22" i="78"/>
  <c r="BD22" i="78"/>
  <c r="BC22" i="78"/>
  <c r="AY22" i="78"/>
  <c r="AU22" i="78"/>
  <c r="AS22" i="78"/>
  <c r="AQ22" i="78"/>
  <c r="AI22" i="78" s="1"/>
  <c r="C22" i="78" s="1"/>
  <c r="AO22" i="78"/>
  <c r="AL22" i="78"/>
  <c r="AH22" i="78"/>
  <c r="AN22" i="78" s="1"/>
  <c r="AG22" i="78"/>
  <c r="G22" i="78"/>
  <c r="BB22" i="78" s="1"/>
  <c r="BU21" i="78"/>
  <c r="BT21" i="78"/>
  <c r="BS21" i="78"/>
  <c r="BR21" i="78"/>
  <c r="BQ21" i="78"/>
  <c r="BJ21" i="78"/>
  <c r="H21" i="78" s="1"/>
  <c r="BF21" i="78" s="1"/>
  <c r="BH21" i="78"/>
  <c r="BE21" i="78"/>
  <c r="BD21" i="78"/>
  <c r="BC21" i="78"/>
  <c r="AU21" i="78"/>
  <c r="AS21" i="78"/>
  <c r="AQ21" i="78"/>
  <c r="AO21" i="78"/>
  <c r="AL21" i="78"/>
  <c r="AH21" i="78"/>
  <c r="AN21" i="78" s="1"/>
  <c r="AG21" i="78"/>
  <c r="B21" i="78"/>
  <c r="BH20" i="78"/>
  <c r="BL20" i="78" s="1"/>
  <c r="BE20" i="78"/>
  <c r="BD20" i="78"/>
  <c r="BC20" i="78"/>
  <c r="AU20" i="78"/>
  <c r="AS20" i="78"/>
  <c r="AQ20" i="78"/>
  <c r="AO20" i="78"/>
  <c r="AL20" i="78"/>
  <c r="AH20" i="78"/>
  <c r="AN20" i="78" s="1"/>
  <c r="AG20" i="78"/>
  <c r="G20" i="78"/>
  <c r="BB20" i="78" s="1"/>
  <c r="BI19" i="78"/>
  <c r="AK19" i="78" s="1"/>
  <c r="AR19" i="78" s="1"/>
  <c r="AV19" i="78" s="1"/>
  <c r="BH19" i="78"/>
  <c r="BE19" i="78"/>
  <c r="BD19" i="78"/>
  <c r="BC19" i="78"/>
  <c r="AW19" i="78"/>
  <c r="AU19" i="78"/>
  <c r="AS19" i="78"/>
  <c r="AQ19" i="78"/>
  <c r="AO19" i="78"/>
  <c r="AL19" i="78"/>
  <c r="AH19" i="78"/>
  <c r="AN19" i="78" s="1"/>
  <c r="AG19" i="78"/>
  <c r="G19" i="78"/>
  <c r="BB19" i="78" s="1"/>
  <c r="BL18" i="78"/>
  <c r="BH18" i="78"/>
  <c r="BE18" i="78"/>
  <c r="BD18" i="78"/>
  <c r="BC18" i="78"/>
  <c r="AU18" i="78"/>
  <c r="AS18" i="78"/>
  <c r="AQ18" i="78"/>
  <c r="AI18" i="78" s="1"/>
  <c r="C18" i="78" s="1"/>
  <c r="AO18" i="78"/>
  <c r="AL18" i="78"/>
  <c r="AH18" i="78"/>
  <c r="AN18" i="78" s="1"/>
  <c r="AG18" i="78"/>
  <c r="BH17" i="78"/>
  <c r="BE17" i="78"/>
  <c r="BD17" i="78"/>
  <c r="BC17" i="78"/>
  <c r="AU17" i="78"/>
  <c r="AS17" i="78"/>
  <c r="AQ17" i="78"/>
  <c r="AI17" i="78" s="1"/>
  <c r="C17" i="78" s="1"/>
  <c r="AO17" i="78"/>
  <c r="AL17" i="78"/>
  <c r="AH17" i="78"/>
  <c r="AN17" i="78" s="1"/>
  <c r="AG17" i="78"/>
  <c r="BJ16" i="78"/>
  <c r="H16" i="78" s="1"/>
  <c r="BF16" i="78" s="1"/>
  <c r="BH16" i="78"/>
  <c r="BL16" i="78" s="1"/>
  <c r="BE16" i="78"/>
  <c r="BD16" i="78"/>
  <c r="BC16" i="78"/>
  <c r="AU16" i="78"/>
  <c r="AS16" i="78"/>
  <c r="AQ16" i="78"/>
  <c r="AO16" i="78"/>
  <c r="AL16" i="78"/>
  <c r="AH16" i="78"/>
  <c r="AN16" i="78" s="1"/>
  <c r="AG16" i="78"/>
  <c r="G16" i="78"/>
  <c r="BB16" i="78" s="1"/>
  <c r="B16" i="78"/>
  <c r="BJ15" i="78"/>
  <c r="H15" i="78" s="1"/>
  <c r="BF15" i="78" s="1"/>
  <c r="BI15" i="78"/>
  <c r="AK15" i="78" s="1"/>
  <c r="AR15" i="78" s="1"/>
  <c r="AV15" i="78" s="1"/>
  <c r="BH15" i="78"/>
  <c r="BE15" i="78"/>
  <c r="BD15" i="78"/>
  <c r="BC15" i="78"/>
  <c r="AW15" i="78"/>
  <c r="AU15" i="78"/>
  <c r="AS15" i="78"/>
  <c r="AQ15" i="78"/>
  <c r="AO15" i="78"/>
  <c r="AL15" i="78"/>
  <c r="AH15" i="78"/>
  <c r="AN15" i="78" s="1"/>
  <c r="AG15" i="78"/>
  <c r="G15" i="78"/>
  <c r="BB15" i="78" s="1"/>
  <c r="B15" i="78"/>
  <c r="BL14" i="78"/>
  <c r="BH14" i="78"/>
  <c r="BE14" i="78"/>
  <c r="BD14" i="78"/>
  <c r="BC14" i="78"/>
  <c r="AU14" i="78"/>
  <c r="AS14" i="78"/>
  <c r="AQ14" i="78"/>
  <c r="AI14" i="78" s="1"/>
  <c r="C14" i="78" s="1"/>
  <c r="AL14" i="78"/>
  <c r="AH14" i="78"/>
  <c r="AN14" i="78" s="1"/>
  <c r="AG14" i="78"/>
  <c r="BH13" i="78"/>
  <c r="BE13" i="78"/>
  <c r="BD13" i="78"/>
  <c r="BC13" i="78"/>
  <c r="AU13" i="78"/>
  <c r="AS13" i="78"/>
  <c r="AQ13" i="78"/>
  <c r="AI13" i="78" s="1"/>
  <c r="C13" i="78" s="1"/>
  <c r="AL13" i="78"/>
  <c r="AH13" i="78"/>
  <c r="AN13" i="78" s="1"/>
  <c r="AG13" i="78"/>
  <c r="BH12" i="78"/>
  <c r="BL12" i="78" s="1"/>
  <c r="BE12" i="78"/>
  <c r="BD12" i="78"/>
  <c r="BC12" i="78"/>
  <c r="AU12" i="78"/>
  <c r="AS12" i="78"/>
  <c r="AI12" i="78" s="1"/>
  <c r="C12" i="78" s="1"/>
  <c r="AQ12" i="78"/>
  <c r="AL12" i="78"/>
  <c r="AH12" i="78"/>
  <c r="AN12" i="78" s="1"/>
  <c r="AG12" i="78"/>
  <c r="G12" i="78"/>
  <c r="BB12" i="78" s="1"/>
  <c r="BH11" i="78"/>
  <c r="BE11" i="78"/>
  <c r="BD11" i="78"/>
  <c r="BC11" i="78"/>
  <c r="AW11" i="78"/>
  <c r="AU11" i="78"/>
  <c r="AS11" i="78"/>
  <c r="AI11" i="78" s="1"/>
  <c r="C11" i="78" s="1"/>
  <c r="AQ11" i="78"/>
  <c r="AL11" i="78"/>
  <c r="AH11" i="78"/>
  <c r="AN11" i="78" s="1"/>
  <c r="AG11" i="78"/>
  <c r="G11" i="78"/>
  <c r="BB11" i="78" s="1"/>
  <c r="BL10" i="78"/>
  <c r="BH10" i="78"/>
  <c r="BE10" i="78"/>
  <c r="BD10" i="78"/>
  <c r="BC10" i="78"/>
  <c r="AU10" i="78"/>
  <c r="AS10" i="78"/>
  <c r="AQ10" i="78"/>
  <c r="AI10" i="78" s="1"/>
  <c r="C10" i="78" s="1"/>
  <c r="AL10" i="78"/>
  <c r="AH10" i="78"/>
  <c r="AN10" i="78" s="1"/>
  <c r="AG10" i="78"/>
  <c r="B10" i="78"/>
  <c r="BJ9" i="78"/>
  <c r="H9" i="78" s="1"/>
  <c r="BF9" i="78" s="1"/>
  <c r="BH9" i="78"/>
  <c r="BE9" i="78"/>
  <c r="BD9" i="78"/>
  <c r="BC9" i="78"/>
  <c r="BC4" i="78" s="1"/>
  <c r="AU9" i="78"/>
  <c r="AV43" i="78" s="1"/>
  <c r="AS9" i="78"/>
  <c r="AQ9" i="78"/>
  <c r="AQ41" i="78" s="1"/>
  <c r="AL9" i="78"/>
  <c r="AJ9" i="78"/>
  <c r="AJ10" i="78" s="1"/>
  <c r="AJ11" i="78" s="1"/>
  <c r="AJ12" i="78" s="1"/>
  <c r="AJ13" i="78" s="1"/>
  <c r="AJ14" i="78" s="1"/>
  <c r="AJ15" i="78" s="1"/>
  <c r="AH9" i="78"/>
  <c r="AN9" i="78" s="1"/>
  <c r="AG9" i="78"/>
  <c r="B9" i="78"/>
  <c r="BJ8" i="78"/>
  <c r="H8" i="78" s="1"/>
  <c r="BF8" i="78" s="1"/>
  <c r="BH8" i="78"/>
  <c r="BL8" i="78" s="1"/>
  <c r="BE8" i="78"/>
  <c r="BD8" i="78"/>
  <c r="BD4" i="78" s="1"/>
  <c r="BC8" i="78"/>
  <c r="AU8" i="78"/>
  <c r="AS8" i="78"/>
  <c r="AS41" i="78" s="1"/>
  <c r="AQ8" i="78"/>
  <c r="AL8" i="78"/>
  <c r="AJ8" i="78"/>
  <c r="AH8" i="78"/>
  <c r="AN8" i="78" s="1"/>
  <c r="AG8" i="78"/>
  <c r="G8" i="78"/>
  <c r="BB8" i="78" s="1"/>
  <c r="B8" i="78"/>
  <c r="AV6" i="78"/>
  <c r="AK28" i="78" l="1"/>
  <c r="AM28" i="78" s="1"/>
  <c r="BM39" i="80"/>
  <c r="AK37" i="80"/>
  <c r="AM37" i="80" s="1"/>
  <c r="AN20" i="80"/>
  <c r="AK33" i="80"/>
  <c r="AM33" i="80" s="1"/>
  <c r="BM31" i="80"/>
  <c r="BE4" i="80"/>
  <c r="BM32" i="80"/>
  <c r="BM35" i="80"/>
  <c r="AK29" i="78"/>
  <c r="AM29" i="78" s="1"/>
  <c r="AN16" i="80"/>
  <c r="AK36" i="80"/>
  <c r="AM36" i="80" s="1"/>
  <c r="AV44" i="78"/>
  <c r="AV44" i="80"/>
  <c r="AN12" i="80"/>
  <c r="AK37" i="78"/>
  <c r="AM37" i="78" s="1"/>
  <c r="E41" i="80"/>
  <c r="AV41" i="80"/>
  <c r="Q5" i="80"/>
  <c r="AI25" i="80"/>
  <c r="C25" i="80" s="1"/>
  <c r="AI10" i="80"/>
  <c r="C10" i="80" s="1"/>
  <c r="AI13" i="80"/>
  <c r="C13" i="80" s="1"/>
  <c r="AI9" i="80"/>
  <c r="C9" i="80" s="1"/>
  <c r="AR44" i="80"/>
  <c r="AI26" i="80" s="1"/>
  <c r="C26" i="80" s="1"/>
  <c r="AJ15" i="80"/>
  <c r="BE4" i="78"/>
  <c r="B9" i="80"/>
  <c r="BL9" i="80"/>
  <c r="AW10" i="80"/>
  <c r="BI10" i="80"/>
  <c r="AZ10" i="80" s="1"/>
  <c r="BL13" i="80"/>
  <c r="AW14" i="80"/>
  <c r="BI14" i="80"/>
  <c r="AZ14" i="80" s="1"/>
  <c r="BL17" i="80"/>
  <c r="AW18" i="80"/>
  <c r="BI18" i="80"/>
  <c r="AZ18" i="80" s="1"/>
  <c r="BL21" i="80"/>
  <c r="BL24" i="80"/>
  <c r="BL27" i="80"/>
  <c r="BL30" i="80"/>
  <c r="BL34" i="80"/>
  <c r="BL38" i="80"/>
  <c r="AX10" i="80"/>
  <c r="AX14" i="80"/>
  <c r="AW23" i="80"/>
  <c r="BI23" i="80"/>
  <c r="AW26" i="80"/>
  <c r="BI26" i="80"/>
  <c r="AZ26" i="80" s="1"/>
  <c r="AW29" i="80"/>
  <c r="BI29" i="80"/>
  <c r="AZ29" i="80" s="1"/>
  <c r="BM34" i="80"/>
  <c r="BM38" i="80"/>
  <c r="G9" i="80"/>
  <c r="AY10" i="80"/>
  <c r="BK10" i="80"/>
  <c r="I10" i="80" s="1"/>
  <c r="G13" i="80"/>
  <c r="AY14" i="80"/>
  <c r="BK14" i="80"/>
  <c r="I14" i="80" s="1"/>
  <c r="G17" i="80"/>
  <c r="AY18" i="80"/>
  <c r="BK18" i="80"/>
  <c r="I18" i="80" s="1"/>
  <c r="G21" i="80"/>
  <c r="G24" i="80"/>
  <c r="G27" i="80"/>
  <c r="AX29" i="80"/>
  <c r="G30" i="80"/>
  <c r="B10" i="80"/>
  <c r="AW11" i="80"/>
  <c r="BI11" i="80"/>
  <c r="BL14" i="80"/>
  <c r="AW15" i="80"/>
  <c r="BI15" i="80"/>
  <c r="AZ15" i="80" s="1"/>
  <c r="BL18" i="80"/>
  <c r="AW19" i="80"/>
  <c r="BI19" i="80"/>
  <c r="AY23" i="80"/>
  <c r="BK23" i="80"/>
  <c r="I23" i="80" s="1"/>
  <c r="AY26" i="80"/>
  <c r="BK26" i="80"/>
  <c r="I26" i="80" s="1"/>
  <c r="AY29" i="80"/>
  <c r="BK29" i="80"/>
  <c r="I29" i="80" s="1"/>
  <c r="BL31" i="80"/>
  <c r="BL35" i="80"/>
  <c r="BL39" i="80"/>
  <c r="BA10" i="80"/>
  <c r="AX11" i="80"/>
  <c r="BA14" i="80"/>
  <c r="AX15" i="80"/>
  <c r="BA18" i="80"/>
  <c r="AX19" i="80"/>
  <c r="AY11" i="80"/>
  <c r="BK11" i="80"/>
  <c r="I11" i="80" s="1"/>
  <c r="AY15" i="80"/>
  <c r="BK15" i="80"/>
  <c r="I15" i="80" s="1"/>
  <c r="AY19" i="80"/>
  <c r="BK19" i="80"/>
  <c r="I19" i="80" s="1"/>
  <c r="AW22" i="80"/>
  <c r="BI22" i="80"/>
  <c r="AZ22" i="80" s="1"/>
  <c r="AW25" i="80"/>
  <c r="BI25" i="80"/>
  <c r="AZ25" i="80" s="1"/>
  <c r="AW28" i="80"/>
  <c r="BI28" i="80"/>
  <c r="AZ28" i="80" s="1"/>
  <c r="AX22" i="80"/>
  <c r="AX28" i="80"/>
  <c r="BA11" i="80"/>
  <c r="BA15" i="80"/>
  <c r="BA19" i="80"/>
  <c r="AY22" i="80"/>
  <c r="BK22" i="80"/>
  <c r="I22" i="80" s="1"/>
  <c r="AY25" i="80"/>
  <c r="BK25" i="80"/>
  <c r="I25" i="80" s="1"/>
  <c r="AY28" i="80"/>
  <c r="BK28" i="80"/>
  <c r="I28" i="80" s="1"/>
  <c r="BL8" i="80"/>
  <c r="BL12" i="80"/>
  <c r="BL16" i="80"/>
  <c r="BL20" i="80"/>
  <c r="BA22" i="80"/>
  <c r="BA25" i="80"/>
  <c r="BA28" i="80"/>
  <c r="BL33" i="80"/>
  <c r="BL37" i="80"/>
  <c r="BM19" i="78"/>
  <c r="G8" i="80"/>
  <c r="G12" i="80"/>
  <c r="G16" i="80"/>
  <c r="G20" i="80"/>
  <c r="AR23" i="78"/>
  <c r="AV23" i="78" s="1"/>
  <c r="BI11" i="78"/>
  <c r="AK11" i="78" s="1"/>
  <c r="AR11" i="78" s="1"/>
  <c r="AV11" i="78" s="1"/>
  <c r="AK26" i="78"/>
  <c r="AM26" i="78" s="1"/>
  <c r="BM15" i="78"/>
  <c r="BM32" i="78"/>
  <c r="AK33" i="78"/>
  <c r="AM33" i="78" s="1"/>
  <c r="BM36" i="78"/>
  <c r="AM23" i="78"/>
  <c r="BN23" i="78"/>
  <c r="AN6" i="78"/>
  <c r="AN41" i="78"/>
  <c r="AJ16" i="78"/>
  <c r="AI23" i="78"/>
  <c r="C23" i="78" s="1"/>
  <c r="AI20" i="78"/>
  <c r="C20" i="78" s="1"/>
  <c r="AI19" i="78"/>
  <c r="C19" i="78" s="1"/>
  <c r="BL9" i="78"/>
  <c r="BL13" i="78"/>
  <c r="AT15" i="78"/>
  <c r="BL17" i="78"/>
  <c r="AT19" i="78"/>
  <c r="BL21" i="78"/>
  <c r="BL24" i="78"/>
  <c r="BL27" i="78"/>
  <c r="BL30" i="78"/>
  <c r="BL34" i="78"/>
  <c r="BL38" i="78"/>
  <c r="BM27" i="78"/>
  <c r="BM30" i="78"/>
  <c r="BM34" i="78"/>
  <c r="BM38" i="78"/>
  <c r="G9" i="78"/>
  <c r="G13" i="78"/>
  <c r="G17" i="78"/>
  <c r="G21" i="78"/>
  <c r="AX23" i="78"/>
  <c r="BJ23" i="78"/>
  <c r="H23" i="78" s="1"/>
  <c r="BF23" i="78" s="1"/>
  <c r="G24" i="78"/>
  <c r="BL31" i="78"/>
  <c r="BL35" i="78"/>
  <c r="BL39" i="78"/>
  <c r="AX11" i="78"/>
  <c r="AX15" i="78"/>
  <c r="AX19" i="78"/>
  <c r="BJ19" i="78"/>
  <c r="H19" i="78" s="1"/>
  <c r="BF19" i="78" s="1"/>
  <c r="AZ23" i="78"/>
  <c r="BM31" i="78"/>
  <c r="BM35" i="78"/>
  <c r="BM39" i="78"/>
  <c r="G10" i="78"/>
  <c r="AY11" i="78"/>
  <c r="BK11" i="78"/>
  <c r="I11" i="78" s="1"/>
  <c r="G14" i="78"/>
  <c r="AM15" i="78"/>
  <c r="AP15" i="78" s="1"/>
  <c r="AY15" i="78"/>
  <c r="BK15" i="78"/>
  <c r="I15" i="78" s="1"/>
  <c r="G18" i="78"/>
  <c r="AM19" i="78"/>
  <c r="AY19" i="78"/>
  <c r="BK19" i="78"/>
  <c r="I19" i="78" s="1"/>
  <c r="AW22" i="78"/>
  <c r="BI22" i="78"/>
  <c r="BA23" i="78"/>
  <c r="BM23" i="78"/>
  <c r="AW25" i="78"/>
  <c r="BI25" i="78"/>
  <c r="AW8" i="78"/>
  <c r="BI8" i="78"/>
  <c r="AZ8" i="78" s="1"/>
  <c r="B11" i="78"/>
  <c r="BL11" i="78"/>
  <c r="AW12" i="78"/>
  <c r="BI12" i="78"/>
  <c r="AZ12" i="78" s="1"/>
  <c r="AZ15" i="78"/>
  <c r="BL15" i="78"/>
  <c r="AW16" i="78"/>
  <c r="BI16" i="78"/>
  <c r="AZ16" i="78" s="1"/>
  <c r="AZ19" i="78"/>
  <c r="BL19" i="78"/>
  <c r="AW20" i="78"/>
  <c r="BI20" i="78"/>
  <c r="AZ20" i="78" s="1"/>
  <c r="BL32" i="78"/>
  <c r="BL36" i="78"/>
  <c r="AX8" i="78"/>
  <c r="BA11" i="78"/>
  <c r="AX12" i="78"/>
  <c r="BA15" i="78"/>
  <c r="AX16" i="78"/>
  <c r="BA19" i="78"/>
  <c r="AU41" i="78"/>
  <c r="AY8" i="78"/>
  <c r="BK8" i="78"/>
  <c r="I8" i="78" s="1"/>
  <c r="AY12" i="78"/>
  <c r="BK12" i="78"/>
  <c r="I12" i="78" s="1"/>
  <c r="AY16" i="78"/>
  <c r="BK16" i="78"/>
  <c r="I16" i="78" s="1"/>
  <c r="AY20" i="78"/>
  <c r="BK20" i="78"/>
  <c r="I20" i="78" s="1"/>
  <c r="B12" i="78"/>
  <c r="BA22" i="78"/>
  <c r="BA25" i="78"/>
  <c r="BA8" i="78"/>
  <c r="BA12" i="78"/>
  <c r="BA16" i="78"/>
  <c r="BA20" i="78"/>
  <c r="U48" i="72"/>
  <c r="BE43" i="72"/>
  <c r="AT43" i="72"/>
  <c r="AT44" i="72" s="1"/>
  <c r="AR44" i="72" s="1"/>
  <c r="BN39" i="72"/>
  <c r="BL39" i="72"/>
  <c r="BK39" i="72"/>
  <c r="I39" i="72" s="1"/>
  <c r="BJ39" i="72"/>
  <c r="H39" i="72" s="1"/>
  <c r="BF39" i="72" s="1"/>
  <c r="BI39" i="72"/>
  <c r="AK39" i="72" s="1"/>
  <c r="AM39" i="72" s="1"/>
  <c r="BH39" i="72"/>
  <c r="BG39" i="72"/>
  <c r="BE39" i="72"/>
  <c r="BD39" i="72"/>
  <c r="BC39" i="72"/>
  <c r="BB39" i="72"/>
  <c r="BA39" i="72"/>
  <c r="AZ39" i="72"/>
  <c r="AY39" i="72"/>
  <c r="AX39" i="72"/>
  <c r="AW39" i="72"/>
  <c r="AU39" i="72"/>
  <c r="AT39" i="72"/>
  <c r="AS39" i="72"/>
  <c r="AR39" i="72"/>
  <c r="AV39" i="72" s="1"/>
  <c r="AQ39" i="72"/>
  <c r="AP39" i="72"/>
  <c r="AO39" i="72"/>
  <c r="AL39" i="72"/>
  <c r="AJ39" i="72"/>
  <c r="AI39" i="72"/>
  <c r="AH39" i="72"/>
  <c r="AN39" i="72" s="1"/>
  <c r="AG39" i="72"/>
  <c r="G39" i="72"/>
  <c r="C39" i="72"/>
  <c r="B39" i="72"/>
  <c r="BN38" i="72"/>
  <c r="BL38" i="72"/>
  <c r="BK38" i="72"/>
  <c r="I38" i="72" s="1"/>
  <c r="BJ38" i="72"/>
  <c r="H38" i="72" s="1"/>
  <c r="BF38" i="72" s="1"/>
  <c r="BI38" i="72"/>
  <c r="AK38" i="72" s="1"/>
  <c r="AM38" i="72" s="1"/>
  <c r="BH38" i="72"/>
  <c r="G38" i="72" s="1"/>
  <c r="BG38" i="72"/>
  <c r="BE38" i="72"/>
  <c r="BD38" i="72"/>
  <c r="BC38" i="72"/>
  <c r="BB38" i="72"/>
  <c r="BA38" i="72"/>
  <c r="AZ38" i="72"/>
  <c r="AY38" i="72"/>
  <c r="AX38" i="72"/>
  <c r="AW38" i="72"/>
  <c r="AU38" i="72"/>
  <c r="AT38" i="72"/>
  <c r="AS38" i="72"/>
  <c r="AR38" i="72"/>
  <c r="AV38" i="72" s="1"/>
  <c r="AQ38" i="72"/>
  <c r="AP38" i="72"/>
  <c r="AO38" i="72"/>
  <c r="AL38" i="72"/>
  <c r="AJ38" i="72"/>
  <c r="AI38" i="72"/>
  <c r="AH38" i="72"/>
  <c r="AN38" i="72" s="1"/>
  <c r="AG38" i="72"/>
  <c r="C38" i="72"/>
  <c r="B38" i="72"/>
  <c r="BN37" i="72"/>
  <c r="BL37" i="72"/>
  <c r="BK37" i="72"/>
  <c r="I37" i="72" s="1"/>
  <c r="BJ37" i="72"/>
  <c r="H37" i="72" s="1"/>
  <c r="BF37" i="72" s="1"/>
  <c r="BI37" i="72"/>
  <c r="AK37" i="72" s="1"/>
  <c r="AM37" i="72" s="1"/>
  <c r="BH37" i="72"/>
  <c r="G37" i="72" s="1"/>
  <c r="BG37" i="72"/>
  <c r="BE37" i="72"/>
  <c r="BD37" i="72"/>
  <c r="BC37" i="72"/>
  <c r="BB37" i="72"/>
  <c r="BA37" i="72"/>
  <c r="AZ37" i="72"/>
  <c r="AY37" i="72"/>
  <c r="AX37" i="72"/>
  <c r="AW37" i="72"/>
  <c r="AU37" i="72"/>
  <c r="AT37" i="72"/>
  <c r="AS37" i="72"/>
  <c r="AR37" i="72"/>
  <c r="AV37" i="72" s="1"/>
  <c r="AQ37" i="72"/>
  <c r="AP37" i="72"/>
  <c r="AO37" i="72"/>
  <c r="AL37" i="72"/>
  <c r="AJ37" i="72"/>
  <c r="AI37" i="72"/>
  <c r="AH37" i="72"/>
  <c r="AN37" i="72" s="1"/>
  <c r="AG37" i="72"/>
  <c r="C37" i="72"/>
  <c r="B37" i="72"/>
  <c r="BN36" i="72"/>
  <c r="BL36" i="72"/>
  <c r="BK36" i="72"/>
  <c r="I36" i="72" s="1"/>
  <c r="BJ36" i="72"/>
  <c r="H36" i="72" s="1"/>
  <c r="BF36" i="72" s="1"/>
  <c r="BI36" i="72"/>
  <c r="BM36" i="72" s="1"/>
  <c r="BH36" i="72"/>
  <c r="BG36" i="72"/>
  <c r="BE36" i="72"/>
  <c r="BD36" i="72"/>
  <c r="BC36" i="72"/>
  <c r="BB36" i="72"/>
  <c r="BA36" i="72"/>
  <c r="AZ36" i="72"/>
  <c r="AY36" i="72"/>
  <c r="AX36" i="72"/>
  <c r="AW36" i="72"/>
  <c r="AU36" i="72"/>
  <c r="AT36" i="72"/>
  <c r="AS36" i="72"/>
  <c r="AR36" i="72"/>
  <c r="AV36" i="72" s="1"/>
  <c r="AQ36" i="72"/>
  <c r="AP36" i="72"/>
  <c r="AO36" i="72"/>
  <c r="AL36" i="72"/>
  <c r="AJ36" i="72"/>
  <c r="AI36" i="72"/>
  <c r="AH36" i="72"/>
  <c r="AN36" i="72" s="1"/>
  <c r="AG36" i="72"/>
  <c r="G36" i="72"/>
  <c r="C36" i="72"/>
  <c r="B36" i="72"/>
  <c r="BN35" i="72"/>
  <c r="BL35" i="72"/>
  <c r="BK35" i="72"/>
  <c r="I35" i="72" s="1"/>
  <c r="BJ35" i="72"/>
  <c r="H35" i="72" s="1"/>
  <c r="BF35" i="72" s="1"/>
  <c r="BI35" i="72"/>
  <c r="AK35" i="72" s="1"/>
  <c r="AM35" i="72" s="1"/>
  <c r="BH35" i="72"/>
  <c r="BG35" i="72"/>
  <c r="BE35" i="72"/>
  <c r="BD35" i="72"/>
  <c r="BC35" i="72"/>
  <c r="BB35" i="72"/>
  <c r="BA35" i="72"/>
  <c r="AZ35" i="72"/>
  <c r="AY35" i="72"/>
  <c r="AX35" i="72"/>
  <c r="AW35" i="72"/>
  <c r="AU35" i="72"/>
  <c r="AT35" i="72"/>
  <c r="AS35" i="72"/>
  <c r="AR35" i="72"/>
  <c r="AV35" i="72" s="1"/>
  <c r="AQ35" i="72"/>
  <c r="AP35" i="72"/>
  <c r="AO35" i="72"/>
  <c r="AL35" i="72"/>
  <c r="AJ35" i="72"/>
  <c r="AI35" i="72"/>
  <c r="AH35" i="72"/>
  <c r="AN35" i="72" s="1"/>
  <c r="AG35" i="72"/>
  <c r="G35" i="72"/>
  <c r="C35" i="72"/>
  <c r="B35" i="72"/>
  <c r="BN34" i="72"/>
  <c r="BL34" i="72"/>
  <c r="BK34" i="72"/>
  <c r="I34" i="72" s="1"/>
  <c r="BJ34" i="72"/>
  <c r="H34" i="72" s="1"/>
  <c r="BF34" i="72" s="1"/>
  <c r="BI34" i="72"/>
  <c r="AK34" i="72" s="1"/>
  <c r="AM34" i="72" s="1"/>
  <c r="BH34" i="72"/>
  <c r="G34" i="72" s="1"/>
  <c r="BG34" i="72"/>
  <c r="BE34" i="72"/>
  <c r="BD34" i="72"/>
  <c r="BC34" i="72"/>
  <c r="BB34" i="72"/>
  <c r="BA34" i="72"/>
  <c r="AZ34" i="72"/>
  <c r="AY34" i="72"/>
  <c r="AX34" i="72"/>
  <c r="AW34" i="72"/>
  <c r="AU34" i="72"/>
  <c r="AT34" i="72"/>
  <c r="AS34" i="72"/>
  <c r="AR34" i="72"/>
  <c r="AV34" i="72" s="1"/>
  <c r="AQ34" i="72"/>
  <c r="AP34" i="72"/>
  <c r="AO34" i="72"/>
  <c r="AL34" i="72"/>
  <c r="AJ34" i="72"/>
  <c r="AI34" i="72"/>
  <c r="AH34" i="72"/>
  <c r="AN34" i="72" s="1"/>
  <c r="AG34" i="72"/>
  <c r="C34" i="72"/>
  <c r="B34" i="72"/>
  <c r="BN33" i="72"/>
  <c r="BL33" i="72"/>
  <c r="BK33" i="72"/>
  <c r="I33" i="72" s="1"/>
  <c r="BJ33" i="72"/>
  <c r="H33" i="72" s="1"/>
  <c r="BF33" i="72" s="1"/>
  <c r="BI33" i="72"/>
  <c r="AK33" i="72" s="1"/>
  <c r="AM33" i="72" s="1"/>
  <c r="BH33" i="72"/>
  <c r="G33" i="72" s="1"/>
  <c r="BG33" i="72"/>
  <c r="BE33" i="72"/>
  <c r="BD33" i="72"/>
  <c r="BC33" i="72"/>
  <c r="BB33" i="72"/>
  <c r="BA33" i="72"/>
  <c r="AZ33" i="72"/>
  <c r="AY33" i="72"/>
  <c r="AX33" i="72"/>
  <c r="AW33" i="72"/>
  <c r="AU33" i="72"/>
  <c r="AT33" i="72"/>
  <c r="AS33" i="72"/>
  <c r="AR33" i="72"/>
  <c r="AV33" i="72" s="1"/>
  <c r="AQ33" i="72"/>
  <c r="AP33" i="72"/>
  <c r="AO33" i="72"/>
  <c r="AL33" i="72"/>
  <c r="AJ33" i="72"/>
  <c r="AI33" i="72"/>
  <c r="AH33" i="72"/>
  <c r="AN33" i="72" s="1"/>
  <c r="AG33" i="72"/>
  <c r="C33" i="72"/>
  <c r="B33" i="72"/>
  <c r="BL32" i="72"/>
  <c r="BH32" i="72"/>
  <c r="BE32" i="72"/>
  <c r="BD32" i="72"/>
  <c r="BC32" i="72"/>
  <c r="BA32" i="72"/>
  <c r="AU32" i="72"/>
  <c r="AS32" i="72"/>
  <c r="AQ32" i="72"/>
  <c r="AO32" i="72"/>
  <c r="AL32" i="72"/>
  <c r="AH32" i="72"/>
  <c r="AN32" i="72" s="1"/>
  <c r="AG32" i="72"/>
  <c r="G32" i="72"/>
  <c r="BL31" i="72"/>
  <c r="BI31" i="72"/>
  <c r="AK31" i="72" s="1"/>
  <c r="BH31" i="72"/>
  <c r="BE31" i="72"/>
  <c r="BD31" i="72"/>
  <c r="BC31" i="72"/>
  <c r="AW31" i="72"/>
  <c r="AU31" i="72"/>
  <c r="AS31" i="72"/>
  <c r="AQ31" i="72"/>
  <c r="AO31" i="72"/>
  <c r="AL31" i="72"/>
  <c r="AH31" i="72"/>
  <c r="AG31" i="72"/>
  <c r="G31" i="72"/>
  <c r="BB31" i="72" s="1"/>
  <c r="BL30" i="72"/>
  <c r="BH30" i="72"/>
  <c r="BE30" i="72"/>
  <c r="BD30" i="72"/>
  <c r="BC30" i="72"/>
  <c r="AU30" i="72"/>
  <c r="AS30" i="72"/>
  <c r="AQ30" i="72"/>
  <c r="AO30" i="72"/>
  <c r="AL30" i="72"/>
  <c r="AH30" i="72"/>
  <c r="AN30" i="72" s="1"/>
  <c r="AG30" i="72"/>
  <c r="BU29" i="72"/>
  <c r="BT29" i="72"/>
  <c r="BS29" i="72"/>
  <c r="BR29" i="72"/>
  <c r="BQ29" i="72"/>
  <c r="BH29" i="72"/>
  <c r="BE29" i="72"/>
  <c r="BD29" i="72"/>
  <c r="BC29" i="72"/>
  <c r="AU29" i="72"/>
  <c r="AS29" i="72"/>
  <c r="AQ29" i="72"/>
  <c r="AO29" i="72"/>
  <c r="AL29" i="72"/>
  <c r="AH29" i="72"/>
  <c r="AG29" i="72"/>
  <c r="BU28" i="72"/>
  <c r="BT28" i="72"/>
  <c r="BS28" i="72"/>
  <c r="BR28" i="72"/>
  <c r="BQ28" i="72"/>
  <c r="BL28" i="72"/>
  <c r="BK28" i="72"/>
  <c r="I28" i="72" s="1"/>
  <c r="BI28" i="72"/>
  <c r="AZ28" i="72" s="1"/>
  <c r="BH28" i="72"/>
  <c r="BE28" i="72"/>
  <c r="BD28" i="72"/>
  <c r="BC28" i="72"/>
  <c r="BA28" i="72"/>
  <c r="AY28" i="72"/>
  <c r="AW28" i="72"/>
  <c r="AU28" i="72"/>
  <c r="AS28" i="72"/>
  <c r="AQ28" i="72"/>
  <c r="AO28" i="72"/>
  <c r="AL28" i="72"/>
  <c r="AH28" i="72"/>
  <c r="AG28" i="72"/>
  <c r="G28" i="72"/>
  <c r="BB28" i="72" s="1"/>
  <c r="BU27" i="72"/>
  <c r="BT27" i="72"/>
  <c r="BS27" i="72"/>
  <c r="BR27" i="72"/>
  <c r="BQ27" i="72"/>
  <c r="BH27" i="72"/>
  <c r="BE27" i="72"/>
  <c r="BD27" i="72"/>
  <c r="BC27" i="72"/>
  <c r="AU27" i="72"/>
  <c r="AS27" i="72"/>
  <c r="AQ27" i="72"/>
  <c r="AO27" i="72"/>
  <c r="AL27" i="72"/>
  <c r="AH27" i="72"/>
  <c r="AG27" i="72"/>
  <c r="BU26" i="72"/>
  <c r="BT26" i="72"/>
  <c r="BS26" i="72"/>
  <c r="BR26" i="72"/>
  <c r="BQ26" i="72"/>
  <c r="BH26" i="72"/>
  <c r="BE26" i="72"/>
  <c r="BD26" i="72"/>
  <c r="BC26" i="72"/>
  <c r="AU26" i="72"/>
  <c r="AS26" i="72"/>
  <c r="AQ26" i="72"/>
  <c r="AO26" i="72"/>
  <c r="AL26" i="72"/>
  <c r="AH26" i="72"/>
  <c r="AG26" i="72"/>
  <c r="BU25" i="72"/>
  <c r="BT25" i="72"/>
  <c r="BS25" i="72"/>
  <c r="BR25" i="72"/>
  <c r="BQ25" i="72"/>
  <c r="BL25" i="72"/>
  <c r="BK25" i="72"/>
  <c r="I25" i="72" s="1"/>
  <c r="BI25" i="72"/>
  <c r="AZ25" i="72" s="1"/>
  <c r="BH25" i="72"/>
  <c r="BE25" i="72"/>
  <c r="BD25" i="72"/>
  <c r="BC25" i="72"/>
  <c r="BA25" i="72"/>
  <c r="AY25" i="72"/>
  <c r="AW25" i="72"/>
  <c r="AU25" i="72"/>
  <c r="AS25" i="72"/>
  <c r="AQ25" i="72"/>
  <c r="AO25" i="72"/>
  <c r="AL25" i="72"/>
  <c r="AH25" i="72"/>
  <c r="AG25" i="72"/>
  <c r="G25" i="72"/>
  <c r="BB25" i="72" s="1"/>
  <c r="BU24" i="72"/>
  <c r="BT24" i="72"/>
  <c r="BS24" i="72"/>
  <c r="BR24" i="72"/>
  <c r="BQ24" i="72"/>
  <c r="BL24" i="72"/>
  <c r="BH24" i="72"/>
  <c r="BE24" i="72"/>
  <c r="BD24" i="72"/>
  <c r="BC24" i="72"/>
  <c r="AU24" i="72"/>
  <c r="AS24" i="72"/>
  <c r="AQ24" i="72"/>
  <c r="AO24" i="72"/>
  <c r="AL24" i="72"/>
  <c r="AH24" i="72"/>
  <c r="AG24" i="72"/>
  <c r="BU23" i="72"/>
  <c r="BT23" i="72"/>
  <c r="BS23" i="72"/>
  <c r="BR23" i="72"/>
  <c r="BQ23" i="72"/>
  <c r="BH23" i="72"/>
  <c r="BL23" i="72" s="1"/>
  <c r="BE23" i="72"/>
  <c r="BD23" i="72"/>
  <c r="BC23" i="72"/>
  <c r="AU23" i="72"/>
  <c r="AS23" i="72"/>
  <c r="AQ23" i="72"/>
  <c r="AO23" i="72"/>
  <c r="AL23" i="72"/>
  <c r="AH23" i="72"/>
  <c r="AG23" i="72"/>
  <c r="BU22" i="72"/>
  <c r="BT22" i="72"/>
  <c r="BS22" i="72"/>
  <c r="BR22" i="72"/>
  <c r="BQ22" i="72"/>
  <c r="BL22" i="72"/>
  <c r="BK22" i="72"/>
  <c r="I22" i="72" s="1"/>
  <c r="BI22" i="72"/>
  <c r="AK22" i="72" s="1"/>
  <c r="BH22" i="72"/>
  <c r="BE22" i="72"/>
  <c r="BD22" i="72"/>
  <c r="BC22" i="72"/>
  <c r="BA22" i="72"/>
  <c r="AY22" i="72"/>
  <c r="AW22" i="72"/>
  <c r="AU22" i="72"/>
  <c r="AS22" i="72"/>
  <c r="AQ22" i="72"/>
  <c r="AO22" i="72"/>
  <c r="AL22" i="72"/>
  <c r="AH22" i="72"/>
  <c r="AG22" i="72"/>
  <c r="G22" i="72"/>
  <c r="BB22" i="72" s="1"/>
  <c r="BU21" i="72"/>
  <c r="BT21" i="72"/>
  <c r="BS21" i="72"/>
  <c r="BR21" i="72"/>
  <c r="BQ21" i="72"/>
  <c r="BH21" i="72"/>
  <c r="BE21" i="72"/>
  <c r="BD21" i="72"/>
  <c r="BC21" i="72"/>
  <c r="AU21" i="72"/>
  <c r="AS21" i="72"/>
  <c r="AQ21" i="72"/>
  <c r="AO21" i="72"/>
  <c r="AL21" i="72"/>
  <c r="AH21" i="72"/>
  <c r="AN21" i="72" s="1"/>
  <c r="AG21" i="72"/>
  <c r="BJ20" i="72"/>
  <c r="H20" i="72" s="1"/>
  <c r="BF20" i="72" s="1"/>
  <c r="BH20" i="72"/>
  <c r="BE20" i="72"/>
  <c r="BD20" i="72"/>
  <c r="BC20" i="72"/>
  <c r="AU20" i="72"/>
  <c r="AS20" i="72"/>
  <c r="AQ20" i="72"/>
  <c r="AO20" i="72"/>
  <c r="AL20" i="72"/>
  <c r="AH20" i="72"/>
  <c r="AN20" i="72" s="1"/>
  <c r="AG20" i="72"/>
  <c r="B20" i="72"/>
  <c r="BL19" i="72"/>
  <c r="BK19" i="72"/>
  <c r="I19" i="72" s="1"/>
  <c r="BH19" i="72"/>
  <c r="BE19" i="72"/>
  <c r="BD19" i="72"/>
  <c r="BC19" i="72"/>
  <c r="AU19" i="72"/>
  <c r="AS19" i="72"/>
  <c r="AQ19" i="72"/>
  <c r="AO19" i="72"/>
  <c r="AL19" i="72"/>
  <c r="AH19" i="72"/>
  <c r="AN19" i="72" s="1"/>
  <c r="AG19" i="72"/>
  <c r="G19" i="72"/>
  <c r="BL18" i="72"/>
  <c r="BH18" i="72"/>
  <c r="BE18" i="72"/>
  <c r="BD18" i="72"/>
  <c r="BC18" i="72"/>
  <c r="AU18" i="72"/>
  <c r="AS18" i="72"/>
  <c r="AQ18" i="72"/>
  <c r="AO18" i="72"/>
  <c r="AL18" i="72"/>
  <c r="AH18" i="72"/>
  <c r="AN18" i="72" s="1"/>
  <c r="AG18" i="72"/>
  <c r="G18" i="72"/>
  <c r="BH17" i="72"/>
  <c r="BE17" i="72"/>
  <c r="BD17" i="72"/>
  <c r="BC17" i="72"/>
  <c r="AU17" i="72"/>
  <c r="AS17" i="72"/>
  <c r="AQ17" i="72"/>
  <c r="AO17" i="72"/>
  <c r="AL17" i="72"/>
  <c r="AH17" i="72"/>
  <c r="AG17" i="72"/>
  <c r="BH16" i="72"/>
  <c r="BE16" i="72"/>
  <c r="BD16" i="72"/>
  <c r="BC16" i="72"/>
  <c r="AU16" i="72"/>
  <c r="AS16" i="72"/>
  <c r="AQ16" i="72"/>
  <c r="AO16" i="72"/>
  <c r="AL16" i="72"/>
  <c r="AH16" i="72"/>
  <c r="AG16" i="72"/>
  <c r="BL15" i="72"/>
  <c r="BK15" i="72"/>
  <c r="I15" i="72" s="1"/>
  <c r="BJ15" i="72"/>
  <c r="H15" i="72" s="1"/>
  <c r="BF15" i="72" s="1"/>
  <c r="BH15" i="72"/>
  <c r="BE15" i="72"/>
  <c r="BD15" i="72"/>
  <c r="BC15" i="72"/>
  <c r="AU15" i="72"/>
  <c r="AS15" i="72"/>
  <c r="AQ15" i="72"/>
  <c r="AO15" i="72"/>
  <c r="AL15" i="72"/>
  <c r="AH15" i="72"/>
  <c r="AN15" i="72" s="1"/>
  <c r="AG15" i="72"/>
  <c r="G15" i="72"/>
  <c r="B15" i="72"/>
  <c r="BL14" i="72"/>
  <c r="BJ14" i="72"/>
  <c r="H14" i="72" s="1"/>
  <c r="BF14" i="72" s="1"/>
  <c r="BI14" i="72"/>
  <c r="BM14" i="72" s="1"/>
  <c r="BH14" i="72"/>
  <c r="BE14" i="72"/>
  <c r="BD14" i="72"/>
  <c r="BC14" i="72"/>
  <c r="AU14" i="72"/>
  <c r="AS14" i="72"/>
  <c r="AQ14" i="72"/>
  <c r="AO14" i="72"/>
  <c r="AL14" i="72"/>
  <c r="AH14" i="72"/>
  <c r="AN14" i="72" s="1"/>
  <c r="AG14" i="72"/>
  <c r="G14" i="72"/>
  <c r="AW14" i="72" s="1"/>
  <c r="B14" i="72"/>
  <c r="BH13" i="72"/>
  <c r="BE13" i="72"/>
  <c r="BD13" i="72"/>
  <c r="BC13" i="72"/>
  <c r="AU13" i="72"/>
  <c r="AS13" i="72"/>
  <c r="AQ13" i="72"/>
  <c r="AL13" i="72"/>
  <c r="AH13" i="72"/>
  <c r="AN13" i="72" s="1"/>
  <c r="AG13" i="72"/>
  <c r="BL12" i="72"/>
  <c r="BH12" i="72"/>
  <c r="BE12" i="72"/>
  <c r="BD12" i="72"/>
  <c r="BC12" i="72"/>
  <c r="AU12" i="72"/>
  <c r="AS12" i="72"/>
  <c r="AQ12" i="72"/>
  <c r="AL12" i="72"/>
  <c r="AH12" i="72"/>
  <c r="AG12" i="72"/>
  <c r="BL11" i="72"/>
  <c r="BH11" i="72"/>
  <c r="BE11" i="72"/>
  <c r="BD11" i="72"/>
  <c r="BC11" i="72"/>
  <c r="AU11" i="72"/>
  <c r="AS11" i="72"/>
  <c r="AQ11" i="72"/>
  <c r="AL11" i="72"/>
  <c r="AH11" i="72"/>
  <c r="AN11" i="72" s="1"/>
  <c r="AG11" i="72"/>
  <c r="G11" i="72"/>
  <c r="BL10" i="72"/>
  <c r="BH10" i="72"/>
  <c r="BE10" i="72"/>
  <c r="BD10" i="72"/>
  <c r="BC10" i="72"/>
  <c r="AU10" i="72"/>
  <c r="AS10" i="72"/>
  <c r="AQ10" i="72"/>
  <c r="AL10" i="72"/>
  <c r="AH10" i="72"/>
  <c r="AN10" i="72" s="1"/>
  <c r="AG10" i="72"/>
  <c r="G10" i="72"/>
  <c r="AW10" i="72" s="1"/>
  <c r="BH9" i="72"/>
  <c r="BE9" i="72"/>
  <c r="BD9" i="72"/>
  <c r="BC9" i="72"/>
  <c r="AU9" i="72"/>
  <c r="AS9" i="72"/>
  <c r="AQ9" i="72"/>
  <c r="AL9" i="72"/>
  <c r="AH9" i="72"/>
  <c r="AG9" i="72"/>
  <c r="B9" i="72"/>
  <c r="BJ8" i="72"/>
  <c r="H8" i="72" s="1"/>
  <c r="BF8" i="72" s="1"/>
  <c r="BH8" i="72"/>
  <c r="BL8" i="72" s="1"/>
  <c r="BE8" i="72"/>
  <c r="BD8" i="72"/>
  <c r="BC8" i="72"/>
  <c r="AU8" i="72"/>
  <c r="AS8" i="72"/>
  <c r="AQ8" i="72"/>
  <c r="AL8" i="72"/>
  <c r="AJ8" i="72"/>
  <c r="AJ9" i="72" s="1"/>
  <c r="AJ10" i="72" s="1"/>
  <c r="AJ11" i="72" s="1"/>
  <c r="AJ12" i="72" s="1"/>
  <c r="AJ13" i="72" s="1"/>
  <c r="AJ14" i="72" s="1"/>
  <c r="AH8" i="72"/>
  <c r="AN8" i="72" s="1"/>
  <c r="AG8" i="72"/>
  <c r="B8" i="72"/>
  <c r="AV6" i="72"/>
  <c r="AI12" i="72" l="1"/>
  <c r="C12" i="72" s="1"/>
  <c r="AI27" i="72"/>
  <c r="C27" i="72" s="1"/>
  <c r="AI9" i="72"/>
  <c r="C9" i="72" s="1"/>
  <c r="AN17" i="72"/>
  <c r="AN16" i="72"/>
  <c r="AN9" i="72"/>
  <c r="AN26" i="72"/>
  <c r="AN29" i="72"/>
  <c r="AN24" i="72"/>
  <c r="AN28" i="72"/>
  <c r="AI13" i="72"/>
  <c r="C13" i="72" s="1"/>
  <c r="AN31" i="72"/>
  <c r="AI21" i="72"/>
  <c r="C21" i="72" s="1"/>
  <c r="AN23" i="72"/>
  <c r="AN27" i="72"/>
  <c r="AN6" i="80"/>
  <c r="BM18" i="80"/>
  <c r="AN41" i="80"/>
  <c r="BM14" i="80"/>
  <c r="BK11" i="72"/>
  <c r="I11" i="72" s="1"/>
  <c r="AV45" i="80"/>
  <c r="BK30" i="80"/>
  <c r="I30" i="80" s="1"/>
  <c r="AY30" i="80"/>
  <c r="BI30" i="80"/>
  <c r="AW30" i="80"/>
  <c r="BB30" i="80"/>
  <c r="BA30" i="80"/>
  <c r="BK13" i="80"/>
  <c r="I13" i="80" s="1"/>
  <c r="AY13" i="80"/>
  <c r="AX13" i="80"/>
  <c r="BI13" i="80"/>
  <c r="AZ13" i="80" s="1"/>
  <c r="AW13" i="80"/>
  <c r="BB13" i="80"/>
  <c r="BA13" i="80"/>
  <c r="BN23" i="80"/>
  <c r="BM23" i="80"/>
  <c r="BJ23" i="80"/>
  <c r="H23" i="80" s="1"/>
  <c r="BF23" i="80" s="1"/>
  <c r="AK23" i="80"/>
  <c r="BN22" i="80"/>
  <c r="BM22" i="80"/>
  <c r="AK22" i="80"/>
  <c r="BK27" i="80"/>
  <c r="I27" i="80" s="1"/>
  <c r="AY27" i="80"/>
  <c r="BI27" i="80"/>
  <c r="AZ27" i="80" s="1"/>
  <c r="AW27" i="80"/>
  <c r="BB27" i="80"/>
  <c r="BA27" i="80"/>
  <c r="BN14" i="80"/>
  <c r="AK14" i="80"/>
  <c r="AJ16" i="80"/>
  <c r="AZ23" i="80"/>
  <c r="BK9" i="80"/>
  <c r="I9" i="80" s="1"/>
  <c r="AY9" i="80"/>
  <c r="AX9" i="80"/>
  <c r="BI9" i="80"/>
  <c r="AZ9" i="80" s="1"/>
  <c r="AW9" i="80"/>
  <c r="BB9" i="80"/>
  <c r="BA9" i="80"/>
  <c r="AI23" i="80"/>
  <c r="C23" i="80" s="1"/>
  <c r="BN19" i="80"/>
  <c r="BM19" i="80"/>
  <c r="AK19" i="80"/>
  <c r="BN25" i="80"/>
  <c r="BM25" i="80"/>
  <c r="BJ25" i="80"/>
  <c r="H25" i="80" s="1"/>
  <c r="BF25" i="80" s="1"/>
  <c r="AK25" i="80"/>
  <c r="BB20" i="80"/>
  <c r="BA20" i="80"/>
  <c r="BK20" i="80"/>
  <c r="I20" i="80" s="1"/>
  <c r="AY20" i="80"/>
  <c r="BI20" i="80"/>
  <c r="AZ20" i="80" s="1"/>
  <c r="AW20" i="80"/>
  <c r="BN15" i="80"/>
  <c r="BM15" i="80"/>
  <c r="AK15" i="80"/>
  <c r="BK24" i="80"/>
  <c r="I24" i="80" s="1"/>
  <c r="AY24" i="80"/>
  <c r="BI24" i="80"/>
  <c r="AW24" i="80"/>
  <c r="BB24" i="80"/>
  <c r="BA24" i="80"/>
  <c r="BB16" i="80"/>
  <c r="BA16" i="80"/>
  <c r="BK16" i="80"/>
  <c r="I16" i="80" s="1"/>
  <c r="AY16" i="80"/>
  <c r="BI16" i="80"/>
  <c r="AW16" i="80"/>
  <c r="AZ11" i="78"/>
  <c r="BB12" i="80"/>
  <c r="BA12" i="80"/>
  <c r="BK12" i="80"/>
  <c r="I12" i="80" s="1"/>
  <c r="AY12" i="80"/>
  <c r="AX12" i="80"/>
  <c r="BI12" i="80"/>
  <c r="AW12" i="80"/>
  <c r="BK21" i="80"/>
  <c r="I21" i="80" s="1"/>
  <c r="AY21" i="80"/>
  <c r="BI21" i="80"/>
  <c r="AZ21" i="80" s="1"/>
  <c r="AW21" i="80"/>
  <c r="BB21" i="80"/>
  <c r="BA21" i="80"/>
  <c r="BN10" i="80"/>
  <c r="BM10" i="80"/>
  <c r="AO10" i="80"/>
  <c r="BJ10" i="80"/>
  <c r="H10" i="80" s="1"/>
  <c r="BF10" i="80" s="1"/>
  <c r="AK10" i="80"/>
  <c r="BB8" i="80"/>
  <c r="BA8" i="80"/>
  <c r="BK8" i="80"/>
  <c r="I8" i="80" s="1"/>
  <c r="AY8" i="80"/>
  <c r="AX8" i="80"/>
  <c r="BI8" i="80"/>
  <c r="AZ8" i="80" s="1"/>
  <c r="AW8" i="80"/>
  <c r="AZ19" i="80"/>
  <c r="BN29" i="80"/>
  <c r="BM29" i="80"/>
  <c r="AK29" i="80"/>
  <c r="AI18" i="80"/>
  <c r="C18" i="80" s="1"/>
  <c r="AI30" i="80"/>
  <c r="C30" i="80" s="1"/>
  <c r="AI27" i="80"/>
  <c r="C27" i="80" s="1"/>
  <c r="AI24" i="80"/>
  <c r="C24" i="80" s="1"/>
  <c r="AI21" i="80"/>
  <c r="C21" i="80" s="1"/>
  <c r="AI17" i="80"/>
  <c r="C17" i="80" s="1"/>
  <c r="AI20" i="80"/>
  <c r="C20" i="80" s="1"/>
  <c r="AI16" i="80"/>
  <c r="C16" i="80" s="1"/>
  <c r="BN11" i="80"/>
  <c r="BM11" i="80"/>
  <c r="AO11" i="80"/>
  <c r="BJ11" i="80"/>
  <c r="H11" i="80" s="1"/>
  <c r="BF11" i="80" s="1"/>
  <c r="AK11" i="80"/>
  <c r="AZ11" i="80"/>
  <c r="BK17" i="80"/>
  <c r="I17" i="80" s="1"/>
  <c r="AY17" i="80"/>
  <c r="BI17" i="80"/>
  <c r="AW17" i="80"/>
  <c r="BB17" i="80"/>
  <c r="BA17" i="80"/>
  <c r="B11" i="80"/>
  <c r="BJ28" i="80"/>
  <c r="H28" i="80" s="1"/>
  <c r="BF28" i="80" s="1"/>
  <c r="AK28" i="80"/>
  <c r="BN26" i="80"/>
  <c r="BM26" i="80"/>
  <c r="BJ26" i="80"/>
  <c r="H26" i="80" s="1"/>
  <c r="BF26" i="80" s="1"/>
  <c r="AK26" i="80"/>
  <c r="BN18" i="80"/>
  <c r="BJ18" i="80"/>
  <c r="H18" i="80" s="1"/>
  <c r="BF18" i="80" s="1"/>
  <c r="AK18" i="80"/>
  <c r="BN15" i="78"/>
  <c r="BJ11" i="78"/>
  <c r="H11" i="78" s="1"/>
  <c r="BF11" i="78" s="1"/>
  <c r="AO11" i="78"/>
  <c r="AM11" i="78"/>
  <c r="AT11" i="78"/>
  <c r="BM11" i="78"/>
  <c r="BN25" i="78"/>
  <c r="BM25" i="78"/>
  <c r="AZ25" i="78"/>
  <c r="BJ25" i="78"/>
  <c r="H25" i="78" s="1"/>
  <c r="BF25" i="78" s="1"/>
  <c r="AK25" i="78"/>
  <c r="BN16" i="78"/>
  <c r="BM16" i="78"/>
  <c r="AK16" i="78"/>
  <c r="BB14" i="78"/>
  <c r="BA14" i="78"/>
  <c r="BK14" i="78"/>
  <c r="I14" i="78" s="1"/>
  <c r="AY14" i="78"/>
  <c r="AX14" i="78"/>
  <c r="BI14" i="78"/>
  <c r="AW14" i="78"/>
  <c r="BK24" i="78"/>
  <c r="I24" i="78" s="1"/>
  <c r="AY24" i="78"/>
  <c r="BI24" i="78"/>
  <c r="AZ24" i="78" s="1"/>
  <c r="AW24" i="78"/>
  <c r="BB24" i="78"/>
  <c r="BA24" i="78"/>
  <c r="BG15" i="78"/>
  <c r="BN22" i="78"/>
  <c r="BM22" i="78"/>
  <c r="AZ22" i="78"/>
  <c r="BJ22" i="78"/>
  <c r="H22" i="78" s="1"/>
  <c r="BF22" i="78" s="1"/>
  <c r="AK22" i="78"/>
  <c r="BN12" i="78"/>
  <c r="BM12" i="78"/>
  <c r="AO12" i="78"/>
  <c r="BJ12" i="78"/>
  <c r="H12" i="78" s="1"/>
  <c r="BF12" i="78" s="1"/>
  <c r="AK12" i="78"/>
  <c r="BB10" i="78"/>
  <c r="BA10" i="78"/>
  <c r="BA4" i="78" s="1"/>
  <c r="BK10" i="78"/>
  <c r="I10" i="78" s="1"/>
  <c r="AY10" i="78"/>
  <c r="AX10" i="78"/>
  <c r="BI10" i="78"/>
  <c r="AW10" i="78"/>
  <c r="BK21" i="78"/>
  <c r="I21" i="78" s="1"/>
  <c r="AY21" i="78"/>
  <c r="AX21" i="78"/>
  <c r="BI21" i="78"/>
  <c r="AZ21" i="78" s="1"/>
  <c r="AW21" i="78"/>
  <c r="BB21" i="78"/>
  <c r="BA21" i="78"/>
  <c r="BN11" i="78"/>
  <c r="E41" i="78"/>
  <c r="AV41" i="78"/>
  <c r="AV45" i="78" s="1"/>
  <c r="Q5" i="78"/>
  <c r="BK17" i="78"/>
  <c r="I17" i="78" s="1"/>
  <c r="AY17" i="78"/>
  <c r="BI17" i="78"/>
  <c r="AW17" i="78"/>
  <c r="BB17" i="78"/>
  <c r="BA17" i="78"/>
  <c r="BK13" i="78"/>
  <c r="I13" i="78" s="1"/>
  <c r="AY13" i="78"/>
  <c r="AX13" i="78"/>
  <c r="BI13" i="78"/>
  <c r="AZ13" i="78" s="1"/>
  <c r="AW13" i="78"/>
  <c r="BB13" i="78"/>
  <c r="BA13" i="78"/>
  <c r="BN20" i="78"/>
  <c r="BM20" i="78"/>
  <c r="BJ20" i="78"/>
  <c r="H20" i="78" s="1"/>
  <c r="BF20" i="78" s="1"/>
  <c r="AK20" i="78"/>
  <c r="AN12" i="72"/>
  <c r="BB18" i="78"/>
  <c r="BA18" i="78"/>
  <c r="BK18" i="78"/>
  <c r="I18" i="78" s="1"/>
  <c r="AY18" i="78"/>
  <c r="BI18" i="78"/>
  <c r="AZ18" i="78" s="1"/>
  <c r="AW18" i="78"/>
  <c r="BK9" i="78"/>
  <c r="I9" i="78" s="1"/>
  <c r="AY9" i="78"/>
  <c r="AX9" i="78"/>
  <c r="BI9" i="78"/>
  <c r="AZ9" i="78" s="1"/>
  <c r="AW9" i="78"/>
  <c r="BB9" i="78"/>
  <c r="BA9" i="78"/>
  <c r="B13" i="78"/>
  <c r="BN8" i="78"/>
  <c r="BM8" i="78"/>
  <c r="AO8" i="78"/>
  <c r="AK8" i="78"/>
  <c r="AJ17" i="78"/>
  <c r="BN19" i="78"/>
  <c r="AN25" i="72"/>
  <c r="AZ22" i="72"/>
  <c r="AK36" i="72"/>
  <c r="AM36" i="72" s="1"/>
  <c r="BM39" i="72"/>
  <c r="BM22" i="72"/>
  <c r="BN28" i="72"/>
  <c r="AN22" i="72"/>
  <c r="AR22" i="72"/>
  <c r="AV22" i="72" s="1"/>
  <c r="AX22" i="72"/>
  <c r="BJ22" i="72"/>
  <c r="H22" i="72" s="1"/>
  <c r="BF22" i="72" s="1"/>
  <c r="BM28" i="72"/>
  <c r="BM35" i="72"/>
  <c r="AK28" i="72"/>
  <c r="AK25" i="72"/>
  <c r="AR25" i="72" s="1"/>
  <c r="AV25" i="72" s="1"/>
  <c r="AJ15" i="72"/>
  <c r="AM31" i="72"/>
  <c r="AT31" i="72"/>
  <c r="AR31" i="72"/>
  <c r="AV31" i="72" s="1"/>
  <c r="G13" i="72"/>
  <c r="BA18" i="72"/>
  <c r="BK18" i="72"/>
  <c r="I18" i="72" s="1"/>
  <c r="AY18" i="72"/>
  <c r="BD4" i="72"/>
  <c r="B10" i="72"/>
  <c r="B11" i="72" s="1"/>
  <c r="AX15" i="72"/>
  <c r="BI15" i="72"/>
  <c r="AZ15" i="72" s="1"/>
  <c r="AW15" i="72"/>
  <c r="AI23" i="72"/>
  <c r="C23" i="72" s="1"/>
  <c r="G26" i="72"/>
  <c r="BL26" i="72"/>
  <c r="AV43" i="72"/>
  <c r="AV44" i="72" s="1"/>
  <c r="AI10" i="72"/>
  <c r="C10" i="72" s="1"/>
  <c r="BI10" i="72"/>
  <c r="AZ10" i="72" s="1"/>
  <c r="AY15" i="72"/>
  <c r="AI16" i="72"/>
  <c r="C16" i="72" s="1"/>
  <c r="BM25" i="72"/>
  <c r="AI29" i="72"/>
  <c r="C29" i="72" s="1"/>
  <c r="AI17" i="72"/>
  <c r="C17" i="72" s="1"/>
  <c r="BE4" i="72"/>
  <c r="AS41" i="72"/>
  <c r="BB14" i="72"/>
  <c r="G16" i="72"/>
  <c r="AM22" i="72"/>
  <c r="G9" i="72"/>
  <c r="AK14" i="72"/>
  <c r="G17" i="72"/>
  <c r="AI18" i="72"/>
  <c r="C18" i="72" s="1"/>
  <c r="BI18" i="72"/>
  <c r="AZ18" i="72" s="1"/>
  <c r="G27" i="72"/>
  <c r="AY11" i="72"/>
  <c r="BL13" i="72"/>
  <c r="AW18" i="72"/>
  <c r="BB10" i="72"/>
  <c r="G8" i="72"/>
  <c r="BB19" i="72"/>
  <c r="AI11" i="72"/>
  <c r="C11" i="72" s="1"/>
  <c r="BA15" i="72"/>
  <c r="G23" i="72"/>
  <c r="G24" i="72"/>
  <c r="AI26" i="72"/>
  <c r="C26" i="72" s="1"/>
  <c r="AU41" i="72"/>
  <c r="BL9" i="72"/>
  <c r="G12" i="72"/>
  <c r="BB15" i="72"/>
  <c r="BL16" i="72"/>
  <c r="BL17" i="72"/>
  <c r="AI19" i="72"/>
  <c r="C19" i="72" s="1"/>
  <c r="BN22" i="72"/>
  <c r="BL27" i="72"/>
  <c r="AI32" i="72"/>
  <c r="C32" i="72" s="1"/>
  <c r="AI30" i="72"/>
  <c r="C30" i="72" s="1"/>
  <c r="BM31" i="72"/>
  <c r="BJ31" i="72"/>
  <c r="H31" i="72" s="1"/>
  <c r="BF31" i="72" s="1"/>
  <c r="BB18" i="72"/>
  <c r="AY19" i="72"/>
  <c r="G21" i="72"/>
  <c r="AI31" i="72"/>
  <c r="C31" i="72" s="1"/>
  <c r="AX11" i="72"/>
  <c r="BI11" i="72"/>
  <c r="AZ11" i="72" s="1"/>
  <c r="AW11" i="72"/>
  <c r="BC4" i="72"/>
  <c r="BA11" i="72"/>
  <c r="BA14" i="72"/>
  <c r="AZ14" i="72"/>
  <c r="BK14" i="72"/>
  <c r="I14" i="72" s="1"/>
  <c r="AY14" i="72"/>
  <c r="AX14" i="72"/>
  <c r="AI24" i="72"/>
  <c r="C24" i="72" s="1"/>
  <c r="G29" i="72"/>
  <c r="BL29" i="72"/>
  <c r="AI28" i="72"/>
  <c r="C28" i="72" s="1"/>
  <c r="AI25" i="72"/>
  <c r="C25" i="72" s="1"/>
  <c r="AI22" i="72"/>
  <c r="C22" i="72" s="1"/>
  <c r="BA10" i="72"/>
  <c r="BK10" i="72"/>
  <c r="AY10" i="72"/>
  <c r="AX10" i="72"/>
  <c r="G20" i="72"/>
  <c r="BI19" i="72"/>
  <c r="AZ19" i="72" s="1"/>
  <c r="AW19" i="72"/>
  <c r="BB11" i="72"/>
  <c r="BA19" i="72"/>
  <c r="BL20" i="72"/>
  <c r="BL21" i="72"/>
  <c r="AT22" i="72"/>
  <c r="BN25" i="72"/>
  <c r="BJ25" i="72"/>
  <c r="H25" i="72" s="1"/>
  <c r="BF25" i="72" s="1"/>
  <c r="G30" i="72"/>
  <c r="BK32" i="72"/>
  <c r="I32" i="72" s="1"/>
  <c r="AY32" i="72"/>
  <c r="BI32" i="72"/>
  <c r="AW32" i="72"/>
  <c r="BB32" i="72"/>
  <c r="AQ41" i="72"/>
  <c r="AX31" i="72"/>
  <c r="BM34" i="72"/>
  <c r="BM38" i="72"/>
  <c r="AY31" i="72"/>
  <c r="BK31" i="72"/>
  <c r="I31" i="72" s="1"/>
  <c r="AZ31" i="72"/>
  <c r="BA31" i="72"/>
  <c r="BJ28" i="72"/>
  <c r="H28" i="72" s="1"/>
  <c r="BF28" i="72" s="1"/>
  <c r="BM33" i="72"/>
  <c r="BM37" i="72"/>
  <c r="AO11" i="72" l="1"/>
  <c r="AM25" i="72"/>
  <c r="BN14" i="72"/>
  <c r="AP11" i="80"/>
  <c r="BJ17" i="80"/>
  <c r="H17" i="80" s="1"/>
  <c r="BF17" i="80" s="1"/>
  <c r="AK17" i="80"/>
  <c r="BM17" i="80"/>
  <c r="BN17" i="80"/>
  <c r="BM16" i="80"/>
  <c r="BJ16" i="80"/>
  <c r="H16" i="80" s="1"/>
  <c r="BF16" i="80" s="1"/>
  <c r="AK16" i="80"/>
  <c r="BN16" i="80"/>
  <c r="AJ17" i="80"/>
  <c r="AM22" i="80"/>
  <c r="AP22" i="80" s="1"/>
  <c r="BG22" i="80" s="1"/>
  <c r="AT22" i="80"/>
  <c r="AR22" i="80"/>
  <c r="AV22" i="80" s="1"/>
  <c r="BM12" i="80"/>
  <c r="AO12" i="80"/>
  <c r="BJ12" i="80"/>
  <c r="H12" i="80" s="1"/>
  <c r="BF12" i="80" s="1"/>
  <c r="AK12" i="80"/>
  <c r="BN12" i="80"/>
  <c r="BJ24" i="80"/>
  <c r="H24" i="80" s="1"/>
  <c r="BF24" i="80" s="1"/>
  <c r="AK24" i="80"/>
  <c r="BM24" i="80"/>
  <c r="BN24" i="80"/>
  <c r="AM28" i="80"/>
  <c r="AT28" i="80"/>
  <c r="AR28" i="80"/>
  <c r="AV28" i="80" s="1"/>
  <c r="AT14" i="80"/>
  <c r="AR14" i="80"/>
  <c r="AV14" i="80" s="1"/>
  <c r="AM14" i="80"/>
  <c r="AP14" i="80" s="1"/>
  <c r="BG14" i="80" s="1"/>
  <c r="BJ30" i="80"/>
  <c r="H30" i="80" s="1"/>
  <c r="BF30" i="80" s="1"/>
  <c r="AK30" i="80"/>
  <c r="BM30" i="80"/>
  <c r="BN30" i="80"/>
  <c r="BG11" i="80"/>
  <c r="BM8" i="80"/>
  <c r="AO8" i="80"/>
  <c r="AK8" i="80"/>
  <c r="BN8" i="80"/>
  <c r="AM25" i="80"/>
  <c r="AT25" i="80"/>
  <c r="AR25" i="80"/>
  <c r="AV25" i="80" s="1"/>
  <c r="AX25" i="80"/>
  <c r="BJ13" i="80"/>
  <c r="H13" i="80" s="1"/>
  <c r="BF13" i="80" s="1"/>
  <c r="AK13" i="80"/>
  <c r="AO13" i="80"/>
  <c r="BN13" i="80"/>
  <c r="BM13" i="80"/>
  <c r="AP10" i="80"/>
  <c r="BG10" i="80" s="1"/>
  <c r="B12" i="80"/>
  <c r="AZ12" i="80"/>
  <c r="AR15" i="80"/>
  <c r="AV15" i="80" s="1"/>
  <c r="AM15" i="80"/>
  <c r="AP15" i="80" s="1"/>
  <c r="BG15" i="80" s="1"/>
  <c r="AT15" i="80"/>
  <c r="AR11" i="80"/>
  <c r="AV11" i="80" s="1"/>
  <c r="AM11" i="80"/>
  <c r="AT11" i="80"/>
  <c r="AY4" i="80"/>
  <c r="AZ16" i="80"/>
  <c r="BJ9" i="80"/>
  <c r="H9" i="80" s="1"/>
  <c r="AK9" i="80"/>
  <c r="AO9" i="80"/>
  <c r="BM9" i="80"/>
  <c r="BN9" i="80"/>
  <c r="AT18" i="80"/>
  <c r="AR18" i="80"/>
  <c r="AV18" i="80" s="1"/>
  <c r="AM18" i="80"/>
  <c r="AX18" i="80"/>
  <c r="AT23" i="80"/>
  <c r="AR23" i="80"/>
  <c r="AV23" i="80" s="1"/>
  <c r="AM23" i="80"/>
  <c r="AX23" i="80"/>
  <c r="AZ17" i="80"/>
  <c r="BJ21" i="80"/>
  <c r="H21" i="80" s="1"/>
  <c r="BF21" i="80" s="1"/>
  <c r="AK21" i="80"/>
  <c r="BN21" i="80"/>
  <c r="BM21" i="80"/>
  <c r="AZ30" i="80"/>
  <c r="AT29" i="80"/>
  <c r="AR29" i="80"/>
  <c r="AV29" i="80" s="1"/>
  <c r="AM29" i="80"/>
  <c r="AP29" i="80" s="1"/>
  <c r="BG29" i="80" s="1"/>
  <c r="BA4" i="80"/>
  <c r="AZ24" i="80"/>
  <c r="BM20" i="80"/>
  <c r="BJ20" i="80"/>
  <c r="H20" i="80" s="1"/>
  <c r="BF20" i="80" s="1"/>
  <c r="AK20" i="80"/>
  <c r="BN20" i="80"/>
  <c r="AR19" i="80"/>
  <c r="AV19" i="80" s="1"/>
  <c r="AM19" i="80"/>
  <c r="AP19" i="80" s="1"/>
  <c r="BG19" i="80" s="1"/>
  <c r="AT19" i="80"/>
  <c r="BJ27" i="80"/>
  <c r="H27" i="80" s="1"/>
  <c r="BF27" i="80" s="1"/>
  <c r="AK27" i="80"/>
  <c r="BM27" i="80"/>
  <c r="BN27" i="80"/>
  <c r="AT26" i="80"/>
  <c r="AR26" i="80"/>
  <c r="AV26" i="80" s="1"/>
  <c r="AM26" i="80"/>
  <c r="AX26" i="80"/>
  <c r="BB4" i="80"/>
  <c r="AT10" i="80"/>
  <c r="AR10" i="80"/>
  <c r="AV10" i="80" s="1"/>
  <c r="AM10" i="80"/>
  <c r="AP11" i="78"/>
  <c r="BG11" i="78" s="1"/>
  <c r="AY4" i="78"/>
  <c r="H41" i="78" s="1"/>
  <c r="BJ17" i="78"/>
  <c r="H17" i="78" s="1"/>
  <c r="BF17" i="78" s="1"/>
  <c r="AK17" i="78"/>
  <c r="BN17" i="78"/>
  <c r="BM17" i="78"/>
  <c r="AM16" i="78"/>
  <c r="AP16" i="78" s="1"/>
  <c r="BG16" i="78" s="1"/>
  <c r="AT16" i="78"/>
  <c r="AR16" i="78"/>
  <c r="AV16" i="78" s="1"/>
  <c r="AK21" i="78"/>
  <c r="BN21" i="78"/>
  <c r="BM21" i="78"/>
  <c r="BB4" i="78"/>
  <c r="BJ13" i="78"/>
  <c r="H13" i="78" s="1"/>
  <c r="BF13" i="78" s="1"/>
  <c r="AK13" i="78"/>
  <c r="AO13" i="78"/>
  <c r="BM13" i="78"/>
  <c r="BN13" i="78"/>
  <c r="AM12" i="78"/>
  <c r="AT12" i="78"/>
  <c r="AR12" i="78"/>
  <c r="AV12" i="78" s="1"/>
  <c r="AM25" i="78"/>
  <c r="AX25" i="78"/>
  <c r="AT25" i="78"/>
  <c r="AR25" i="78"/>
  <c r="AV25" i="78" s="1"/>
  <c r="AK9" i="78"/>
  <c r="AO9" i="78"/>
  <c r="BN9" i="78"/>
  <c r="BM9" i="78"/>
  <c r="AO14" i="78"/>
  <c r="BJ14" i="78"/>
  <c r="H14" i="78" s="1"/>
  <c r="BF14" i="78" s="1"/>
  <c r="AK14" i="78"/>
  <c r="BM14" i="78"/>
  <c r="BN14" i="78"/>
  <c r="AJ18" i="78"/>
  <c r="AJ19" i="78" s="1"/>
  <c r="AJ20" i="78" s="1"/>
  <c r="AJ21" i="78" s="1"/>
  <c r="AO10" i="78"/>
  <c r="BJ10" i="78"/>
  <c r="H10" i="78" s="1"/>
  <c r="AK10" i="78"/>
  <c r="BM10" i="78"/>
  <c r="BN10" i="78"/>
  <c r="AM8" i="78"/>
  <c r="AT8" i="78"/>
  <c r="AR8" i="78"/>
  <c r="AM20" i="78"/>
  <c r="AT20" i="78"/>
  <c r="AR20" i="78"/>
  <c r="AV20" i="78" s="1"/>
  <c r="AX20" i="78"/>
  <c r="AZ17" i="78"/>
  <c r="AP12" i="78"/>
  <c r="BG12" i="78" s="1"/>
  <c r="AZ14" i="78"/>
  <c r="BJ18" i="78"/>
  <c r="H18" i="78" s="1"/>
  <c r="BF18" i="78" s="1"/>
  <c r="AK18" i="78"/>
  <c r="BN18" i="78"/>
  <c r="BM18" i="78"/>
  <c r="AZ10" i="78"/>
  <c r="AM22" i="78"/>
  <c r="AX22" i="78"/>
  <c r="AT22" i="78"/>
  <c r="AR22" i="78"/>
  <c r="AV22" i="78" s="1"/>
  <c r="BJ24" i="78"/>
  <c r="H24" i="78" s="1"/>
  <c r="BF24" i="78" s="1"/>
  <c r="AK24" i="78"/>
  <c r="BN24" i="78"/>
  <c r="BM24" i="78"/>
  <c r="B17" i="78"/>
  <c r="B14" i="78"/>
  <c r="AN6" i="72"/>
  <c r="AN41" i="72"/>
  <c r="BN31" i="72"/>
  <c r="AT25" i="72"/>
  <c r="AX25" i="72"/>
  <c r="AX28" i="72"/>
  <c r="AM28" i="72"/>
  <c r="AR28" i="72"/>
  <c r="AV28" i="72" s="1"/>
  <c r="AT28" i="72"/>
  <c r="BB20" i="72"/>
  <c r="BA20" i="72"/>
  <c r="AW20" i="72"/>
  <c r="BK20" i="72"/>
  <c r="I20" i="72" s="1"/>
  <c r="BI20" i="72"/>
  <c r="AZ20" i="72" s="1"/>
  <c r="AX20" i="72"/>
  <c r="AY20" i="72"/>
  <c r="BB29" i="72"/>
  <c r="BA29" i="72"/>
  <c r="BK29" i="72"/>
  <c r="I29" i="72" s="1"/>
  <c r="AY29" i="72"/>
  <c r="BI29" i="72"/>
  <c r="AZ29" i="72" s="1"/>
  <c r="AW29" i="72"/>
  <c r="BK17" i="72"/>
  <c r="I17" i="72" s="1"/>
  <c r="AY17" i="72"/>
  <c r="BB17" i="72"/>
  <c r="BA17" i="72"/>
  <c r="BI17" i="72"/>
  <c r="AZ17" i="72" s="1"/>
  <c r="AW17" i="72"/>
  <c r="BB26" i="72"/>
  <c r="BK26" i="72"/>
  <c r="I26" i="72" s="1"/>
  <c r="AY26" i="72"/>
  <c r="BI26" i="72"/>
  <c r="AW26" i="72"/>
  <c r="BA26" i="72"/>
  <c r="BB12" i="72"/>
  <c r="BA12" i="72"/>
  <c r="BI12" i="72"/>
  <c r="AZ12" i="72" s="1"/>
  <c r="AX12" i="72"/>
  <c r="AW12" i="72"/>
  <c r="BK12" i="72"/>
  <c r="AY12" i="72"/>
  <c r="BK23" i="72"/>
  <c r="I23" i="72" s="1"/>
  <c r="AY23" i="72"/>
  <c r="BI23" i="72"/>
  <c r="AZ23" i="72" s="1"/>
  <c r="AW23" i="72"/>
  <c r="BB23" i="72"/>
  <c r="BA23" i="72"/>
  <c r="B12" i="72"/>
  <c r="BN32" i="72"/>
  <c r="BJ32" i="72"/>
  <c r="H32" i="72" s="1"/>
  <c r="BF32" i="72" s="1"/>
  <c r="AK32" i="72"/>
  <c r="BM32" i="72"/>
  <c r="AO10" i="72"/>
  <c r="I10" i="72"/>
  <c r="AZ32" i="72"/>
  <c r="BK21" i="72"/>
  <c r="I21" i="72" s="1"/>
  <c r="AY21" i="72"/>
  <c r="BB21" i="72"/>
  <c r="BA21" i="72"/>
  <c r="BI21" i="72"/>
  <c r="AZ21" i="72" s="1"/>
  <c r="AW21" i="72"/>
  <c r="AM14" i="72"/>
  <c r="AP14" i="72" s="1"/>
  <c r="BG14" i="72" s="1"/>
  <c r="AT14" i="72"/>
  <c r="AR14" i="72"/>
  <c r="AV14" i="72" s="1"/>
  <c r="BB16" i="72"/>
  <c r="BA16" i="72"/>
  <c r="AY16" i="72"/>
  <c r="AW16" i="72"/>
  <c r="BK16" i="72"/>
  <c r="I16" i="72" s="1"/>
  <c r="BI16" i="72"/>
  <c r="BJ11" i="72"/>
  <c r="H11" i="72" s="1"/>
  <c r="BF11" i="72" s="1"/>
  <c r="AK11" i="72"/>
  <c r="BM11" i="72"/>
  <c r="BN11" i="72"/>
  <c r="BK24" i="72"/>
  <c r="I24" i="72" s="1"/>
  <c r="AY24" i="72"/>
  <c r="BB24" i="72"/>
  <c r="BA24" i="72"/>
  <c r="AW24" i="72"/>
  <c r="BI24" i="72"/>
  <c r="BK30" i="72"/>
  <c r="I30" i="72" s="1"/>
  <c r="AY30" i="72"/>
  <c r="BB30" i="72"/>
  <c r="BA30" i="72"/>
  <c r="BI30" i="72"/>
  <c r="AW30" i="72"/>
  <c r="BK9" i="72"/>
  <c r="AY9" i="72"/>
  <c r="BB9" i="72"/>
  <c r="BA9" i="72"/>
  <c r="AX9" i="72"/>
  <c r="AW9" i="72"/>
  <c r="BI9" i="72"/>
  <c r="AZ9" i="72" s="1"/>
  <c r="AK15" i="72"/>
  <c r="BN15" i="72"/>
  <c r="BM15" i="72"/>
  <c r="BJ19" i="72"/>
  <c r="H19" i="72" s="1"/>
  <c r="BF19" i="72" s="1"/>
  <c r="AK19" i="72"/>
  <c r="BN19" i="72"/>
  <c r="BM19" i="72"/>
  <c r="E41" i="72"/>
  <c r="AV41" i="72"/>
  <c r="AV45" i="72" s="1"/>
  <c r="Q5" i="72"/>
  <c r="BK27" i="72"/>
  <c r="I27" i="72" s="1"/>
  <c r="AY27" i="72"/>
  <c r="BB27" i="72"/>
  <c r="BA27" i="72"/>
  <c r="AW27" i="72"/>
  <c r="BI27" i="72"/>
  <c r="AJ16" i="72"/>
  <c r="BM18" i="72"/>
  <c r="BJ18" i="72"/>
  <c r="H18" i="72" s="1"/>
  <c r="BF18" i="72" s="1"/>
  <c r="AK18" i="72"/>
  <c r="BN18" i="72"/>
  <c r="BM10" i="72"/>
  <c r="BJ10" i="72"/>
  <c r="H10" i="72" s="1"/>
  <c r="BF10" i="72" s="1"/>
  <c r="AK10" i="72"/>
  <c r="BN10" i="72"/>
  <c r="BB8" i="72"/>
  <c r="AX8" i="72"/>
  <c r="AW8" i="72"/>
  <c r="BA8" i="72"/>
  <c r="BK8" i="72"/>
  <c r="BI8" i="72"/>
  <c r="AY8" i="72"/>
  <c r="BK13" i="72"/>
  <c r="AY13" i="72"/>
  <c r="AX13" i="72"/>
  <c r="BB13" i="72"/>
  <c r="BA13" i="72"/>
  <c r="AW13" i="72"/>
  <c r="BI13" i="72"/>
  <c r="AZ4" i="80" l="1"/>
  <c r="BF9" i="80"/>
  <c r="AP9" i="80"/>
  <c r="BG9" i="80" s="1"/>
  <c r="B13" i="80"/>
  <c r="AP13" i="80" s="1"/>
  <c r="BG13" i="80" s="1"/>
  <c r="H41" i="80"/>
  <c r="AM8" i="80"/>
  <c r="AT8" i="80"/>
  <c r="AR8" i="80"/>
  <c r="AM12" i="80"/>
  <c r="AT12" i="80"/>
  <c r="AR12" i="80"/>
  <c r="AV12" i="80" s="1"/>
  <c r="AM20" i="80"/>
  <c r="AT20" i="80"/>
  <c r="AR20" i="80"/>
  <c r="AV20" i="80" s="1"/>
  <c r="AX20" i="80"/>
  <c r="AM21" i="80"/>
  <c r="AT21" i="80"/>
  <c r="AR21" i="80"/>
  <c r="AV21" i="80" s="1"/>
  <c r="AX21" i="80"/>
  <c r="AM16" i="80"/>
  <c r="AT16" i="80"/>
  <c r="AR16" i="80"/>
  <c r="AV16" i="80" s="1"/>
  <c r="AX16" i="80"/>
  <c r="AP12" i="80"/>
  <c r="BG12" i="80" s="1"/>
  <c r="AM13" i="80"/>
  <c r="AT13" i="80"/>
  <c r="AR13" i="80"/>
  <c r="AV13" i="80" s="1"/>
  <c r="AM17" i="80"/>
  <c r="AT17" i="80"/>
  <c r="AR17" i="80"/>
  <c r="AV17" i="80" s="1"/>
  <c r="AX17" i="80"/>
  <c r="AM30" i="80"/>
  <c r="AT30" i="80"/>
  <c r="AR30" i="80"/>
  <c r="AV30" i="80" s="1"/>
  <c r="AX30" i="80"/>
  <c r="AM24" i="80"/>
  <c r="AT24" i="80"/>
  <c r="AR24" i="80"/>
  <c r="AV24" i="80" s="1"/>
  <c r="AX24" i="80"/>
  <c r="AJ18" i="80"/>
  <c r="AJ19" i="80" s="1"/>
  <c r="AM27" i="80"/>
  <c r="AT27" i="80"/>
  <c r="AR27" i="80"/>
  <c r="AV27" i="80" s="1"/>
  <c r="AX27" i="80"/>
  <c r="AM9" i="80"/>
  <c r="AT9" i="80"/>
  <c r="AR9" i="80"/>
  <c r="AV9" i="80" s="1"/>
  <c r="AP17" i="78"/>
  <c r="B18" i="78"/>
  <c r="BF10" i="78"/>
  <c r="AP10" i="78"/>
  <c r="BG10" i="78" s="1"/>
  <c r="AP14" i="78"/>
  <c r="BG14" i="78" s="1"/>
  <c r="AM13" i="78"/>
  <c r="AT13" i="78"/>
  <c r="AR13" i="78"/>
  <c r="AV13" i="78" s="1"/>
  <c r="AM9" i="78"/>
  <c r="AP9" i="78" s="1"/>
  <c r="BG9" i="78" s="1"/>
  <c r="AT9" i="78"/>
  <c r="AR9" i="78"/>
  <c r="AV9" i="78" s="1"/>
  <c r="AM17" i="78"/>
  <c r="AT17" i="78"/>
  <c r="AR17" i="78"/>
  <c r="AV17" i="78" s="1"/>
  <c r="AX17" i="78"/>
  <c r="AP13" i="78"/>
  <c r="BG13" i="78" s="1"/>
  <c r="AT18" i="78"/>
  <c r="AR18" i="78"/>
  <c r="AV18" i="78" s="1"/>
  <c r="AM18" i="78"/>
  <c r="AX18" i="78"/>
  <c r="AV8" i="78"/>
  <c r="AJ22" i="78"/>
  <c r="AZ4" i="78"/>
  <c r="AP8" i="78"/>
  <c r="BG8" i="78" s="1"/>
  <c r="AM24" i="78"/>
  <c r="AT24" i="78"/>
  <c r="AR24" i="78"/>
  <c r="AV24" i="78" s="1"/>
  <c r="AX24" i="78"/>
  <c r="AT14" i="78"/>
  <c r="AR14" i="78"/>
  <c r="AV14" i="78" s="1"/>
  <c r="AM14" i="78"/>
  <c r="AM21" i="78"/>
  <c r="AP21" i="78" s="1"/>
  <c r="BG21" i="78" s="1"/>
  <c r="AT21" i="78"/>
  <c r="AR21" i="78"/>
  <c r="AV21" i="78" s="1"/>
  <c r="AT10" i="78"/>
  <c r="AR10" i="78"/>
  <c r="AV10" i="78" s="1"/>
  <c r="AM10" i="78"/>
  <c r="AP10" i="72"/>
  <c r="BG10" i="72" s="1"/>
  <c r="AR11" i="72"/>
  <c r="AV11" i="72" s="1"/>
  <c r="AT11" i="72"/>
  <c r="AM11" i="72"/>
  <c r="BJ27" i="72"/>
  <c r="H27" i="72" s="1"/>
  <c r="BF27" i="72" s="1"/>
  <c r="AK27" i="72"/>
  <c r="BN27" i="72"/>
  <c r="BM27" i="72"/>
  <c r="BJ24" i="72"/>
  <c r="H24" i="72" s="1"/>
  <c r="BF24" i="72" s="1"/>
  <c r="AK24" i="72"/>
  <c r="BN24" i="72"/>
  <c r="BM24" i="72"/>
  <c r="AK16" i="72"/>
  <c r="BJ16" i="72"/>
  <c r="H16" i="72" s="1"/>
  <c r="BF16" i="72" s="1"/>
  <c r="BN16" i="72"/>
  <c r="BM16" i="72"/>
  <c r="I8" i="72"/>
  <c r="AO8" i="72"/>
  <c r="AR15" i="72"/>
  <c r="AV15" i="72" s="1"/>
  <c r="AM15" i="72"/>
  <c r="AP15" i="72" s="1"/>
  <c r="BG15" i="72" s="1"/>
  <c r="AT15" i="72"/>
  <c r="BJ13" i="72"/>
  <c r="H13" i="72" s="1"/>
  <c r="BF13" i="72" s="1"/>
  <c r="AK13" i="72"/>
  <c r="BN13" i="72"/>
  <c r="BM13" i="72"/>
  <c r="AO12" i="72"/>
  <c r="I12" i="72"/>
  <c r="AK20" i="72"/>
  <c r="BN20" i="72"/>
  <c r="BM20" i="72"/>
  <c r="I9" i="72"/>
  <c r="AO9" i="72"/>
  <c r="AM10" i="72"/>
  <c r="AT10" i="72"/>
  <c r="AR10" i="72"/>
  <c r="AV10" i="72" s="1"/>
  <c r="AZ27" i="72"/>
  <c r="AY4" i="72"/>
  <c r="AP11" i="72"/>
  <c r="BG11" i="72" s="1"/>
  <c r="BJ30" i="72"/>
  <c r="H30" i="72" s="1"/>
  <c r="BF30" i="72" s="1"/>
  <c r="AK30" i="72"/>
  <c r="AZ30" i="72" s="1"/>
  <c r="BN30" i="72"/>
  <c r="BM30" i="72"/>
  <c r="BJ9" i="72"/>
  <c r="H9" i="72" s="1"/>
  <c r="AK9" i="72"/>
  <c r="BN9" i="72"/>
  <c r="BM9" i="72"/>
  <c r="BJ12" i="72"/>
  <c r="H12" i="72" s="1"/>
  <c r="BF12" i="72" s="1"/>
  <c r="AK12" i="72"/>
  <c r="BN12" i="72"/>
  <c r="BM12" i="72"/>
  <c r="B13" i="72"/>
  <c r="I13" i="72"/>
  <c r="AO13" i="72"/>
  <c r="AR19" i="72"/>
  <c r="AV19" i="72" s="1"/>
  <c r="AT19" i="72"/>
  <c r="AM19" i="72"/>
  <c r="AX19" i="72"/>
  <c r="AZ24" i="72"/>
  <c r="AR32" i="72"/>
  <c r="AV32" i="72" s="1"/>
  <c r="AM32" i="72"/>
  <c r="AT32" i="72"/>
  <c r="AX32" i="72"/>
  <c r="AK8" i="72"/>
  <c r="BN8" i="72"/>
  <c r="BM8" i="72"/>
  <c r="AZ16" i="72"/>
  <c r="BJ21" i="72"/>
  <c r="H21" i="72" s="1"/>
  <c r="BF21" i="72" s="1"/>
  <c r="AK21" i="72"/>
  <c r="BN21" i="72"/>
  <c r="BM21" i="72"/>
  <c r="BJ26" i="72"/>
  <c r="H26" i="72" s="1"/>
  <c r="BF26" i="72" s="1"/>
  <c r="AK26" i="72"/>
  <c r="AZ26" i="72" s="1"/>
  <c r="BM26" i="72"/>
  <c r="BN26" i="72"/>
  <c r="BA4" i="72"/>
  <c r="AM18" i="72"/>
  <c r="AT18" i="72"/>
  <c r="AR18" i="72"/>
  <c r="AV18" i="72" s="1"/>
  <c r="AX18" i="72"/>
  <c r="AZ13" i="72"/>
  <c r="AZ8" i="72"/>
  <c r="BB4" i="72"/>
  <c r="AJ17" i="72"/>
  <c r="BJ29" i="72"/>
  <c r="H29" i="72" s="1"/>
  <c r="BF29" i="72" s="1"/>
  <c r="AK29" i="72"/>
  <c r="BN29" i="72"/>
  <c r="BM29" i="72"/>
  <c r="BJ23" i="72"/>
  <c r="H23" i="72" s="1"/>
  <c r="BF23" i="72" s="1"/>
  <c r="AK23" i="72"/>
  <c r="BM23" i="72"/>
  <c r="BN23" i="72"/>
  <c r="BJ17" i="72"/>
  <c r="H17" i="72" s="1"/>
  <c r="BF17" i="72" s="1"/>
  <c r="AK17" i="72"/>
  <c r="BM17" i="72"/>
  <c r="BN17" i="72"/>
  <c r="BG17" i="78" l="1"/>
  <c r="AV8" i="80"/>
  <c r="AR41" i="80"/>
  <c r="B16" i="80"/>
  <c r="AT41" i="80"/>
  <c r="AJ20" i="80"/>
  <c r="AM6" i="80"/>
  <c r="J41" i="80" s="1"/>
  <c r="AM41" i="80"/>
  <c r="AX4" i="80" s="1"/>
  <c r="AP8" i="80"/>
  <c r="BG8" i="80" s="1"/>
  <c r="AT41" i="78"/>
  <c r="AM41" i="78"/>
  <c r="AX4" i="78" s="1"/>
  <c r="AM6" i="78"/>
  <c r="J41" i="78" s="1"/>
  <c r="AJ23" i="78"/>
  <c r="AR41" i="78"/>
  <c r="AP18" i="78"/>
  <c r="BG18" i="78" s="1"/>
  <c r="B19" i="78"/>
  <c r="AT8" i="72"/>
  <c r="AR8" i="72"/>
  <c r="AM8" i="72"/>
  <c r="AT26" i="72"/>
  <c r="AM26" i="72"/>
  <c r="AR26" i="72"/>
  <c r="AV26" i="72" s="1"/>
  <c r="AX26" i="72"/>
  <c r="AT20" i="72"/>
  <c r="AR20" i="72"/>
  <c r="AV20" i="72" s="1"/>
  <c r="AM20" i="72"/>
  <c r="AP20" i="72" s="1"/>
  <c r="BG20" i="72" s="1"/>
  <c r="AM9" i="72"/>
  <c r="AR9" i="72"/>
  <c r="AV9" i="72" s="1"/>
  <c r="AT9" i="72"/>
  <c r="AT29" i="72"/>
  <c r="AM29" i="72"/>
  <c r="AR29" i="72"/>
  <c r="AV29" i="72" s="1"/>
  <c r="AX29" i="72"/>
  <c r="AP13" i="72"/>
  <c r="BG13" i="72" s="1"/>
  <c r="B16" i="72"/>
  <c r="AP16" i="72" s="1"/>
  <c r="AT16" i="72"/>
  <c r="AR16" i="72"/>
  <c r="AV16" i="72" s="1"/>
  <c r="AM16" i="72"/>
  <c r="AX16" i="72"/>
  <c r="AM17" i="72"/>
  <c r="AR17" i="72"/>
  <c r="AV17" i="72" s="1"/>
  <c r="AT17" i="72"/>
  <c r="AX17" i="72"/>
  <c r="AM30" i="72"/>
  <c r="AT30" i="72"/>
  <c r="AR30" i="72"/>
  <c r="AV30" i="72" s="1"/>
  <c r="AX30" i="72"/>
  <c r="AJ18" i="72"/>
  <c r="AZ4" i="72"/>
  <c r="AT23" i="72"/>
  <c r="AM23" i="72"/>
  <c r="AR23" i="72"/>
  <c r="AV23" i="72" s="1"/>
  <c r="AX23" i="72"/>
  <c r="AM21" i="72"/>
  <c r="AR21" i="72"/>
  <c r="AV21" i="72" s="1"/>
  <c r="AT21" i="72"/>
  <c r="AX21" i="72"/>
  <c r="AP12" i="72"/>
  <c r="BG12" i="72" s="1"/>
  <c r="BF9" i="72"/>
  <c r="AP9" i="72"/>
  <c r="BG9" i="72" s="1"/>
  <c r="B17" i="72"/>
  <c r="AP17" i="72" s="1"/>
  <c r="AM13" i="72"/>
  <c r="AR13" i="72"/>
  <c r="AV13" i="72" s="1"/>
  <c r="AT13" i="72"/>
  <c r="AT12" i="72"/>
  <c r="AR12" i="72"/>
  <c r="AV12" i="72" s="1"/>
  <c r="AM12" i="72"/>
  <c r="AM24" i="72"/>
  <c r="AR24" i="72"/>
  <c r="AV24" i="72" s="1"/>
  <c r="AT24" i="72"/>
  <c r="AX24" i="72"/>
  <c r="AM27" i="72"/>
  <c r="AT27" i="72"/>
  <c r="AR27" i="72"/>
  <c r="AV27" i="72" s="1"/>
  <c r="AX27" i="72"/>
  <c r="H41" i="72" l="1"/>
  <c r="AR45" i="78"/>
  <c r="AR45" i="80"/>
  <c r="U45" i="80" s="1"/>
  <c r="Q40" i="80" s="1"/>
  <c r="F41" i="80"/>
  <c r="U47" i="80" s="1"/>
  <c r="U49" i="80" s="1"/>
  <c r="Q6" i="80"/>
  <c r="AW4" i="80"/>
  <c r="AJ21" i="80"/>
  <c r="AJ22" i="80" s="1"/>
  <c r="AP16" i="80"/>
  <c r="BG16" i="80" s="1"/>
  <c r="B18" i="80"/>
  <c r="AP18" i="80" s="1"/>
  <c r="BG18" i="80" s="1"/>
  <c r="B17" i="80"/>
  <c r="AP17" i="80" s="1"/>
  <c r="BG17" i="80" s="1"/>
  <c r="B20" i="80"/>
  <c r="U45" i="78"/>
  <c r="Q40" i="78" s="1"/>
  <c r="AJ24" i="78"/>
  <c r="AR46" i="78"/>
  <c r="B41" i="78" s="1"/>
  <c r="AP19" i="78"/>
  <c r="BG19" i="78" s="1"/>
  <c r="B20" i="78"/>
  <c r="F41" i="78"/>
  <c r="U47" i="78" s="1"/>
  <c r="U49" i="78" s="1"/>
  <c r="Q6" i="78"/>
  <c r="AW4" i="78"/>
  <c r="BG16" i="72"/>
  <c r="B18" i="72"/>
  <c r="AJ19" i="72"/>
  <c r="BG17" i="72"/>
  <c r="AM41" i="72"/>
  <c r="AM6" i="72"/>
  <c r="AP8" i="72"/>
  <c r="BG8" i="72" s="1"/>
  <c r="AT41" i="72"/>
  <c r="AV8" i="72"/>
  <c r="AR41" i="72"/>
  <c r="B19" i="72"/>
  <c r="AP19" i="72" s="1"/>
  <c r="BG19" i="72" s="1"/>
  <c r="U44" i="78" l="1"/>
  <c r="O40" i="78" s="1"/>
  <c r="U44" i="80"/>
  <c r="O40" i="80" s="1"/>
  <c r="AR46" i="80"/>
  <c r="B41" i="80" s="1"/>
  <c r="AP20" i="80"/>
  <c r="BG20" i="80" s="1"/>
  <c r="B21" i="80"/>
  <c r="AJ23" i="80"/>
  <c r="AP20" i="78"/>
  <c r="BG20" i="78" s="1"/>
  <c r="B22" i="78"/>
  <c r="AP22" i="78" s="1"/>
  <c r="BG22" i="78" s="1"/>
  <c r="B23" i="78"/>
  <c r="AJ25" i="78"/>
  <c r="AI16" i="78"/>
  <c r="C16" i="78" s="1"/>
  <c r="AI8" i="78"/>
  <c r="C8" i="78" s="1"/>
  <c r="AR45" i="72"/>
  <c r="AR46" i="72" s="1"/>
  <c r="B41" i="72" s="1"/>
  <c r="AW4" i="72"/>
  <c r="B22" i="72"/>
  <c r="AP22" i="72" s="1"/>
  <c r="BG22" i="72" s="1"/>
  <c r="AJ20" i="72"/>
  <c r="AX4" i="72"/>
  <c r="AP18" i="72"/>
  <c r="BG18" i="72" s="1"/>
  <c r="B21" i="72"/>
  <c r="AP21" i="72" s="1"/>
  <c r="BG21" i="72" s="1"/>
  <c r="F41" i="72" l="1"/>
  <c r="U47" i="72" s="1"/>
  <c r="U49" i="72" s="1"/>
  <c r="J41" i="72"/>
  <c r="AP21" i="80"/>
  <c r="BG21" i="80" s="1"/>
  <c r="B23" i="80"/>
  <c r="AJ24" i="80"/>
  <c r="AP23" i="78"/>
  <c r="BG23" i="78" s="1"/>
  <c r="B24" i="78"/>
  <c r="AI9" i="78"/>
  <c r="AI15" i="78"/>
  <c r="C15" i="78" s="1"/>
  <c r="AI21" i="78"/>
  <c r="C21" i="78" s="1"/>
  <c r="U45" i="72"/>
  <c r="Q40" i="72" s="1"/>
  <c r="U44" i="72"/>
  <c r="O40" i="72" s="1"/>
  <c r="B23" i="72"/>
  <c r="AI20" i="72"/>
  <c r="C20" i="72" s="1"/>
  <c r="AJ21" i="72"/>
  <c r="AJ22" i="72" s="1"/>
  <c r="AJ23" i="72" s="1"/>
  <c r="AJ24" i="72" s="1"/>
  <c r="AJ25" i="72" s="1"/>
  <c r="AJ26" i="72" s="1"/>
  <c r="AJ27" i="72" s="1"/>
  <c r="AJ28" i="72" s="1"/>
  <c r="AJ29" i="72" s="1"/>
  <c r="AJ30" i="72" s="1"/>
  <c r="AJ31" i="72" s="1"/>
  <c r="AJ32" i="72" s="1"/>
  <c r="AI15" i="72" l="1"/>
  <c r="C15" i="72" s="1"/>
  <c r="AI8" i="72"/>
  <c r="C8" i="72" s="1"/>
  <c r="AI14" i="72"/>
  <c r="C14" i="72" s="1"/>
  <c r="Q6" i="72"/>
  <c r="F9" i="5" s="1"/>
  <c r="C9" i="14" s="1"/>
  <c r="AJ25" i="80"/>
  <c r="AP23" i="80"/>
  <c r="BG23" i="80" s="1"/>
  <c r="B24" i="80"/>
  <c r="C9" i="78"/>
  <c r="AI43" i="78"/>
  <c r="AP24" i="78"/>
  <c r="BG24" i="78" s="1"/>
  <c r="B25" i="78"/>
  <c r="AP25" i="78" s="1"/>
  <c r="BG25" i="78" s="1"/>
  <c r="AP23" i="72"/>
  <c r="BG23" i="72" s="1"/>
  <c r="B24" i="72"/>
  <c r="AI43" i="72" l="1"/>
  <c r="F18" i="9"/>
  <c r="AJ26" i="80"/>
  <c r="AJ27" i="80" s="1"/>
  <c r="AJ28" i="80" s="1"/>
  <c r="AJ29" i="80" s="1"/>
  <c r="AP24" i="80"/>
  <c r="BG24" i="80" s="1"/>
  <c r="B25" i="80"/>
  <c r="AP24" i="72"/>
  <c r="BG24" i="72" s="1"/>
  <c r="B25" i="72"/>
  <c r="AP25" i="80" l="1"/>
  <c r="BG25" i="80" s="1"/>
  <c r="B26" i="80"/>
  <c r="AJ30" i="80"/>
  <c r="AP25" i="72"/>
  <c r="BG25" i="72" s="1"/>
  <c r="B26" i="72"/>
  <c r="AI8" i="80" l="1"/>
  <c r="C8" i="80" s="1"/>
  <c r="AI14" i="80"/>
  <c r="AI15" i="80"/>
  <c r="C15" i="80" s="1"/>
  <c r="AI19" i="80"/>
  <c r="C19" i="80" s="1"/>
  <c r="AI22" i="80"/>
  <c r="C22" i="80" s="1"/>
  <c r="AI29" i="80"/>
  <c r="C29" i="80" s="1"/>
  <c r="AP26" i="80"/>
  <c r="BG26" i="80" s="1"/>
  <c r="B27" i="80"/>
  <c r="AP26" i="72"/>
  <c r="BG26" i="72" s="1"/>
  <c r="B27" i="72"/>
  <c r="AP27" i="80" l="1"/>
  <c r="BG27" i="80" s="1"/>
  <c r="B28" i="80"/>
  <c r="C14" i="80"/>
  <c r="AI43" i="80"/>
  <c r="AP27" i="72"/>
  <c r="BG27" i="72" s="1"/>
  <c r="B28" i="72"/>
  <c r="AP28" i="80" l="1"/>
  <c r="BG28" i="80" s="1"/>
  <c r="B30" i="80"/>
  <c r="AP30" i="80" s="1"/>
  <c r="BG30" i="80" s="1"/>
  <c r="AP28" i="72"/>
  <c r="BG28" i="72" s="1"/>
  <c r="B29" i="72"/>
  <c r="AP29" i="72" l="1"/>
  <c r="BG29" i="72" s="1"/>
  <c r="B30" i="72"/>
  <c r="AP30" i="72" l="1"/>
  <c r="BG30" i="72" s="1"/>
  <c r="B31" i="72"/>
  <c r="AP31" i="72" l="1"/>
  <c r="BG31" i="72" s="1"/>
  <c r="B32" i="72"/>
  <c r="AP32" i="72" s="1"/>
  <c r="BG32" i="72" s="1"/>
  <c r="U47" i="70" l="1"/>
  <c r="BE43" i="70"/>
  <c r="AT43" i="70"/>
  <c r="AT44" i="70" s="1"/>
  <c r="AR44" i="70" s="1"/>
  <c r="H41" i="70"/>
  <c r="BN39" i="70"/>
  <c r="BK39" i="70"/>
  <c r="I39" i="70" s="1"/>
  <c r="BJ39" i="70"/>
  <c r="H39" i="70" s="1"/>
  <c r="BF39" i="70" s="1"/>
  <c r="BI39" i="70"/>
  <c r="AK39" i="70" s="1"/>
  <c r="AM39" i="70" s="1"/>
  <c r="BH39" i="70"/>
  <c r="G39" i="70" s="1"/>
  <c r="BG39" i="70"/>
  <c r="BE39" i="70"/>
  <c r="BD39" i="70"/>
  <c r="BC39" i="70"/>
  <c r="BB39" i="70"/>
  <c r="BA39" i="70"/>
  <c r="AZ39" i="70"/>
  <c r="AY39" i="70"/>
  <c r="AX39" i="70"/>
  <c r="AW39" i="70"/>
  <c r="AU39" i="70"/>
  <c r="AT39" i="70"/>
  <c r="AS39" i="70"/>
  <c r="AR39" i="70"/>
  <c r="AV39" i="70" s="1"/>
  <c r="AQ39" i="70"/>
  <c r="AP39" i="70"/>
  <c r="AO39" i="70"/>
  <c r="AL39" i="70"/>
  <c r="AJ39" i="70"/>
  <c r="AI39" i="70"/>
  <c r="AH39" i="70"/>
  <c r="AN39" i="70" s="1"/>
  <c r="AG39" i="70"/>
  <c r="C39" i="70"/>
  <c r="B39" i="70"/>
  <c r="BN38" i="70"/>
  <c r="BL38" i="70"/>
  <c r="BK38" i="70"/>
  <c r="I38" i="70" s="1"/>
  <c r="BJ38" i="70"/>
  <c r="H38" i="70" s="1"/>
  <c r="BF38" i="70" s="1"/>
  <c r="BI38" i="70"/>
  <c r="BM38" i="70" s="1"/>
  <c r="BH38" i="70"/>
  <c r="G38" i="70" s="1"/>
  <c r="BG38" i="70"/>
  <c r="BE38" i="70"/>
  <c r="BD38" i="70"/>
  <c r="BC38" i="70"/>
  <c r="BB38" i="70"/>
  <c r="BA38" i="70"/>
  <c r="AZ38" i="70"/>
  <c r="AY38" i="70"/>
  <c r="AX38" i="70"/>
  <c r="AW38" i="70"/>
  <c r="AU38" i="70"/>
  <c r="AT38" i="70"/>
  <c r="AS38" i="70"/>
  <c r="AR38" i="70"/>
  <c r="AV38" i="70" s="1"/>
  <c r="AQ38" i="70"/>
  <c r="AP38" i="70"/>
  <c r="AO38" i="70"/>
  <c r="AL38" i="70"/>
  <c r="AJ38" i="70"/>
  <c r="AI38" i="70"/>
  <c r="AH38" i="70"/>
  <c r="AN38" i="70" s="1"/>
  <c r="AG38" i="70"/>
  <c r="C38" i="70"/>
  <c r="B38" i="70"/>
  <c r="BN37" i="70"/>
  <c r="BL37" i="70"/>
  <c r="BK37" i="70"/>
  <c r="I37" i="70" s="1"/>
  <c r="BJ37" i="70"/>
  <c r="H37" i="70" s="1"/>
  <c r="BF37" i="70" s="1"/>
  <c r="BI37" i="70"/>
  <c r="BM37" i="70" s="1"/>
  <c r="BH37" i="70"/>
  <c r="BG37" i="70"/>
  <c r="BE37" i="70"/>
  <c r="BD37" i="70"/>
  <c r="BC37" i="70"/>
  <c r="BB37" i="70"/>
  <c r="BA37" i="70"/>
  <c r="AZ37" i="70"/>
  <c r="AY37" i="70"/>
  <c r="AX37" i="70"/>
  <c r="AW37" i="70"/>
  <c r="AU37" i="70"/>
  <c r="AT37" i="70"/>
  <c r="AS37" i="70"/>
  <c r="AR37" i="70"/>
  <c r="AV37" i="70" s="1"/>
  <c r="AQ37" i="70"/>
  <c r="AP37" i="70"/>
  <c r="AO37" i="70"/>
  <c r="AL37" i="70"/>
  <c r="AJ37" i="70"/>
  <c r="AI37" i="70"/>
  <c r="AH37" i="70"/>
  <c r="AN37" i="70" s="1"/>
  <c r="AG37" i="70"/>
  <c r="G37" i="70"/>
  <c r="C37" i="70"/>
  <c r="B37" i="70"/>
  <c r="BN36" i="70"/>
  <c r="BL36" i="70"/>
  <c r="BK36" i="70"/>
  <c r="I36" i="70" s="1"/>
  <c r="BJ36" i="70"/>
  <c r="H36" i="70" s="1"/>
  <c r="BF36" i="70" s="1"/>
  <c r="BI36" i="70"/>
  <c r="AK36" i="70" s="1"/>
  <c r="AM36" i="70" s="1"/>
  <c r="BH36" i="70"/>
  <c r="BG36" i="70"/>
  <c r="BE36" i="70"/>
  <c r="BD36" i="70"/>
  <c r="BC36" i="70"/>
  <c r="BB36" i="70"/>
  <c r="BA36" i="70"/>
  <c r="AZ36" i="70"/>
  <c r="AY36" i="70"/>
  <c r="AX36" i="70"/>
  <c r="AW36" i="70"/>
  <c r="AU36" i="70"/>
  <c r="AT36" i="70"/>
  <c r="AS36" i="70"/>
  <c r="AR36" i="70"/>
  <c r="AV36" i="70" s="1"/>
  <c r="AQ36" i="70"/>
  <c r="AP36" i="70"/>
  <c r="AO36" i="70"/>
  <c r="AL36" i="70"/>
  <c r="AJ36" i="70"/>
  <c r="AI36" i="70"/>
  <c r="AH36" i="70"/>
  <c r="AN36" i="70" s="1"/>
  <c r="AG36" i="70"/>
  <c r="G36" i="70"/>
  <c r="C36" i="70"/>
  <c r="B36" i="70"/>
  <c r="BN35" i="70"/>
  <c r="BK35" i="70"/>
  <c r="I35" i="70" s="1"/>
  <c r="BJ35" i="70"/>
  <c r="H35" i="70" s="1"/>
  <c r="BF35" i="70" s="1"/>
  <c r="BI35" i="70"/>
  <c r="AK35" i="70" s="1"/>
  <c r="AM35" i="70" s="1"/>
  <c r="BH35" i="70"/>
  <c r="G35" i="70" s="1"/>
  <c r="BG35" i="70"/>
  <c r="BE35" i="70"/>
  <c r="BD35" i="70"/>
  <c r="BC35" i="70"/>
  <c r="BB35" i="70"/>
  <c r="BA35" i="70"/>
  <c r="AZ35" i="70"/>
  <c r="AY35" i="70"/>
  <c r="AX35" i="70"/>
  <c r="AW35" i="70"/>
  <c r="AU35" i="70"/>
  <c r="AT35" i="70"/>
  <c r="AS35" i="70"/>
  <c r="AR35" i="70"/>
  <c r="AV35" i="70" s="1"/>
  <c r="AQ35" i="70"/>
  <c r="AP35" i="70"/>
  <c r="AO35" i="70"/>
  <c r="AL35" i="70"/>
  <c r="AJ35" i="70"/>
  <c r="AI35" i="70"/>
  <c r="AH35" i="70"/>
  <c r="AN35" i="70" s="1"/>
  <c r="AG35" i="70"/>
  <c r="C35" i="70"/>
  <c r="B35" i="70"/>
  <c r="BN34" i="70"/>
  <c r="BL34" i="70"/>
  <c r="BK34" i="70"/>
  <c r="I34" i="70" s="1"/>
  <c r="BJ34" i="70"/>
  <c r="H34" i="70" s="1"/>
  <c r="BF34" i="70" s="1"/>
  <c r="BI34" i="70"/>
  <c r="BM34" i="70" s="1"/>
  <c r="BH34" i="70"/>
  <c r="G34" i="70" s="1"/>
  <c r="BG34" i="70"/>
  <c r="BE34" i="70"/>
  <c r="BD34" i="70"/>
  <c r="BC34" i="70"/>
  <c r="BB34" i="70"/>
  <c r="BA34" i="70"/>
  <c r="AZ34" i="70"/>
  <c r="AY34" i="70"/>
  <c r="AX34" i="70"/>
  <c r="AW34" i="70"/>
  <c r="AU34" i="70"/>
  <c r="AT34" i="70"/>
  <c r="AS34" i="70"/>
  <c r="AR34" i="70"/>
  <c r="AV34" i="70" s="1"/>
  <c r="AQ34" i="70"/>
  <c r="AP34" i="70"/>
  <c r="AO34" i="70"/>
  <c r="AL34" i="70"/>
  <c r="AJ34" i="70"/>
  <c r="AI34" i="70"/>
  <c r="AH34" i="70"/>
  <c r="AN34" i="70" s="1"/>
  <c r="AG34" i="70"/>
  <c r="C34" i="70"/>
  <c r="B34" i="70"/>
  <c r="BN33" i="70"/>
  <c r="BL33" i="70"/>
  <c r="BK33" i="70"/>
  <c r="I33" i="70" s="1"/>
  <c r="BJ33" i="70"/>
  <c r="H33" i="70" s="1"/>
  <c r="BF33" i="70" s="1"/>
  <c r="BI33" i="70"/>
  <c r="BM33" i="70" s="1"/>
  <c r="BH33" i="70"/>
  <c r="BG33" i="70"/>
  <c r="BE33" i="70"/>
  <c r="BD33" i="70"/>
  <c r="BC33" i="70"/>
  <c r="BB33" i="70"/>
  <c r="BA33" i="70"/>
  <c r="AZ33" i="70"/>
  <c r="AY33" i="70"/>
  <c r="AX33" i="70"/>
  <c r="AW33" i="70"/>
  <c r="AU33" i="70"/>
  <c r="AT33" i="70"/>
  <c r="AS33" i="70"/>
  <c r="AR33" i="70"/>
  <c r="AV33" i="70" s="1"/>
  <c r="AQ33" i="70"/>
  <c r="AP33" i="70"/>
  <c r="AO33" i="70"/>
  <c r="AL33" i="70"/>
  <c r="AJ33" i="70"/>
  <c r="AI33" i="70"/>
  <c r="AH33" i="70"/>
  <c r="AN33" i="70" s="1"/>
  <c r="AG33" i="70"/>
  <c r="G33" i="70"/>
  <c r="C33" i="70"/>
  <c r="B33" i="70"/>
  <c r="BN32" i="70"/>
  <c r="BL32" i="70"/>
  <c r="BK32" i="70"/>
  <c r="I32" i="70" s="1"/>
  <c r="BJ32" i="70"/>
  <c r="H32" i="70" s="1"/>
  <c r="BF32" i="70" s="1"/>
  <c r="BI32" i="70"/>
  <c r="BM32" i="70" s="1"/>
  <c r="BH32" i="70"/>
  <c r="BG32" i="70"/>
  <c r="BE32" i="70"/>
  <c r="BD32" i="70"/>
  <c r="BC32" i="70"/>
  <c r="BB32" i="70"/>
  <c r="BA32" i="70"/>
  <c r="AZ32" i="70"/>
  <c r="AY32" i="70"/>
  <c r="AX32" i="70"/>
  <c r="AW32" i="70"/>
  <c r="AU32" i="70"/>
  <c r="AT32" i="70"/>
  <c r="AS32" i="70"/>
  <c r="AR32" i="70"/>
  <c r="AV32" i="70" s="1"/>
  <c r="AQ32" i="70"/>
  <c r="AP32" i="70"/>
  <c r="AO32" i="70"/>
  <c r="AL32" i="70"/>
  <c r="AJ32" i="70"/>
  <c r="AI32" i="70"/>
  <c r="AH32" i="70"/>
  <c r="AN32" i="70" s="1"/>
  <c r="AG32" i="70"/>
  <c r="G32" i="70"/>
  <c r="C32" i="70"/>
  <c r="B32" i="70"/>
  <c r="BN31" i="70"/>
  <c r="BK31" i="70"/>
  <c r="I31" i="70" s="1"/>
  <c r="BJ31" i="70"/>
  <c r="H31" i="70" s="1"/>
  <c r="BF31" i="70" s="1"/>
  <c r="BI31" i="70"/>
  <c r="AK31" i="70" s="1"/>
  <c r="AM31" i="70" s="1"/>
  <c r="BH31" i="70"/>
  <c r="G31" i="70" s="1"/>
  <c r="BG31" i="70"/>
  <c r="BE31" i="70"/>
  <c r="BD31" i="70"/>
  <c r="BC31" i="70"/>
  <c r="BB31" i="70"/>
  <c r="BA31" i="70"/>
  <c r="AZ31" i="70"/>
  <c r="AY31" i="70"/>
  <c r="AX31" i="70"/>
  <c r="AW31" i="70"/>
  <c r="AU31" i="70"/>
  <c r="AT31" i="70"/>
  <c r="AS31" i="70"/>
  <c r="AR31" i="70"/>
  <c r="AV31" i="70" s="1"/>
  <c r="AQ31" i="70"/>
  <c r="AP31" i="70"/>
  <c r="AO31" i="70"/>
  <c r="AL31" i="70"/>
  <c r="AJ31" i="70"/>
  <c r="AI31" i="70"/>
  <c r="AH31" i="70"/>
  <c r="AN31" i="70" s="1"/>
  <c r="AG31" i="70"/>
  <c r="C31" i="70"/>
  <c r="B31" i="70"/>
  <c r="BN30" i="70"/>
  <c r="BL30" i="70"/>
  <c r="BK30" i="70"/>
  <c r="I30" i="70" s="1"/>
  <c r="BJ30" i="70"/>
  <c r="H30" i="70" s="1"/>
  <c r="BF30" i="70" s="1"/>
  <c r="BI30" i="70"/>
  <c r="BM30" i="70" s="1"/>
  <c r="BH30" i="70"/>
  <c r="G30" i="70" s="1"/>
  <c r="BG30" i="70"/>
  <c r="BE30" i="70"/>
  <c r="BD30" i="70"/>
  <c r="BC30" i="70"/>
  <c r="BB30" i="70"/>
  <c r="BA30" i="70"/>
  <c r="AZ30" i="70"/>
  <c r="AY30" i="70"/>
  <c r="AX30" i="70"/>
  <c r="AW30" i="70"/>
  <c r="AU30" i="70"/>
  <c r="AT30" i="70"/>
  <c r="AS30" i="70"/>
  <c r="AR30" i="70"/>
  <c r="AV30" i="70" s="1"/>
  <c r="AQ30" i="70"/>
  <c r="AP30" i="70"/>
  <c r="AO30" i="70"/>
  <c r="AL30" i="70"/>
  <c r="AJ30" i="70"/>
  <c r="AI30" i="70"/>
  <c r="AH30" i="70"/>
  <c r="AN30" i="70" s="1"/>
  <c r="AG30" i="70"/>
  <c r="C30" i="70"/>
  <c r="B30" i="70"/>
  <c r="BU29" i="70"/>
  <c r="BT29" i="70"/>
  <c r="BS29" i="70"/>
  <c r="BR29" i="70"/>
  <c r="BQ29" i="70"/>
  <c r="BN29" i="70"/>
  <c r="BK29" i="70"/>
  <c r="I29" i="70" s="1"/>
  <c r="BJ29" i="70"/>
  <c r="H29" i="70" s="1"/>
  <c r="BF29" i="70" s="1"/>
  <c r="BI29" i="70"/>
  <c r="AK29" i="70" s="1"/>
  <c r="AM29" i="70" s="1"/>
  <c r="BH29" i="70"/>
  <c r="G29" i="70" s="1"/>
  <c r="BG29" i="70"/>
  <c r="BE29" i="70"/>
  <c r="BD29" i="70"/>
  <c r="BC29" i="70"/>
  <c r="BB29" i="70"/>
  <c r="BA29" i="70"/>
  <c r="AZ29" i="70"/>
  <c r="AY29" i="70"/>
  <c r="AX29" i="70"/>
  <c r="AW29" i="70"/>
  <c r="AU29" i="70"/>
  <c r="AT29" i="70"/>
  <c r="AS29" i="70"/>
  <c r="AR29" i="70"/>
  <c r="AV29" i="70" s="1"/>
  <c r="AQ29" i="70"/>
  <c r="AP29" i="70"/>
  <c r="AO29" i="70"/>
  <c r="AL29" i="70"/>
  <c r="AJ29" i="70"/>
  <c r="AI29" i="70"/>
  <c r="AH29" i="70"/>
  <c r="AN29" i="70" s="1"/>
  <c r="AG29" i="70"/>
  <c r="C29" i="70"/>
  <c r="B29" i="70"/>
  <c r="BU28" i="70"/>
  <c r="BT28" i="70"/>
  <c r="BS28" i="70"/>
  <c r="BR28" i="70"/>
  <c r="BQ28" i="70"/>
  <c r="BN28" i="70"/>
  <c r="BL28" i="70"/>
  <c r="BK28" i="70"/>
  <c r="I28" i="70" s="1"/>
  <c r="BJ28" i="70"/>
  <c r="H28" i="70" s="1"/>
  <c r="BF28" i="70" s="1"/>
  <c r="BI28" i="70"/>
  <c r="AK28" i="70" s="1"/>
  <c r="AM28" i="70" s="1"/>
  <c r="BH28" i="70"/>
  <c r="BG28" i="70"/>
  <c r="BE28" i="70"/>
  <c r="BD28" i="70"/>
  <c r="BC28" i="70"/>
  <c r="BB28" i="70"/>
  <c r="BA28" i="70"/>
  <c r="AZ28" i="70"/>
  <c r="AY28" i="70"/>
  <c r="AX28" i="70"/>
  <c r="AW28" i="70"/>
  <c r="AU28" i="70"/>
  <c r="AT28" i="70"/>
  <c r="AS28" i="70"/>
  <c r="AR28" i="70"/>
  <c r="AV28" i="70" s="1"/>
  <c r="AQ28" i="70"/>
  <c r="AP28" i="70"/>
  <c r="AO28" i="70"/>
  <c r="AL28" i="70"/>
  <c r="AJ28" i="70"/>
  <c r="AI28" i="70"/>
  <c r="AH28" i="70"/>
  <c r="AN28" i="70" s="1"/>
  <c r="AG28" i="70"/>
  <c r="G28" i="70"/>
  <c r="C28" i="70"/>
  <c r="B28" i="70"/>
  <c r="BU27" i="70"/>
  <c r="BT27" i="70"/>
  <c r="BS27" i="70"/>
  <c r="BR27" i="70"/>
  <c r="BQ27" i="70"/>
  <c r="BN27" i="70"/>
  <c r="BL27" i="70"/>
  <c r="BK27" i="70"/>
  <c r="I27" i="70" s="1"/>
  <c r="BJ27" i="70"/>
  <c r="H27" i="70" s="1"/>
  <c r="BF27" i="70" s="1"/>
  <c r="BI27" i="70"/>
  <c r="BM27" i="70" s="1"/>
  <c r="BH27" i="70"/>
  <c r="G27" i="70" s="1"/>
  <c r="BG27" i="70"/>
  <c r="BE27" i="70"/>
  <c r="BD27" i="70"/>
  <c r="BC27" i="70"/>
  <c r="BB27" i="70"/>
  <c r="BA27" i="70"/>
  <c r="AZ27" i="70"/>
  <c r="AY27" i="70"/>
  <c r="AX27" i="70"/>
  <c r="AW27" i="70"/>
  <c r="AU27" i="70"/>
  <c r="AT27" i="70"/>
  <c r="AS27" i="70"/>
  <c r="AR27" i="70"/>
  <c r="AV27" i="70" s="1"/>
  <c r="AQ27" i="70"/>
  <c r="AP27" i="70"/>
  <c r="AO27" i="70"/>
  <c r="AL27" i="70"/>
  <c r="AJ27" i="70"/>
  <c r="AI27" i="70"/>
  <c r="AH27" i="70"/>
  <c r="AN27" i="70" s="1"/>
  <c r="AG27" i="70"/>
  <c r="C27" i="70"/>
  <c r="B27" i="70"/>
  <c r="BU26" i="70"/>
  <c r="BT26" i="70"/>
  <c r="BS26" i="70"/>
  <c r="BR26" i="70"/>
  <c r="BQ26" i="70"/>
  <c r="BN26" i="70"/>
  <c r="BK26" i="70"/>
  <c r="I26" i="70" s="1"/>
  <c r="BJ26" i="70"/>
  <c r="H26" i="70" s="1"/>
  <c r="BF26" i="70" s="1"/>
  <c r="BI26" i="70"/>
  <c r="AK26" i="70" s="1"/>
  <c r="AM26" i="70" s="1"/>
  <c r="BH26" i="70"/>
  <c r="G26" i="70" s="1"/>
  <c r="BG26" i="70"/>
  <c r="BE26" i="70"/>
  <c r="BD26" i="70"/>
  <c r="BC26" i="70"/>
  <c r="BB26" i="70"/>
  <c r="BA26" i="70"/>
  <c r="AZ26" i="70"/>
  <c r="AY26" i="70"/>
  <c r="AX26" i="70"/>
  <c r="AW26" i="70"/>
  <c r="AU26" i="70"/>
  <c r="AT26" i="70"/>
  <c r="AS26" i="70"/>
  <c r="AR26" i="70"/>
  <c r="AV26" i="70" s="1"/>
  <c r="AQ26" i="70"/>
  <c r="AP26" i="70"/>
  <c r="AO26" i="70"/>
  <c r="AL26" i="70"/>
  <c r="AJ26" i="70"/>
  <c r="AI26" i="70"/>
  <c r="AH26" i="70"/>
  <c r="AN26" i="70" s="1"/>
  <c r="AG26" i="70"/>
  <c r="C26" i="70"/>
  <c r="B26" i="70"/>
  <c r="BU25" i="70"/>
  <c r="BT25" i="70"/>
  <c r="BS25" i="70"/>
  <c r="BR25" i="70"/>
  <c r="BQ25" i="70"/>
  <c r="BN25" i="70"/>
  <c r="BL25" i="70"/>
  <c r="BK25" i="70"/>
  <c r="I25" i="70" s="1"/>
  <c r="BJ25" i="70"/>
  <c r="H25" i="70" s="1"/>
  <c r="BF25" i="70" s="1"/>
  <c r="BI25" i="70"/>
  <c r="BM25" i="70" s="1"/>
  <c r="BH25" i="70"/>
  <c r="BG25" i="70"/>
  <c r="BE25" i="70"/>
  <c r="BD25" i="70"/>
  <c r="BC25" i="70"/>
  <c r="BB25" i="70"/>
  <c r="BA25" i="70"/>
  <c r="AZ25" i="70"/>
  <c r="AY25" i="70"/>
  <c r="AX25" i="70"/>
  <c r="AW25" i="70"/>
  <c r="AU25" i="70"/>
  <c r="AT25" i="70"/>
  <c r="AS25" i="70"/>
  <c r="AR25" i="70"/>
  <c r="AV25" i="70" s="1"/>
  <c r="AQ25" i="70"/>
  <c r="AP25" i="70"/>
  <c r="AO25" i="70"/>
  <c r="AL25" i="70"/>
  <c r="AJ25" i="70"/>
  <c r="AI25" i="70"/>
  <c r="AH25" i="70"/>
  <c r="AN25" i="70" s="1"/>
  <c r="AG25" i="70"/>
  <c r="G25" i="70"/>
  <c r="C25" i="70"/>
  <c r="B25" i="70"/>
  <c r="BU24" i="70"/>
  <c r="BT24" i="70"/>
  <c r="BS24" i="70"/>
  <c r="BR24" i="70"/>
  <c r="BQ24" i="70"/>
  <c r="BN24" i="70"/>
  <c r="BL24" i="70"/>
  <c r="BK24" i="70"/>
  <c r="I24" i="70" s="1"/>
  <c r="BJ24" i="70"/>
  <c r="H24" i="70" s="1"/>
  <c r="BF24" i="70" s="1"/>
  <c r="BI24" i="70"/>
  <c r="BM24" i="70" s="1"/>
  <c r="BH24" i="70"/>
  <c r="G24" i="70" s="1"/>
  <c r="BG24" i="70"/>
  <c r="BE24" i="70"/>
  <c r="BD24" i="70"/>
  <c r="BC24" i="70"/>
  <c r="BB24" i="70"/>
  <c r="BA24" i="70"/>
  <c r="AZ24" i="70"/>
  <c r="AY24" i="70"/>
  <c r="AX24" i="70"/>
  <c r="AW24" i="70"/>
  <c r="AU24" i="70"/>
  <c r="AT24" i="70"/>
  <c r="AS24" i="70"/>
  <c r="AR24" i="70"/>
  <c r="AV24" i="70" s="1"/>
  <c r="AQ24" i="70"/>
  <c r="AP24" i="70"/>
  <c r="AO24" i="70"/>
  <c r="AL24" i="70"/>
  <c r="AJ24" i="70"/>
  <c r="AI24" i="70"/>
  <c r="AH24" i="70"/>
  <c r="AN24" i="70" s="1"/>
  <c r="AG24" i="70"/>
  <c r="C24" i="70"/>
  <c r="B24" i="70"/>
  <c r="BU23" i="70"/>
  <c r="BT23" i="70"/>
  <c r="BS23" i="70"/>
  <c r="BR23" i="70"/>
  <c r="BQ23" i="70"/>
  <c r="BN23" i="70"/>
  <c r="BK23" i="70"/>
  <c r="I23" i="70" s="1"/>
  <c r="BJ23" i="70"/>
  <c r="H23" i="70" s="1"/>
  <c r="BF23" i="70" s="1"/>
  <c r="BI23" i="70"/>
  <c r="AK23" i="70" s="1"/>
  <c r="AM23" i="70" s="1"/>
  <c r="BH23" i="70"/>
  <c r="G23" i="70" s="1"/>
  <c r="BG23" i="70"/>
  <c r="BE23" i="70"/>
  <c r="BD23" i="70"/>
  <c r="BC23" i="70"/>
  <c r="BB23" i="70"/>
  <c r="BA23" i="70"/>
  <c r="AZ23" i="70"/>
  <c r="AY23" i="70"/>
  <c r="AX23" i="70"/>
  <c r="AW23" i="70"/>
  <c r="AU23" i="70"/>
  <c r="AT23" i="70"/>
  <c r="AS23" i="70"/>
  <c r="AR23" i="70"/>
  <c r="AV23" i="70" s="1"/>
  <c r="AQ23" i="70"/>
  <c r="AP23" i="70"/>
  <c r="AO23" i="70"/>
  <c r="AL23" i="70"/>
  <c r="AJ23" i="70"/>
  <c r="AI23" i="70"/>
  <c r="AH23" i="70"/>
  <c r="AN23" i="70" s="1"/>
  <c r="AG23" i="70"/>
  <c r="C23" i="70"/>
  <c r="B23" i="70"/>
  <c r="BU22" i="70"/>
  <c r="BT22" i="70"/>
  <c r="BS22" i="70"/>
  <c r="BR22" i="70"/>
  <c r="BQ22" i="70"/>
  <c r="BN22" i="70"/>
  <c r="BL22" i="70"/>
  <c r="BK22" i="70"/>
  <c r="I22" i="70" s="1"/>
  <c r="BJ22" i="70"/>
  <c r="H22" i="70" s="1"/>
  <c r="BF22" i="70" s="1"/>
  <c r="BI22" i="70"/>
  <c r="BM22" i="70" s="1"/>
  <c r="BH22" i="70"/>
  <c r="BG22" i="70"/>
  <c r="BE22" i="70"/>
  <c r="BD22" i="70"/>
  <c r="BC22" i="70"/>
  <c r="BB22" i="70"/>
  <c r="BA22" i="70"/>
  <c r="AZ22" i="70"/>
  <c r="AY22" i="70"/>
  <c r="AX22" i="70"/>
  <c r="AW22" i="70"/>
  <c r="AU22" i="70"/>
  <c r="AT22" i="70"/>
  <c r="AS22" i="70"/>
  <c r="AR22" i="70"/>
  <c r="AV22" i="70" s="1"/>
  <c r="AQ22" i="70"/>
  <c r="AP22" i="70"/>
  <c r="AO22" i="70"/>
  <c r="AL22" i="70"/>
  <c r="AJ22" i="70"/>
  <c r="AI22" i="70"/>
  <c r="AH22" i="70"/>
  <c r="AN22" i="70" s="1"/>
  <c r="AG22" i="70"/>
  <c r="G22" i="70"/>
  <c r="C22" i="70"/>
  <c r="B22" i="70"/>
  <c r="BU21" i="70"/>
  <c r="BT21" i="70"/>
  <c r="BS21" i="70"/>
  <c r="BR21" i="70"/>
  <c r="BQ21" i="70"/>
  <c r="BL21" i="70"/>
  <c r="BH21" i="70"/>
  <c r="BE21" i="70"/>
  <c r="BD21" i="70"/>
  <c r="BC21" i="70"/>
  <c r="AU21" i="70"/>
  <c r="AS21" i="70"/>
  <c r="AQ21" i="70"/>
  <c r="AO21" i="70"/>
  <c r="AL21" i="70"/>
  <c r="AH21" i="70"/>
  <c r="AN21" i="70" s="1"/>
  <c r="AG21" i="70"/>
  <c r="BL20" i="70"/>
  <c r="BK20" i="70"/>
  <c r="I20" i="70" s="1"/>
  <c r="BI20" i="70"/>
  <c r="BH20" i="70"/>
  <c r="BE20" i="70"/>
  <c r="BD20" i="70"/>
  <c r="BC20" i="70"/>
  <c r="BA20" i="70"/>
  <c r="AY20" i="70"/>
  <c r="AW20" i="70"/>
  <c r="AU20" i="70"/>
  <c r="AS20" i="70"/>
  <c r="AQ20" i="70"/>
  <c r="AI20" i="70" s="1"/>
  <c r="C20" i="70" s="1"/>
  <c r="AO20" i="70"/>
  <c r="AL20" i="70"/>
  <c r="AH20" i="70"/>
  <c r="AG20" i="70"/>
  <c r="G20" i="70"/>
  <c r="BB20" i="70" s="1"/>
  <c r="BL19" i="70"/>
  <c r="BJ19" i="70"/>
  <c r="H19" i="70" s="1"/>
  <c r="BF19" i="70" s="1"/>
  <c r="BH19" i="70"/>
  <c r="BE19" i="70"/>
  <c r="BD19" i="70"/>
  <c r="BC19" i="70"/>
  <c r="BA19" i="70"/>
  <c r="AU19" i="70"/>
  <c r="AS19" i="70"/>
  <c r="AQ19" i="70"/>
  <c r="AO19" i="70"/>
  <c r="AL19" i="70"/>
  <c r="AH19" i="70"/>
  <c r="AN19" i="70" s="1"/>
  <c r="AG19" i="70"/>
  <c r="G19" i="70"/>
  <c r="BB19" i="70" s="1"/>
  <c r="B19" i="70"/>
  <c r="BH18" i="70"/>
  <c r="BE18" i="70"/>
  <c r="BD18" i="70"/>
  <c r="BC18" i="70"/>
  <c r="AU18" i="70"/>
  <c r="AS18" i="70"/>
  <c r="AQ18" i="70"/>
  <c r="AO18" i="70"/>
  <c r="AL18" i="70"/>
  <c r="AH18" i="70"/>
  <c r="AN18" i="70" s="1"/>
  <c r="AG18" i="70"/>
  <c r="BL17" i="70"/>
  <c r="BJ17" i="70"/>
  <c r="H17" i="70" s="1"/>
  <c r="BF17" i="70" s="1"/>
  <c r="BH17" i="70"/>
  <c r="BE17" i="70"/>
  <c r="BD17" i="70"/>
  <c r="BC17" i="70"/>
  <c r="AU17" i="70"/>
  <c r="AS17" i="70"/>
  <c r="AQ17" i="70"/>
  <c r="AO17" i="70"/>
  <c r="AL17" i="70"/>
  <c r="AH17" i="70"/>
  <c r="AN17" i="70" s="1"/>
  <c r="AG17" i="70"/>
  <c r="B17" i="70"/>
  <c r="BL16" i="70"/>
  <c r="BK16" i="70"/>
  <c r="I16" i="70" s="1"/>
  <c r="BI16" i="70"/>
  <c r="AK16" i="70" s="1"/>
  <c r="AT16" i="70" s="1"/>
  <c r="BH16" i="70"/>
  <c r="BE16" i="70"/>
  <c r="BD16" i="70"/>
  <c r="BC16" i="70"/>
  <c r="BA16" i="70"/>
  <c r="AY16" i="70"/>
  <c r="AW16" i="70"/>
  <c r="AU16" i="70"/>
  <c r="AS16" i="70"/>
  <c r="AQ16" i="70"/>
  <c r="AI16" i="70" s="1"/>
  <c r="C16" i="70" s="1"/>
  <c r="AO16" i="70"/>
  <c r="AL16" i="70"/>
  <c r="AH16" i="70"/>
  <c r="AG16" i="70"/>
  <c r="G16" i="70"/>
  <c r="BB16" i="70" s="1"/>
  <c r="BL15" i="70"/>
  <c r="BH15" i="70"/>
  <c r="BE15" i="70"/>
  <c r="BD15" i="70"/>
  <c r="BC15" i="70"/>
  <c r="BA15" i="70"/>
  <c r="AU15" i="70"/>
  <c r="AS15" i="70"/>
  <c r="AQ15" i="70"/>
  <c r="AO15" i="70"/>
  <c r="AL15" i="70"/>
  <c r="AH15" i="70"/>
  <c r="AN15" i="70" s="1"/>
  <c r="AG15" i="70"/>
  <c r="G15" i="70"/>
  <c r="BB15" i="70" s="1"/>
  <c r="BH14" i="70"/>
  <c r="BE14" i="70"/>
  <c r="BD14" i="70"/>
  <c r="BC14" i="70"/>
  <c r="AU14" i="70"/>
  <c r="AS14" i="70"/>
  <c r="AQ14" i="70"/>
  <c r="AO14" i="70"/>
  <c r="AL14" i="70"/>
  <c r="AH14" i="70"/>
  <c r="AN14" i="70" s="1"/>
  <c r="AG14" i="70"/>
  <c r="BL13" i="70"/>
  <c r="BH13" i="70"/>
  <c r="BE13" i="70"/>
  <c r="BD13" i="70"/>
  <c r="BC13" i="70"/>
  <c r="AU13" i="70"/>
  <c r="AS13" i="70"/>
  <c r="AQ13" i="70"/>
  <c r="AO13" i="70"/>
  <c r="AL13" i="70"/>
  <c r="AH13" i="70"/>
  <c r="AN13" i="70" s="1"/>
  <c r="AG13" i="70"/>
  <c r="BL12" i="70"/>
  <c r="BK12" i="70"/>
  <c r="I12" i="70" s="1"/>
  <c r="BI12" i="70"/>
  <c r="BJ12" i="70" s="1"/>
  <c r="H12" i="70" s="1"/>
  <c r="BF12" i="70" s="1"/>
  <c r="BH12" i="70"/>
  <c r="BE12" i="70"/>
  <c r="BD12" i="70"/>
  <c r="BC12" i="70"/>
  <c r="BA12" i="70"/>
  <c r="AY12" i="70"/>
  <c r="AW12" i="70"/>
  <c r="AU12" i="70"/>
  <c r="AS12" i="70"/>
  <c r="AQ12" i="70"/>
  <c r="AO12" i="70"/>
  <c r="AL12" i="70"/>
  <c r="AH12" i="70"/>
  <c r="AG12" i="70"/>
  <c r="G12" i="70"/>
  <c r="BB12" i="70" s="1"/>
  <c r="BL11" i="70"/>
  <c r="BJ11" i="70"/>
  <c r="H11" i="70" s="1"/>
  <c r="BF11" i="70" s="1"/>
  <c r="BH11" i="70"/>
  <c r="BE11" i="70"/>
  <c r="BD11" i="70"/>
  <c r="BC11" i="70"/>
  <c r="BA11" i="70"/>
  <c r="AU11" i="70"/>
  <c r="AS11" i="70"/>
  <c r="AQ11" i="70"/>
  <c r="AO11" i="70"/>
  <c r="AL11" i="70"/>
  <c r="AH11" i="70"/>
  <c r="AN11" i="70" s="1"/>
  <c r="AG11" i="70"/>
  <c r="G11" i="70"/>
  <c r="BB11" i="70" s="1"/>
  <c r="B11" i="70"/>
  <c r="BH10" i="70"/>
  <c r="BE10" i="70"/>
  <c r="BD10" i="70"/>
  <c r="BC10" i="70"/>
  <c r="AU10" i="70"/>
  <c r="AS10" i="70"/>
  <c r="AQ10" i="70"/>
  <c r="AO10" i="70"/>
  <c r="AL10" i="70"/>
  <c r="AH10" i="70"/>
  <c r="AN10" i="70" s="1"/>
  <c r="AG10" i="70"/>
  <c r="BL9" i="70"/>
  <c r="BH9" i="70"/>
  <c r="BE9" i="70"/>
  <c r="BD9" i="70"/>
  <c r="BC9" i="70"/>
  <c r="AU9" i="70"/>
  <c r="AU41" i="70" s="1"/>
  <c r="AS9" i="70"/>
  <c r="AQ9" i="70"/>
  <c r="AO9" i="70"/>
  <c r="AL9" i="70"/>
  <c r="AJ9" i="70"/>
  <c r="AJ10" i="70" s="1"/>
  <c r="AJ11" i="70" s="1"/>
  <c r="AH9" i="70"/>
  <c r="AN9" i="70" s="1"/>
  <c r="AG9" i="70"/>
  <c r="B9" i="70"/>
  <c r="BL8" i="70"/>
  <c r="BK8" i="70"/>
  <c r="I8" i="70" s="1"/>
  <c r="BJ8" i="70"/>
  <c r="H8" i="70" s="1"/>
  <c r="BF8" i="70" s="1"/>
  <c r="BI8" i="70"/>
  <c r="BH8" i="70"/>
  <c r="BE8" i="70"/>
  <c r="BD8" i="70"/>
  <c r="BD4" i="70" s="1"/>
  <c r="BC8" i="70"/>
  <c r="BC4" i="70" s="1"/>
  <c r="BA8" i="70"/>
  <c r="AY8" i="70"/>
  <c r="AX8" i="70"/>
  <c r="AW8" i="70"/>
  <c r="AU8" i="70"/>
  <c r="AV43" i="70" s="1"/>
  <c r="AS8" i="70"/>
  <c r="AS41" i="70" s="1"/>
  <c r="AT41" i="70" s="1"/>
  <c r="AQ8" i="70"/>
  <c r="AQ41" i="70" s="1"/>
  <c r="AO8" i="70"/>
  <c r="AL8" i="70"/>
  <c r="AJ8" i="70"/>
  <c r="AH8" i="70"/>
  <c r="AN8" i="70" s="1"/>
  <c r="AG8" i="70"/>
  <c r="G8" i="70"/>
  <c r="BB8" i="70" s="1"/>
  <c r="B8" i="70"/>
  <c r="AV6" i="70"/>
  <c r="U48" i="59"/>
  <c r="BE43" i="59"/>
  <c r="AT43" i="59"/>
  <c r="AT44" i="59" s="1"/>
  <c r="AR44" i="59" s="1"/>
  <c r="BN39" i="59"/>
  <c r="BK39" i="59"/>
  <c r="I39" i="59" s="1"/>
  <c r="BJ39" i="59"/>
  <c r="H39" i="59" s="1"/>
  <c r="BF39" i="59" s="1"/>
  <c r="BI39" i="59"/>
  <c r="AK39" i="59" s="1"/>
  <c r="AM39" i="59" s="1"/>
  <c r="BH39" i="59"/>
  <c r="G39" i="59" s="1"/>
  <c r="BG39" i="59"/>
  <c r="BE39" i="59"/>
  <c r="BD39" i="59"/>
  <c r="BC39" i="59"/>
  <c r="BB39" i="59"/>
  <c r="BA39" i="59"/>
  <c r="AZ39" i="59"/>
  <c r="AY39" i="59"/>
  <c r="AX39" i="59"/>
  <c r="AW39" i="59"/>
  <c r="AU39" i="59"/>
  <c r="AT39" i="59"/>
  <c r="AS39" i="59"/>
  <c r="AR39" i="59"/>
  <c r="AV39" i="59" s="1"/>
  <c r="AQ39" i="59"/>
  <c r="AP39" i="59"/>
  <c r="AO39" i="59"/>
  <c r="AL39" i="59"/>
  <c r="AJ39" i="59"/>
  <c r="AI39" i="59"/>
  <c r="AH39" i="59"/>
  <c r="AN39" i="59" s="1"/>
  <c r="AG39" i="59"/>
  <c r="C39" i="59"/>
  <c r="B39" i="59"/>
  <c r="BN38" i="59"/>
  <c r="BK38" i="59"/>
  <c r="I38" i="59" s="1"/>
  <c r="BJ38" i="59"/>
  <c r="H38" i="59" s="1"/>
  <c r="BF38" i="59" s="1"/>
  <c r="BI38" i="59"/>
  <c r="AK38" i="59" s="1"/>
  <c r="AM38" i="59" s="1"/>
  <c r="BH38" i="59"/>
  <c r="G38" i="59" s="1"/>
  <c r="BG38" i="59"/>
  <c r="BE38" i="59"/>
  <c r="BD38" i="59"/>
  <c r="BC38" i="59"/>
  <c r="BB38" i="59"/>
  <c r="BA38" i="59"/>
  <c r="AZ38" i="59"/>
  <c r="AY38" i="59"/>
  <c r="AX38" i="59"/>
  <c r="AW38" i="59"/>
  <c r="AU38" i="59"/>
  <c r="AT38" i="59"/>
  <c r="AS38" i="59"/>
  <c r="AR38" i="59"/>
  <c r="AV38" i="59" s="1"/>
  <c r="AQ38" i="59"/>
  <c r="AP38" i="59"/>
  <c r="AO38" i="59"/>
  <c r="AL38" i="59"/>
  <c r="AJ38" i="59"/>
  <c r="AI38" i="59"/>
  <c r="AH38" i="59"/>
  <c r="AN38" i="59" s="1"/>
  <c r="AG38" i="59"/>
  <c r="C38" i="59"/>
  <c r="B38" i="59"/>
  <c r="BN37" i="59"/>
  <c r="BK37" i="59"/>
  <c r="I37" i="59" s="1"/>
  <c r="BJ37" i="59"/>
  <c r="H37" i="59" s="1"/>
  <c r="BF37" i="59" s="1"/>
  <c r="BI37" i="59"/>
  <c r="AK37" i="59" s="1"/>
  <c r="AM37" i="59" s="1"/>
  <c r="BH37" i="59"/>
  <c r="BG37" i="59"/>
  <c r="BE37" i="59"/>
  <c r="BD37" i="59"/>
  <c r="BC37" i="59"/>
  <c r="BB37" i="59"/>
  <c r="BA37" i="59"/>
  <c r="AZ37" i="59"/>
  <c r="AY37" i="59"/>
  <c r="AX37" i="59"/>
  <c r="AW37" i="59"/>
  <c r="AU37" i="59"/>
  <c r="AT37" i="59"/>
  <c r="AS37" i="59"/>
  <c r="AR37" i="59"/>
  <c r="AV37" i="59" s="1"/>
  <c r="AQ37" i="59"/>
  <c r="AP37" i="59"/>
  <c r="AO37" i="59"/>
  <c r="AL37" i="59"/>
  <c r="AJ37" i="59"/>
  <c r="AI37" i="59"/>
  <c r="AH37" i="59"/>
  <c r="AN37" i="59" s="1"/>
  <c r="AG37" i="59"/>
  <c r="G37" i="59"/>
  <c r="C37" i="59"/>
  <c r="B37" i="59"/>
  <c r="BN36" i="59"/>
  <c r="BL36" i="59"/>
  <c r="BK36" i="59"/>
  <c r="I36" i="59" s="1"/>
  <c r="BJ36" i="59"/>
  <c r="H36" i="59" s="1"/>
  <c r="BF36" i="59" s="1"/>
  <c r="BI36" i="59"/>
  <c r="AK36" i="59" s="1"/>
  <c r="AM36" i="59" s="1"/>
  <c r="BH36" i="59"/>
  <c r="BG36" i="59"/>
  <c r="BE36" i="59"/>
  <c r="BD36" i="59"/>
  <c r="BC36" i="59"/>
  <c r="BB36" i="59"/>
  <c r="BA36" i="59"/>
  <c r="AZ36" i="59"/>
  <c r="AY36" i="59"/>
  <c r="AX36" i="59"/>
  <c r="AW36" i="59"/>
  <c r="AU36" i="59"/>
  <c r="AT36" i="59"/>
  <c r="AS36" i="59"/>
  <c r="AR36" i="59"/>
  <c r="AV36" i="59" s="1"/>
  <c r="AQ36" i="59"/>
  <c r="AP36" i="59"/>
  <c r="AO36" i="59"/>
  <c r="AL36" i="59"/>
  <c r="AJ36" i="59"/>
  <c r="AI36" i="59"/>
  <c r="AH36" i="59"/>
  <c r="AN36" i="59" s="1"/>
  <c r="AG36" i="59"/>
  <c r="G36" i="59"/>
  <c r="C36" i="59"/>
  <c r="B36" i="59"/>
  <c r="BN35" i="59"/>
  <c r="BK35" i="59"/>
  <c r="I35" i="59" s="1"/>
  <c r="BJ35" i="59"/>
  <c r="H35" i="59" s="1"/>
  <c r="BF35" i="59" s="1"/>
  <c r="BI35" i="59"/>
  <c r="AK35" i="59" s="1"/>
  <c r="AM35" i="59" s="1"/>
  <c r="BH35" i="59"/>
  <c r="G35" i="59" s="1"/>
  <c r="BG35" i="59"/>
  <c r="BE35" i="59"/>
  <c r="BD35" i="59"/>
  <c r="BC35" i="59"/>
  <c r="BB35" i="59"/>
  <c r="BA35" i="59"/>
  <c r="AZ35" i="59"/>
  <c r="AY35" i="59"/>
  <c r="AX35" i="59"/>
  <c r="AW35" i="59"/>
  <c r="AU35" i="59"/>
  <c r="AT35" i="59"/>
  <c r="AS35" i="59"/>
  <c r="AR35" i="59"/>
  <c r="AV35" i="59" s="1"/>
  <c r="AQ35" i="59"/>
  <c r="AP35" i="59"/>
  <c r="AO35" i="59"/>
  <c r="AL35" i="59"/>
  <c r="AJ35" i="59"/>
  <c r="AI35" i="59"/>
  <c r="AH35" i="59"/>
  <c r="AN35" i="59" s="1"/>
  <c r="AG35" i="59"/>
  <c r="C35" i="59"/>
  <c r="B35" i="59"/>
  <c r="BN34" i="59"/>
  <c r="BK34" i="59"/>
  <c r="I34" i="59" s="1"/>
  <c r="BJ34" i="59"/>
  <c r="H34" i="59" s="1"/>
  <c r="BF34" i="59" s="1"/>
  <c r="BI34" i="59"/>
  <c r="AK34" i="59" s="1"/>
  <c r="AM34" i="59" s="1"/>
  <c r="BH34" i="59"/>
  <c r="G34" i="59" s="1"/>
  <c r="BG34" i="59"/>
  <c r="BE34" i="59"/>
  <c r="BD34" i="59"/>
  <c r="BC34" i="59"/>
  <c r="BB34" i="59"/>
  <c r="BA34" i="59"/>
  <c r="AZ34" i="59"/>
  <c r="AY34" i="59"/>
  <c r="AX34" i="59"/>
  <c r="AW34" i="59"/>
  <c r="AU34" i="59"/>
  <c r="AT34" i="59"/>
  <c r="AS34" i="59"/>
  <c r="AR34" i="59"/>
  <c r="AV34" i="59" s="1"/>
  <c r="AQ34" i="59"/>
  <c r="AP34" i="59"/>
  <c r="AO34" i="59"/>
  <c r="AL34" i="59"/>
  <c r="AJ34" i="59"/>
  <c r="AI34" i="59"/>
  <c r="AH34" i="59"/>
  <c r="AN34" i="59" s="1"/>
  <c r="AG34" i="59"/>
  <c r="C34" i="59"/>
  <c r="B34" i="59"/>
  <c r="BN33" i="59"/>
  <c r="BK33" i="59"/>
  <c r="I33" i="59" s="1"/>
  <c r="BJ33" i="59"/>
  <c r="H33" i="59" s="1"/>
  <c r="BF33" i="59" s="1"/>
  <c r="BI33" i="59"/>
  <c r="BH33" i="59"/>
  <c r="BL33" i="59" s="1"/>
  <c r="BG33" i="59"/>
  <c r="BE33" i="59"/>
  <c r="BD33" i="59"/>
  <c r="BC33" i="59"/>
  <c r="BB33" i="59"/>
  <c r="BA33" i="59"/>
  <c r="AZ33" i="59"/>
  <c r="AY33" i="59"/>
  <c r="AX33" i="59"/>
  <c r="AW33" i="59"/>
  <c r="AU33" i="59"/>
  <c r="AT33" i="59"/>
  <c r="AS33" i="59"/>
  <c r="AR33" i="59"/>
  <c r="AV33" i="59" s="1"/>
  <c r="AQ33" i="59"/>
  <c r="AP33" i="59"/>
  <c r="AO33" i="59"/>
  <c r="AL33" i="59"/>
  <c r="AJ33" i="59"/>
  <c r="AI33" i="59"/>
  <c r="AH33" i="59"/>
  <c r="AN33" i="59" s="1"/>
  <c r="AG33" i="59"/>
  <c r="G33" i="59"/>
  <c r="C33" i="59"/>
  <c r="B33" i="59"/>
  <c r="BN32" i="59"/>
  <c r="BL32" i="59"/>
  <c r="BK32" i="59"/>
  <c r="I32" i="59" s="1"/>
  <c r="BJ32" i="59"/>
  <c r="H32" i="59" s="1"/>
  <c r="BF32" i="59" s="1"/>
  <c r="BI32" i="59"/>
  <c r="BM32" i="59" s="1"/>
  <c r="BH32" i="59"/>
  <c r="BG32" i="59"/>
  <c r="BE32" i="59"/>
  <c r="BD32" i="59"/>
  <c r="BC32" i="59"/>
  <c r="BB32" i="59"/>
  <c r="BA32" i="59"/>
  <c r="AZ32" i="59"/>
  <c r="AY32" i="59"/>
  <c r="AX32" i="59"/>
  <c r="AW32" i="59"/>
  <c r="AU32" i="59"/>
  <c r="AT32" i="59"/>
  <c r="AS32" i="59"/>
  <c r="AR32" i="59"/>
  <c r="AV32" i="59" s="1"/>
  <c r="AQ32" i="59"/>
  <c r="AP32" i="59"/>
  <c r="AO32" i="59"/>
  <c r="AL32" i="59"/>
  <c r="AJ32" i="59"/>
  <c r="AI32" i="59"/>
  <c r="AH32" i="59"/>
  <c r="AN32" i="59" s="1"/>
  <c r="AG32" i="59"/>
  <c r="G32" i="59"/>
  <c r="C32" i="59"/>
  <c r="B32" i="59"/>
  <c r="BN31" i="59"/>
  <c r="BK31" i="59"/>
  <c r="I31" i="59" s="1"/>
  <c r="BJ31" i="59"/>
  <c r="H31" i="59" s="1"/>
  <c r="BF31" i="59" s="1"/>
  <c r="BI31" i="59"/>
  <c r="AK31" i="59" s="1"/>
  <c r="AM31" i="59" s="1"/>
  <c r="BH31" i="59"/>
  <c r="G31" i="59" s="1"/>
  <c r="BG31" i="59"/>
  <c r="BE31" i="59"/>
  <c r="BD31" i="59"/>
  <c r="BC31" i="59"/>
  <c r="BB31" i="59"/>
  <c r="BA31" i="59"/>
  <c r="AZ31" i="59"/>
  <c r="AY31" i="59"/>
  <c r="AX31" i="59"/>
  <c r="AW31" i="59"/>
  <c r="AU31" i="59"/>
  <c r="AT31" i="59"/>
  <c r="AS31" i="59"/>
  <c r="AR31" i="59"/>
  <c r="AV31" i="59" s="1"/>
  <c r="AQ31" i="59"/>
  <c r="AP31" i="59"/>
  <c r="AO31" i="59"/>
  <c r="AL31" i="59"/>
  <c r="AJ31" i="59"/>
  <c r="AI31" i="59"/>
  <c r="AH31" i="59"/>
  <c r="AN31" i="59" s="1"/>
  <c r="AG31" i="59"/>
  <c r="C31" i="59"/>
  <c r="B31" i="59"/>
  <c r="BN30" i="59"/>
  <c r="BK30" i="59"/>
  <c r="I30" i="59" s="1"/>
  <c r="BJ30" i="59"/>
  <c r="H30" i="59" s="1"/>
  <c r="BF30" i="59" s="1"/>
  <c r="BI30" i="59"/>
  <c r="AK30" i="59" s="1"/>
  <c r="AM30" i="59" s="1"/>
  <c r="BH30" i="59"/>
  <c r="BL30" i="59" s="1"/>
  <c r="BG30" i="59"/>
  <c r="BE30" i="59"/>
  <c r="BD30" i="59"/>
  <c r="BC30" i="59"/>
  <c r="BB30" i="59"/>
  <c r="BA30" i="59"/>
  <c r="AZ30" i="59"/>
  <c r="AY30" i="59"/>
  <c r="AX30" i="59"/>
  <c r="AW30" i="59"/>
  <c r="AU30" i="59"/>
  <c r="AT30" i="59"/>
  <c r="AS30" i="59"/>
  <c r="AR30" i="59"/>
  <c r="AV30" i="59" s="1"/>
  <c r="AQ30" i="59"/>
  <c r="AP30" i="59"/>
  <c r="AO30" i="59"/>
  <c r="AL30" i="59"/>
  <c r="AJ30" i="59"/>
  <c r="AI30" i="59"/>
  <c r="AH30" i="59"/>
  <c r="AN30" i="59" s="1"/>
  <c r="AG30" i="59"/>
  <c r="C30" i="59"/>
  <c r="B30" i="59"/>
  <c r="BU29" i="59"/>
  <c r="BT29" i="59"/>
  <c r="BS29" i="59"/>
  <c r="BR29" i="59"/>
  <c r="BQ29" i="59"/>
  <c r="BN29" i="59"/>
  <c r="BK29" i="59"/>
  <c r="I29" i="59" s="1"/>
  <c r="BJ29" i="59"/>
  <c r="H29" i="59" s="1"/>
  <c r="BF29" i="59" s="1"/>
  <c r="BI29" i="59"/>
  <c r="AK29" i="59" s="1"/>
  <c r="AM29" i="59" s="1"/>
  <c r="BH29" i="59"/>
  <c r="BG29" i="59"/>
  <c r="BE29" i="59"/>
  <c r="BD29" i="59"/>
  <c r="BC29" i="59"/>
  <c r="BB29" i="59"/>
  <c r="BA29" i="59"/>
  <c r="AZ29" i="59"/>
  <c r="AY29" i="59"/>
  <c r="AX29" i="59"/>
  <c r="AW29" i="59"/>
  <c r="AU29" i="59"/>
  <c r="AT29" i="59"/>
  <c r="AS29" i="59"/>
  <c r="AR29" i="59"/>
  <c r="AV29" i="59" s="1"/>
  <c r="AQ29" i="59"/>
  <c r="AP29" i="59"/>
  <c r="AO29" i="59"/>
  <c r="AL29" i="59"/>
  <c r="AJ29" i="59"/>
  <c r="AI29" i="59"/>
  <c r="AH29" i="59"/>
  <c r="AN29" i="59" s="1"/>
  <c r="AG29" i="59"/>
  <c r="G29" i="59"/>
  <c r="C29" i="59"/>
  <c r="B29" i="59"/>
  <c r="BU28" i="59"/>
  <c r="BT28" i="59"/>
  <c r="BS28" i="59"/>
  <c r="BR28" i="59"/>
  <c r="BQ28" i="59"/>
  <c r="BN28" i="59"/>
  <c r="BL28" i="59"/>
  <c r="BK28" i="59"/>
  <c r="I28" i="59" s="1"/>
  <c r="BJ28" i="59"/>
  <c r="H28" i="59" s="1"/>
  <c r="BF28" i="59" s="1"/>
  <c r="BI28" i="59"/>
  <c r="BM28" i="59" s="1"/>
  <c r="BH28" i="59"/>
  <c r="BG28" i="59"/>
  <c r="BE28" i="59"/>
  <c r="BD28" i="59"/>
  <c r="BC28" i="59"/>
  <c r="BB28" i="59"/>
  <c r="BA28" i="59"/>
  <c r="AZ28" i="59"/>
  <c r="AY28" i="59"/>
  <c r="AX28" i="59"/>
  <c r="AW28" i="59"/>
  <c r="AU28" i="59"/>
  <c r="AT28" i="59"/>
  <c r="AS28" i="59"/>
  <c r="AR28" i="59"/>
  <c r="AV28" i="59" s="1"/>
  <c r="AQ28" i="59"/>
  <c r="AP28" i="59"/>
  <c r="AO28" i="59"/>
  <c r="AL28" i="59"/>
  <c r="AJ28" i="59"/>
  <c r="AI28" i="59"/>
  <c r="AH28" i="59"/>
  <c r="AN28" i="59" s="1"/>
  <c r="AG28" i="59"/>
  <c r="G28" i="59"/>
  <c r="C28" i="59"/>
  <c r="B28" i="59"/>
  <c r="BU27" i="59"/>
  <c r="BT27" i="59"/>
  <c r="BS27" i="59"/>
  <c r="BR27" i="59"/>
  <c r="BQ27" i="59"/>
  <c r="BH27" i="59"/>
  <c r="BE27" i="59"/>
  <c r="BD27" i="59"/>
  <c r="BC27" i="59"/>
  <c r="AU27" i="59"/>
  <c r="AS27" i="59"/>
  <c r="AQ27" i="59"/>
  <c r="AO27" i="59"/>
  <c r="AL27" i="59"/>
  <c r="AH27" i="59"/>
  <c r="AN27" i="59" s="1"/>
  <c r="AG27" i="59"/>
  <c r="BU26" i="59"/>
  <c r="BT26" i="59"/>
  <c r="BS26" i="59"/>
  <c r="BR26" i="59"/>
  <c r="BQ26" i="59"/>
  <c r="BH26" i="59"/>
  <c r="BE26" i="59"/>
  <c r="BD26" i="59"/>
  <c r="BC26" i="59"/>
  <c r="AU26" i="59"/>
  <c r="AS26" i="59"/>
  <c r="AQ26" i="59"/>
  <c r="AO26" i="59"/>
  <c r="AL26" i="59"/>
  <c r="AH26" i="59"/>
  <c r="AN26" i="59" s="1"/>
  <c r="AG26" i="59"/>
  <c r="G26" i="59"/>
  <c r="BU25" i="59"/>
  <c r="BT25" i="59"/>
  <c r="BS25" i="59"/>
  <c r="BR25" i="59"/>
  <c r="BQ25" i="59"/>
  <c r="BL25" i="59"/>
  <c r="BK25" i="59"/>
  <c r="I25" i="59" s="1"/>
  <c r="BH25" i="59"/>
  <c r="BE25" i="59"/>
  <c r="BD25" i="59"/>
  <c r="BC25" i="59"/>
  <c r="AY25" i="59"/>
  <c r="AU25" i="59"/>
  <c r="AS25" i="59"/>
  <c r="AQ25" i="59"/>
  <c r="AO25" i="59"/>
  <c r="AL25" i="59"/>
  <c r="AH25" i="59"/>
  <c r="AG25" i="59"/>
  <c r="G25" i="59"/>
  <c r="BB25" i="59" s="1"/>
  <c r="BU24" i="59"/>
  <c r="BT24" i="59"/>
  <c r="BS24" i="59"/>
  <c r="BR24" i="59"/>
  <c r="BQ24" i="59"/>
  <c r="BH24" i="59"/>
  <c r="BE24" i="59"/>
  <c r="BD24" i="59"/>
  <c r="BC24" i="59"/>
  <c r="AU24" i="59"/>
  <c r="AS24" i="59"/>
  <c r="AQ24" i="59"/>
  <c r="AO24" i="59"/>
  <c r="AL24" i="59"/>
  <c r="AH24" i="59"/>
  <c r="AN24" i="59" s="1"/>
  <c r="AG24" i="59"/>
  <c r="BU23" i="59"/>
  <c r="BT23" i="59"/>
  <c r="BS23" i="59"/>
  <c r="BR23" i="59"/>
  <c r="BQ23" i="59"/>
  <c r="BH23" i="59"/>
  <c r="BE23" i="59"/>
  <c r="BD23" i="59"/>
  <c r="BC23" i="59"/>
  <c r="AU23" i="59"/>
  <c r="AS23" i="59"/>
  <c r="AQ23" i="59"/>
  <c r="AO23" i="59"/>
  <c r="AL23" i="59"/>
  <c r="AH23" i="59"/>
  <c r="AN23" i="59" s="1"/>
  <c r="AG23" i="59"/>
  <c r="G23" i="59"/>
  <c r="BU22" i="59"/>
  <c r="BT22" i="59"/>
  <c r="BS22" i="59"/>
  <c r="BR22" i="59"/>
  <c r="BQ22" i="59"/>
  <c r="BL22" i="59"/>
  <c r="BK22" i="59"/>
  <c r="I22" i="59" s="1"/>
  <c r="BH22" i="59"/>
  <c r="BE22" i="59"/>
  <c r="BD22" i="59"/>
  <c r="BC22" i="59"/>
  <c r="AY22" i="59"/>
  <c r="AU22" i="59"/>
  <c r="AS22" i="59"/>
  <c r="AQ22" i="59"/>
  <c r="AO22" i="59"/>
  <c r="AL22" i="59"/>
  <c r="AH22" i="59"/>
  <c r="AN22" i="59" s="1"/>
  <c r="AG22" i="59"/>
  <c r="G22" i="59"/>
  <c r="BB22" i="59" s="1"/>
  <c r="BU21" i="59"/>
  <c r="BT21" i="59"/>
  <c r="BS21" i="59"/>
  <c r="BR21" i="59"/>
  <c r="BQ21" i="59"/>
  <c r="BH21" i="59"/>
  <c r="BE21" i="59"/>
  <c r="BD21" i="59"/>
  <c r="BC21" i="59"/>
  <c r="AU21" i="59"/>
  <c r="AS21" i="59"/>
  <c r="AQ21" i="59"/>
  <c r="AO21" i="59"/>
  <c r="AL21" i="59"/>
  <c r="AH21" i="59"/>
  <c r="AN21" i="59" s="1"/>
  <c r="AG21" i="59"/>
  <c r="BK20" i="59"/>
  <c r="I20" i="59" s="1"/>
  <c r="BI20" i="59"/>
  <c r="BH20" i="59"/>
  <c r="BL20" i="59" s="1"/>
  <c r="BE20" i="59"/>
  <c r="BD20" i="59"/>
  <c r="BC20" i="59"/>
  <c r="AY20" i="59"/>
  <c r="AW20" i="59"/>
  <c r="AU20" i="59"/>
  <c r="AS20" i="59"/>
  <c r="AQ20" i="59"/>
  <c r="AO20" i="59"/>
  <c r="AL20" i="59"/>
  <c r="AH20" i="59"/>
  <c r="AG20" i="59"/>
  <c r="G20" i="59"/>
  <c r="BA20" i="59" s="1"/>
  <c r="BL19" i="59"/>
  <c r="BJ19" i="59"/>
  <c r="H19" i="59" s="1"/>
  <c r="BF19" i="59" s="1"/>
  <c r="BH19" i="59"/>
  <c r="BE19" i="59"/>
  <c r="BD19" i="59"/>
  <c r="BC19" i="59"/>
  <c r="BB19" i="59"/>
  <c r="AU19" i="59"/>
  <c r="AS19" i="59"/>
  <c r="AQ19" i="59"/>
  <c r="AO19" i="59"/>
  <c r="AL19" i="59"/>
  <c r="AH19" i="59"/>
  <c r="AN19" i="59" s="1"/>
  <c r="AG19" i="59"/>
  <c r="G19" i="59"/>
  <c r="B19" i="59"/>
  <c r="BH18" i="59"/>
  <c r="BE18" i="59"/>
  <c r="BD18" i="59"/>
  <c r="BC18" i="59"/>
  <c r="AU18" i="59"/>
  <c r="AS18" i="59"/>
  <c r="AQ18" i="59"/>
  <c r="AO18" i="59"/>
  <c r="AL18" i="59"/>
  <c r="AH18" i="59"/>
  <c r="AN18" i="59" s="1"/>
  <c r="AG18" i="59"/>
  <c r="BH17" i="59"/>
  <c r="BE17" i="59"/>
  <c r="BD17" i="59"/>
  <c r="BC17" i="59"/>
  <c r="AU17" i="59"/>
  <c r="AS17" i="59"/>
  <c r="AQ17" i="59"/>
  <c r="AO17" i="59"/>
  <c r="AL17" i="59"/>
  <c r="AH17" i="59"/>
  <c r="AN17" i="59" s="1"/>
  <c r="AG17" i="59"/>
  <c r="BK16" i="59"/>
  <c r="I16" i="59" s="1"/>
  <c r="BI16" i="59"/>
  <c r="AK16" i="59" s="1"/>
  <c r="BH16" i="59"/>
  <c r="BL16" i="59" s="1"/>
  <c r="BE16" i="59"/>
  <c r="BD16" i="59"/>
  <c r="BC16" i="59"/>
  <c r="AW16" i="59"/>
  <c r="AU16" i="59"/>
  <c r="AS16" i="59"/>
  <c r="AQ16" i="59"/>
  <c r="AO16" i="59"/>
  <c r="AL16" i="59"/>
  <c r="AH16" i="59"/>
  <c r="AG16" i="59"/>
  <c r="G16" i="59"/>
  <c r="BL15" i="59"/>
  <c r="BJ15" i="59"/>
  <c r="H15" i="59" s="1"/>
  <c r="BF15" i="59" s="1"/>
  <c r="BH15" i="59"/>
  <c r="BE15" i="59"/>
  <c r="BD15" i="59"/>
  <c r="BC15" i="59"/>
  <c r="AU15" i="59"/>
  <c r="AS15" i="59"/>
  <c r="AQ15" i="59"/>
  <c r="AO15" i="59"/>
  <c r="AL15" i="59"/>
  <c r="AH15" i="59"/>
  <c r="AN15" i="59" s="1"/>
  <c r="AG15" i="59"/>
  <c r="G15" i="59"/>
  <c r="B15" i="59"/>
  <c r="BJ14" i="59"/>
  <c r="H14" i="59" s="1"/>
  <c r="BF14" i="59" s="1"/>
  <c r="BH14" i="59"/>
  <c r="BE14" i="59"/>
  <c r="BD14" i="59"/>
  <c r="BC14" i="59"/>
  <c r="AU14" i="59"/>
  <c r="AS14" i="59"/>
  <c r="AQ14" i="59"/>
  <c r="AO14" i="59"/>
  <c r="AL14" i="59"/>
  <c r="AH14" i="59"/>
  <c r="AN14" i="59" s="1"/>
  <c r="AG14" i="59"/>
  <c r="B14" i="59"/>
  <c r="BH13" i="59"/>
  <c r="BE13" i="59"/>
  <c r="BD13" i="59"/>
  <c r="BC13" i="59"/>
  <c r="AU13" i="59"/>
  <c r="AI13" i="59" s="1"/>
  <c r="C13" i="59" s="1"/>
  <c r="AS13" i="59"/>
  <c r="AQ13" i="59"/>
  <c r="AL13" i="59"/>
  <c r="AH13" i="59"/>
  <c r="AN13" i="59" s="1"/>
  <c r="AG13" i="59"/>
  <c r="BH12" i="59"/>
  <c r="BL12" i="59" s="1"/>
  <c r="BE12" i="59"/>
  <c r="BD12" i="59"/>
  <c r="BC12" i="59"/>
  <c r="BB12" i="59"/>
  <c r="AX12" i="59"/>
  <c r="AW12" i="59"/>
  <c r="AU12" i="59"/>
  <c r="AS12" i="59"/>
  <c r="AQ12" i="59"/>
  <c r="AL12" i="59"/>
  <c r="AH12" i="59"/>
  <c r="BI12" i="59" s="1"/>
  <c r="BM12" i="59" s="1"/>
  <c r="AG12" i="59"/>
  <c r="BK12" i="59" s="1"/>
  <c r="G12" i="59"/>
  <c r="BL11" i="59"/>
  <c r="BH11" i="59"/>
  <c r="BE11" i="59"/>
  <c r="BD11" i="59"/>
  <c r="BC11" i="59"/>
  <c r="AU11" i="59"/>
  <c r="AS11" i="59"/>
  <c r="AQ11" i="59"/>
  <c r="AL11" i="59"/>
  <c r="AH11" i="59"/>
  <c r="AN11" i="59" s="1"/>
  <c r="AG11" i="59"/>
  <c r="G11" i="59"/>
  <c r="BA11" i="59" s="1"/>
  <c r="BH10" i="59"/>
  <c r="BE10" i="59"/>
  <c r="BD10" i="59"/>
  <c r="BC10" i="59"/>
  <c r="AU10" i="59"/>
  <c r="AS10" i="59"/>
  <c r="AQ10" i="59"/>
  <c r="AI10" i="59" s="1"/>
  <c r="C10" i="59" s="1"/>
  <c r="AL10" i="59"/>
  <c r="AH10" i="59"/>
  <c r="AN10" i="59" s="1"/>
  <c r="AG10" i="59"/>
  <c r="BH9" i="59"/>
  <c r="BE9" i="59"/>
  <c r="BD9" i="59"/>
  <c r="BC9" i="59"/>
  <c r="AU9" i="59"/>
  <c r="AS9" i="59"/>
  <c r="AQ9" i="59"/>
  <c r="AL9" i="59"/>
  <c r="AJ9" i="59"/>
  <c r="AJ10" i="59" s="1"/>
  <c r="AJ11" i="59" s="1"/>
  <c r="AJ12" i="59" s="1"/>
  <c r="AJ13" i="59" s="1"/>
  <c r="AJ14" i="59" s="1"/>
  <c r="AI9" i="59"/>
  <c r="C9" i="59" s="1"/>
  <c r="AH9" i="59"/>
  <c r="AN9" i="59" s="1"/>
  <c r="AG9" i="59"/>
  <c r="B9" i="59"/>
  <c r="BK8" i="59"/>
  <c r="BJ8" i="59"/>
  <c r="H8" i="59" s="1"/>
  <c r="BF8" i="59" s="1"/>
  <c r="BI8" i="59"/>
  <c r="BM8" i="59" s="1"/>
  <c r="BH8" i="59"/>
  <c r="BL8" i="59" s="1"/>
  <c r="BE8" i="59"/>
  <c r="BD8" i="59"/>
  <c r="BC8" i="59"/>
  <c r="BB8" i="59"/>
  <c r="AY8" i="59"/>
  <c r="AX8" i="59"/>
  <c r="AU8" i="59"/>
  <c r="AS8" i="59"/>
  <c r="AQ8" i="59"/>
  <c r="AL8" i="59"/>
  <c r="AJ8" i="59"/>
  <c r="AH8" i="59"/>
  <c r="AN8" i="59" s="1"/>
  <c r="AG8" i="59"/>
  <c r="G8" i="59"/>
  <c r="B8" i="59"/>
  <c r="AV6" i="59"/>
  <c r="BN8" i="70" l="1"/>
  <c r="BN12" i="70"/>
  <c r="BJ16" i="70"/>
  <c r="H16" i="70" s="1"/>
  <c r="BF16" i="70" s="1"/>
  <c r="BM28" i="70"/>
  <c r="AK30" i="70"/>
  <c r="AM30" i="70" s="1"/>
  <c r="BM8" i="70"/>
  <c r="BM16" i="70"/>
  <c r="BN20" i="70"/>
  <c r="AK32" i="70"/>
  <c r="AM32" i="70" s="1"/>
  <c r="AZ16" i="70"/>
  <c r="AK22" i="70"/>
  <c r="AM22" i="70" s="1"/>
  <c r="AK33" i="70"/>
  <c r="AM33" i="70" s="1"/>
  <c r="AN16" i="70"/>
  <c r="AN12" i="70"/>
  <c r="AK37" i="70"/>
  <c r="AM37" i="70" s="1"/>
  <c r="BM36" i="70"/>
  <c r="AZ12" i="70"/>
  <c r="BM20" i="70"/>
  <c r="AK8" i="70"/>
  <c r="AZ8" i="70"/>
  <c r="AK12" i="70"/>
  <c r="AM12" i="70" s="1"/>
  <c r="AX16" i="70"/>
  <c r="AZ20" i="70"/>
  <c r="AK25" i="70"/>
  <c r="AM25" i="70" s="1"/>
  <c r="AK34" i="70"/>
  <c r="AM34" i="70" s="1"/>
  <c r="AK20" i="70"/>
  <c r="AN20" i="70"/>
  <c r="BE4" i="70"/>
  <c r="AK27" i="70"/>
  <c r="AM27" i="70" s="1"/>
  <c r="BJ20" i="70"/>
  <c r="H20" i="70" s="1"/>
  <c r="BF20" i="70" s="1"/>
  <c r="AK24" i="70"/>
  <c r="AM24" i="70" s="1"/>
  <c r="AK38" i="70"/>
  <c r="AM38" i="70" s="1"/>
  <c r="AV44" i="70"/>
  <c r="BM12" i="70"/>
  <c r="AR16" i="70"/>
  <c r="AV16" i="70" s="1"/>
  <c r="BN16" i="70"/>
  <c r="AJ12" i="70"/>
  <c r="AJ13" i="70" s="1"/>
  <c r="AJ14" i="70" s="1"/>
  <c r="AJ15" i="70" s="1"/>
  <c r="AJ16" i="70" s="1"/>
  <c r="AJ17" i="70" s="1"/>
  <c r="AI12" i="70"/>
  <c r="C12" i="70" s="1"/>
  <c r="AI18" i="70"/>
  <c r="C18" i="70" s="1"/>
  <c r="AI14" i="70"/>
  <c r="C14" i="70" s="1"/>
  <c r="AI10" i="70"/>
  <c r="C10" i="70" s="1"/>
  <c r="AI21" i="70"/>
  <c r="C21" i="70" s="1"/>
  <c r="AI13" i="70"/>
  <c r="C13" i="70" s="1"/>
  <c r="AI9" i="70"/>
  <c r="C9" i="70" s="1"/>
  <c r="AI15" i="70"/>
  <c r="C15" i="70" s="1"/>
  <c r="E41" i="70"/>
  <c r="AV41" i="70"/>
  <c r="Q5" i="70"/>
  <c r="G9" i="70"/>
  <c r="G13" i="70"/>
  <c r="G17" i="70"/>
  <c r="G21" i="70"/>
  <c r="B10" i="70"/>
  <c r="BL10" i="70"/>
  <c r="AW11" i="70"/>
  <c r="BI11" i="70"/>
  <c r="AZ11" i="70" s="1"/>
  <c r="BL14" i="70"/>
  <c r="AW15" i="70"/>
  <c r="BI15" i="70"/>
  <c r="BL18" i="70"/>
  <c r="AW19" i="70"/>
  <c r="BI19" i="70"/>
  <c r="AZ19" i="70" s="1"/>
  <c r="BL31" i="70"/>
  <c r="BL35" i="70"/>
  <c r="BL39" i="70"/>
  <c r="AX11" i="70"/>
  <c r="AX19" i="70"/>
  <c r="BL23" i="70"/>
  <c r="BL26" i="70"/>
  <c r="BL29" i="70"/>
  <c r="BM31" i="70"/>
  <c r="BM35" i="70"/>
  <c r="BM39" i="70"/>
  <c r="G10" i="70"/>
  <c r="AY11" i="70"/>
  <c r="BK11" i="70"/>
  <c r="I11" i="70" s="1"/>
  <c r="G14" i="70"/>
  <c r="AY15" i="70"/>
  <c r="BK15" i="70"/>
  <c r="I15" i="70" s="1"/>
  <c r="G18" i="70"/>
  <c r="AY19" i="70"/>
  <c r="BK19" i="70"/>
  <c r="I19" i="70" s="1"/>
  <c r="BM23" i="70"/>
  <c r="BM26" i="70"/>
  <c r="BM29" i="70"/>
  <c r="AM16" i="70"/>
  <c r="B12" i="70"/>
  <c r="AP12" i="70" s="1"/>
  <c r="AK28" i="59"/>
  <c r="AM28" i="59" s="1"/>
  <c r="BM36" i="59"/>
  <c r="BM33" i="59"/>
  <c r="AK33" i="59"/>
  <c r="AM33" i="59" s="1"/>
  <c r="BM37" i="59"/>
  <c r="AK8" i="59"/>
  <c r="AR8" i="59" s="1"/>
  <c r="AV8" i="59" s="1"/>
  <c r="AN12" i="59"/>
  <c r="AK20" i="59"/>
  <c r="AT20" i="59" s="1"/>
  <c r="BJ20" i="59"/>
  <c r="H20" i="59" s="1"/>
  <c r="BF20" i="59" s="1"/>
  <c r="AK32" i="59"/>
  <c r="AM32" i="59" s="1"/>
  <c r="AN20" i="59"/>
  <c r="BJ16" i="59"/>
  <c r="H16" i="59" s="1"/>
  <c r="BF16" i="59" s="1"/>
  <c r="BM29" i="59"/>
  <c r="AN25" i="59"/>
  <c r="AN16" i="59"/>
  <c r="AJ15" i="59"/>
  <c r="AT16" i="59"/>
  <c r="AR16" i="59"/>
  <c r="AV16" i="59" s="1"/>
  <c r="AM16" i="59"/>
  <c r="AX16" i="59"/>
  <c r="BD4" i="59"/>
  <c r="AQ41" i="59"/>
  <c r="BA12" i="59"/>
  <c r="AZ12" i="59"/>
  <c r="AY12" i="59"/>
  <c r="BA16" i="59"/>
  <c r="AZ16" i="59"/>
  <c r="BB16" i="59"/>
  <c r="AY16" i="59"/>
  <c r="G17" i="59"/>
  <c r="BL17" i="59"/>
  <c r="BA23" i="59"/>
  <c r="BK23" i="59"/>
  <c r="I23" i="59" s="1"/>
  <c r="AY23" i="59"/>
  <c r="BI23" i="59"/>
  <c r="AZ23" i="59" s="1"/>
  <c r="AW23" i="59"/>
  <c r="BB23" i="59"/>
  <c r="BC4" i="59"/>
  <c r="G9" i="59"/>
  <c r="BL9" i="59"/>
  <c r="AI17" i="59"/>
  <c r="C17" i="59" s="1"/>
  <c r="AU41" i="59"/>
  <c r="AI24" i="59"/>
  <c r="C24" i="59" s="1"/>
  <c r="AO8" i="59"/>
  <c r="I8" i="59"/>
  <c r="BK15" i="59"/>
  <c r="I15" i="59" s="1"/>
  <c r="AY15" i="59"/>
  <c r="AX15" i="59"/>
  <c r="BI15" i="59"/>
  <c r="AZ15" i="59" s="1"/>
  <c r="AW15" i="59"/>
  <c r="BB15" i="59"/>
  <c r="AI21" i="59"/>
  <c r="C21" i="59" s="1"/>
  <c r="BE4" i="59"/>
  <c r="BN12" i="59"/>
  <c r="BA26" i="59"/>
  <c r="BK26" i="59"/>
  <c r="I26" i="59" s="1"/>
  <c r="AY26" i="59"/>
  <c r="BI26" i="59"/>
  <c r="AZ26" i="59" s="1"/>
  <c r="AW26" i="59"/>
  <c r="AI11" i="59"/>
  <c r="C11" i="59" s="1"/>
  <c r="AI20" i="59"/>
  <c r="C20" i="59" s="1"/>
  <c r="AS41" i="59"/>
  <c r="G10" i="59"/>
  <c r="BL10" i="59"/>
  <c r="BA15" i="59"/>
  <c r="AV43" i="59"/>
  <c r="AV44" i="59" s="1"/>
  <c r="BN8" i="59"/>
  <c r="BA8" i="59"/>
  <c r="AZ8" i="59"/>
  <c r="AW8" i="59"/>
  <c r="AK12" i="59"/>
  <c r="G13" i="59"/>
  <c r="BL13" i="59"/>
  <c r="G24" i="59"/>
  <c r="BL24" i="59"/>
  <c r="BK11" i="59"/>
  <c r="AY11" i="59"/>
  <c r="AX11" i="59"/>
  <c r="BI11" i="59"/>
  <c r="AZ11" i="59" s="1"/>
  <c r="AW11" i="59"/>
  <c r="BB11" i="59"/>
  <c r="G21" i="59"/>
  <c r="BL21" i="59"/>
  <c r="BM16" i="59"/>
  <c r="BN16" i="59"/>
  <c r="BK19" i="59"/>
  <c r="I19" i="59" s="1"/>
  <c r="AY19" i="59"/>
  <c r="AX19" i="59"/>
  <c r="BI19" i="59"/>
  <c r="AZ19" i="59" s="1"/>
  <c r="AW19" i="59"/>
  <c r="BA19" i="59"/>
  <c r="AI25" i="59"/>
  <c r="C25" i="59" s="1"/>
  <c r="AI26" i="59"/>
  <c r="C26" i="59" s="1"/>
  <c r="AI22" i="59"/>
  <c r="C22" i="59" s="1"/>
  <c r="AI12" i="59"/>
  <c r="C12" i="59" s="1"/>
  <c r="BJ12" i="59"/>
  <c r="H12" i="59" s="1"/>
  <c r="BF12" i="59" s="1"/>
  <c r="AI16" i="59"/>
  <c r="C16" i="59" s="1"/>
  <c r="AI18" i="59"/>
  <c r="C18" i="59" s="1"/>
  <c r="AO12" i="59"/>
  <c r="I12" i="59"/>
  <c r="AI23" i="59"/>
  <c r="C23" i="59" s="1"/>
  <c r="BB26" i="59"/>
  <c r="G14" i="59"/>
  <c r="BL14" i="59"/>
  <c r="BM20" i="59"/>
  <c r="BN20" i="59"/>
  <c r="AI27" i="59"/>
  <c r="C27" i="59" s="1"/>
  <c r="BL27" i="59"/>
  <c r="BL34" i="59"/>
  <c r="BL38" i="59"/>
  <c r="BM30" i="59"/>
  <c r="BM34" i="59"/>
  <c r="BM38" i="59"/>
  <c r="G27" i="59"/>
  <c r="G30" i="59"/>
  <c r="BB20" i="59"/>
  <c r="B10" i="59"/>
  <c r="BL18" i="59"/>
  <c r="BL31" i="59"/>
  <c r="BL35" i="59"/>
  <c r="BL39" i="59"/>
  <c r="BL23" i="59"/>
  <c r="BL26" i="59"/>
  <c r="BL29" i="59"/>
  <c r="BM31" i="59"/>
  <c r="BM35" i="59"/>
  <c r="BM39" i="59"/>
  <c r="G18" i="59"/>
  <c r="AW22" i="59"/>
  <c r="BI22" i="59"/>
  <c r="AW25" i="59"/>
  <c r="BI25" i="59"/>
  <c r="AZ20" i="59"/>
  <c r="BA22" i="59"/>
  <c r="BA25" i="59"/>
  <c r="BL37" i="59"/>
  <c r="AN6" i="70" l="1"/>
  <c r="AN41" i="70"/>
  <c r="AV45" i="70"/>
  <c r="AT20" i="70"/>
  <c r="AR20" i="70"/>
  <c r="AV20" i="70" s="1"/>
  <c r="AX20" i="70"/>
  <c r="AT12" i="70"/>
  <c r="AX12" i="70"/>
  <c r="BG12" i="70" s="1"/>
  <c r="AR12" i="70"/>
  <c r="AV12" i="70" s="1"/>
  <c r="AM20" i="70"/>
  <c r="AT8" i="70"/>
  <c r="AR8" i="70"/>
  <c r="AV8" i="70" s="1"/>
  <c r="AM8" i="70"/>
  <c r="AP8" i="70" s="1"/>
  <c r="BG8" i="70" s="1"/>
  <c r="BN15" i="70"/>
  <c r="BM15" i="70"/>
  <c r="BJ15" i="70"/>
  <c r="H15" i="70" s="1"/>
  <c r="BF15" i="70" s="1"/>
  <c r="AK15" i="70"/>
  <c r="AJ18" i="70"/>
  <c r="BB10" i="70"/>
  <c r="BA10" i="70"/>
  <c r="BK10" i="70"/>
  <c r="I10" i="70" s="1"/>
  <c r="AY10" i="70"/>
  <c r="BI10" i="70"/>
  <c r="AZ10" i="70" s="1"/>
  <c r="AW10" i="70"/>
  <c r="BK21" i="70"/>
  <c r="I21" i="70" s="1"/>
  <c r="AY21" i="70"/>
  <c r="BI21" i="70"/>
  <c r="AZ21" i="70" s="1"/>
  <c r="AW21" i="70"/>
  <c r="BB21" i="70"/>
  <c r="BA21" i="70"/>
  <c r="BK17" i="70"/>
  <c r="I17" i="70" s="1"/>
  <c r="AY17" i="70"/>
  <c r="AX17" i="70"/>
  <c r="BI17" i="70"/>
  <c r="AZ17" i="70" s="1"/>
  <c r="AW17" i="70"/>
  <c r="BB17" i="70"/>
  <c r="BA17" i="70"/>
  <c r="BN11" i="70"/>
  <c r="BM11" i="70"/>
  <c r="AK11" i="70"/>
  <c r="BK9" i="70"/>
  <c r="I9" i="70" s="1"/>
  <c r="AY9" i="70"/>
  <c r="BI9" i="70"/>
  <c r="AZ9" i="70" s="1"/>
  <c r="AW9" i="70"/>
  <c r="BB9" i="70"/>
  <c r="BA9" i="70"/>
  <c r="BB18" i="70"/>
  <c r="BA18" i="70"/>
  <c r="BK18" i="70"/>
  <c r="I18" i="70" s="1"/>
  <c r="AY18" i="70"/>
  <c r="BI18" i="70"/>
  <c r="AW18" i="70"/>
  <c r="BN19" i="70"/>
  <c r="BM19" i="70"/>
  <c r="AK19" i="70"/>
  <c r="BB14" i="70"/>
  <c r="BA14" i="70"/>
  <c r="BK14" i="70"/>
  <c r="I14" i="70" s="1"/>
  <c r="AY14" i="70"/>
  <c r="BI14" i="70"/>
  <c r="AZ14" i="70" s="1"/>
  <c r="AW14" i="70"/>
  <c r="B13" i="70"/>
  <c r="BK13" i="70"/>
  <c r="I13" i="70" s="1"/>
  <c r="AY13" i="70"/>
  <c r="BI13" i="70"/>
  <c r="AZ13" i="70" s="1"/>
  <c r="AW13" i="70"/>
  <c r="BB13" i="70"/>
  <c r="BA13" i="70"/>
  <c r="AZ15" i="70"/>
  <c r="AT8" i="59"/>
  <c r="AX20" i="59"/>
  <c r="AM20" i="59"/>
  <c r="AR20" i="59"/>
  <c r="AV20" i="59" s="1"/>
  <c r="AM8" i="59"/>
  <c r="AP8" i="59" s="1"/>
  <c r="BG8" i="59" s="1"/>
  <c r="BM23" i="59"/>
  <c r="AN6" i="59"/>
  <c r="AN41" i="59"/>
  <c r="BM26" i="59"/>
  <c r="I11" i="59"/>
  <c r="AO11" i="59"/>
  <c r="BJ23" i="59"/>
  <c r="H23" i="59" s="1"/>
  <c r="BF23" i="59" s="1"/>
  <c r="AK23" i="59"/>
  <c r="BN23" i="59"/>
  <c r="BI27" i="59"/>
  <c r="AZ27" i="59" s="1"/>
  <c r="AW27" i="59"/>
  <c r="AY27" i="59"/>
  <c r="BB27" i="59"/>
  <c r="BK27" i="59"/>
  <c r="I27" i="59" s="1"/>
  <c r="BA27" i="59"/>
  <c r="BN22" i="59"/>
  <c r="BM22" i="59"/>
  <c r="AK22" i="59"/>
  <c r="BJ22" i="59"/>
  <c r="H22" i="59" s="1"/>
  <c r="BF22" i="59" s="1"/>
  <c r="AZ22" i="59"/>
  <c r="BB18" i="59"/>
  <c r="BA18" i="59"/>
  <c r="BI18" i="59"/>
  <c r="BK18" i="59"/>
  <c r="I18" i="59" s="1"/>
  <c r="AY18" i="59"/>
  <c r="AW18" i="59"/>
  <c r="BJ26" i="59"/>
  <c r="H26" i="59" s="1"/>
  <c r="BF26" i="59" s="1"/>
  <c r="AK26" i="59"/>
  <c r="BN26" i="59"/>
  <c r="E41" i="59"/>
  <c r="AV41" i="59"/>
  <c r="AV45" i="59" s="1"/>
  <c r="Q5" i="59"/>
  <c r="BI17" i="59"/>
  <c r="AZ17" i="59" s="1"/>
  <c r="AW17" i="59"/>
  <c r="BK17" i="59"/>
  <c r="I17" i="59" s="1"/>
  <c r="AY17" i="59"/>
  <c r="BB17" i="59"/>
  <c r="BA17" i="59"/>
  <c r="BB14" i="59"/>
  <c r="BA14" i="59"/>
  <c r="BI14" i="59"/>
  <c r="BK14" i="59"/>
  <c r="I14" i="59" s="1"/>
  <c r="AY14" i="59"/>
  <c r="AW14" i="59"/>
  <c r="AX14" i="59"/>
  <c r="AY24" i="59"/>
  <c r="BI24" i="59"/>
  <c r="AZ24" i="59" s="1"/>
  <c r="AW24" i="59"/>
  <c r="BB24" i="59"/>
  <c r="BA24" i="59"/>
  <c r="BK24" i="59"/>
  <c r="I24" i="59" s="1"/>
  <c r="BI21" i="59"/>
  <c r="AZ21" i="59" s="1"/>
  <c r="AW21" i="59"/>
  <c r="BK21" i="59"/>
  <c r="I21" i="59" s="1"/>
  <c r="BB21" i="59"/>
  <c r="BA21" i="59"/>
  <c r="AY21" i="59"/>
  <c r="AK15" i="59"/>
  <c r="BM15" i="59"/>
  <c r="BN15" i="59"/>
  <c r="AK19" i="59"/>
  <c r="BN19" i="59"/>
  <c r="BM19" i="59"/>
  <c r="AX13" i="59"/>
  <c r="BI13" i="59"/>
  <c r="AW13" i="59"/>
  <c r="BB13" i="59"/>
  <c r="BA13" i="59"/>
  <c r="BK13" i="59"/>
  <c r="AY13" i="59"/>
  <c r="AX9" i="59"/>
  <c r="BI9" i="59"/>
  <c r="AZ9" i="59" s="1"/>
  <c r="AW9" i="59"/>
  <c r="BB9" i="59"/>
  <c r="BA9" i="59"/>
  <c r="BA4" i="59" s="1"/>
  <c r="AY9" i="59"/>
  <c r="BK9" i="59"/>
  <c r="BJ11" i="59"/>
  <c r="H11" i="59" s="1"/>
  <c r="BF11" i="59" s="1"/>
  <c r="AK11" i="59"/>
  <c r="BN11" i="59"/>
  <c r="BM11" i="59"/>
  <c r="BB10" i="59"/>
  <c r="BA10" i="59"/>
  <c r="AW10" i="59"/>
  <c r="BI10" i="59"/>
  <c r="BK10" i="59"/>
  <c r="AY10" i="59"/>
  <c r="AX10" i="59"/>
  <c r="B11" i="59"/>
  <c r="B12" i="59" s="1"/>
  <c r="AP12" i="59" s="1"/>
  <c r="BG12" i="59" s="1"/>
  <c r="BN25" i="59"/>
  <c r="BM25" i="59"/>
  <c r="AZ25" i="59"/>
  <c r="AK25" i="59"/>
  <c r="BJ25" i="59"/>
  <c r="H25" i="59" s="1"/>
  <c r="BF25" i="59" s="1"/>
  <c r="AT12" i="59"/>
  <c r="AR12" i="59"/>
  <c r="AV12" i="59" s="1"/>
  <c r="AM12" i="59"/>
  <c r="AJ16" i="59"/>
  <c r="BJ18" i="70" l="1"/>
  <c r="H18" i="70" s="1"/>
  <c r="BF18" i="70" s="1"/>
  <c r="AK18" i="70"/>
  <c r="BM18" i="70"/>
  <c r="BN18" i="70"/>
  <c r="BJ13" i="70"/>
  <c r="H13" i="70" s="1"/>
  <c r="BF13" i="70" s="1"/>
  <c r="AK13" i="70"/>
  <c r="BM13" i="70"/>
  <c r="BN13" i="70"/>
  <c r="BA4" i="70"/>
  <c r="AZ18" i="70"/>
  <c r="AZ4" i="70" s="1"/>
  <c r="BB4" i="70"/>
  <c r="BJ21" i="70"/>
  <c r="H21" i="70" s="1"/>
  <c r="BF21" i="70" s="1"/>
  <c r="AK21" i="70"/>
  <c r="BM21" i="70"/>
  <c r="BN21" i="70"/>
  <c r="B14" i="70"/>
  <c r="B15" i="70" s="1"/>
  <c r="AP15" i="70" s="1"/>
  <c r="AR19" i="70"/>
  <c r="AV19" i="70" s="1"/>
  <c r="AM19" i="70"/>
  <c r="AP19" i="70" s="1"/>
  <c r="BG19" i="70" s="1"/>
  <c r="AT19" i="70"/>
  <c r="BJ9" i="70"/>
  <c r="H9" i="70" s="1"/>
  <c r="AK9" i="70"/>
  <c r="BM9" i="70"/>
  <c r="BN9" i="70"/>
  <c r="AJ19" i="70"/>
  <c r="BJ14" i="70"/>
  <c r="H14" i="70" s="1"/>
  <c r="BF14" i="70" s="1"/>
  <c r="AK14" i="70"/>
  <c r="BN14" i="70"/>
  <c r="BM14" i="70"/>
  <c r="AR15" i="70"/>
  <c r="AV15" i="70" s="1"/>
  <c r="AM15" i="70"/>
  <c r="AT15" i="70"/>
  <c r="AX15" i="70"/>
  <c r="AY4" i="70"/>
  <c r="AK17" i="70"/>
  <c r="BM17" i="70"/>
  <c r="BN17" i="70"/>
  <c r="BJ10" i="70"/>
  <c r="H10" i="70" s="1"/>
  <c r="AK10" i="70"/>
  <c r="BN10" i="70"/>
  <c r="BM10" i="70"/>
  <c r="AR11" i="70"/>
  <c r="AV11" i="70" s="1"/>
  <c r="AM11" i="70"/>
  <c r="AP11" i="70" s="1"/>
  <c r="BG11" i="70" s="1"/>
  <c r="AT11" i="70"/>
  <c r="BJ13" i="59"/>
  <c r="H13" i="59" s="1"/>
  <c r="BF13" i="59" s="1"/>
  <c r="AK13" i="59"/>
  <c r="BN13" i="59"/>
  <c r="BM13" i="59"/>
  <c r="AK18" i="59"/>
  <c r="BJ18" i="59"/>
  <c r="H18" i="59" s="1"/>
  <c r="BF18" i="59" s="1"/>
  <c r="BN18" i="59"/>
  <c r="BM18" i="59"/>
  <c r="AZ18" i="59"/>
  <c r="AK14" i="59"/>
  <c r="BN14" i="59"/>
  <c r="BM14" i="59"/>
  <c r="BB4" i="59"/>
  <c r="AR15" i="59"/>
  <c r="AV15" i="59" s="1"/>
  <c r="AM15" i="59"/>
  <c r="AP15" i="59" s="1"/>
  <c r="BG15" i="59" s="1"/>
  <c r="AT15" i="59"/>
  <c r="BJ9" i="59"/>
  <c r="H9" i="59" s="1"/>
  <c r="AK9" i="59"/>
  <c r="BN9" i="59"/>
  <c r="BM9" i="59"/>
  <c r="AR19" i="59"/>
  <c r="AV19" i="59" s="1"/>
  <c r="AM19" i="59"/>
  <c r="AP19" i="59" s="1"/>
  <c r="BG19" i="59" s="1"/>
  <c r="AT19" i="59"/>
  <c r="BJ24" i="59"/>
  <c r="H24" i="59" s="1"/>
  <c r="BF24" i="59" s="1"/>
  <c r="AK24" i="59"/>
  <c r="BN24" i="59"/>
  <c r="BM24" i="59"/>
  <c r="BJ10" i="59"/>
  <c r="H10" i="59" s="1"/>
  <c r="AK10" i="59"/>
  <c r="BN10" i="59"/>
  <c r="BM10" i="59"/>
  <c r="AZ10" i="59"/>
  <c r="AJ17" i="59"/>
  <c r="BJ27" i="59"/>
  <c r="H27" i="59" s="1"/>
  <c r="BF27" i="59" s="1"/>
  <c r="AK27" i="59"/>
  <c r="BN27" i="59"/>
  <c r="BM27" i="59"/>
  <c r="B13" i="59"/>
  <c r="I13" i="59"/>
  <c r="AO13" i="59"/>
  <c r="BJ21" i="59"/>
  <c r="H21" i="59" s="1"/>
  <c r="BF21" i="59" s="1"/>
  <c r="AK21" i="59"/>
  <c r="BN21" i="59"/>
  <c r="BM21" i="59"/>
  <c r="I9" i="59"/>
  <c r="AO9" i="59"/>
  <c r="AZ13" i="59"/>
  <c r="AP11" i="59"/>
  <c r="BG11" i="59" s="1"/>
  <c r="AR11" i="59"/>
  <c r="AV11" i="59" s="1"/>
  <c r="AM11" i="59"/>
  <c r="AT11" i="59"/>
  <c r="AT26" i="59"/>
  <c r="AR26" i="59"/>
  <c r="AV26" i="59" s="1"/>
  <c r="AM26" i="59"/>
  <c r="AX26" i="59"/>
  <c r="AT22" i="59"/>
  <c r="AR22" i="59"/>
  <c r="AV22" i="59" s="1"/>
  <c r="AX22" i="59"/>
  <c r="AM22" i="59"/>
  <c r="AT23" i="59"/>
  <c r="AM23" i="59"/>
  <c r="AR23" i="59"/>
  <c r="AV23" i="59" s="1"/>
  <c r="AX23" i="59"/>
  <c r="AT25" i="59"/>
  <c r="AR25" i="59"/>
  <c r="AV25" i="59" s="1"/>
  <c r="AX25" i="59"/>
  <c r="AM25" i="59"/>
  <c r="AO10" i="59"/>
  <c r="I10" i="59"/>
  <c r="AY4" i="59"/>
  <c r="AZ14" i="59"/>
  <c r="BJ17" i="59"/>
  <c r="H17" i="59" s="1"/>
  <c r="BF17" i="59" s="1"/>
  <c r="AK17" i="59"/>
  <c r="BM17" i="59"/>
  <c r="BN17" i="59"/>
  <c r="BG15" i="70" l="1"/>
  <c r="AM21" i="70"/>
  <c r="AT21" i="70"/>
  <c r="AR21" i="70"/>
  <c r="AV21" i="70" s="1"/>
  <c r="AX21" i="70"/>
  <c r="AP13" i="70"/>
  <c r="AM9" i="70"/>
  <c r="AT9" i="70"/>
  <c r="AR9" i="70"/>
  <c r="AX9" i="70"/>
  <c r="BF9" i="70"/>
  <c r="AP9" i="70"/>
  <c r="AT18" i="70"/>
  <c r="AR18" i="70"/>
  <c r="AV18" i="70" s="1"/>
  <c r="AM18" i="70"/>
  <c r="AX18" i="70"/>
  <c r="AM17" i="70"/>
  <c r="AP17" i="70" s="1"/>
  <c r="BG17" i="70" s="1"/>
  <c r="AT17" i="70"/>
  <c r="AR17" i="70"/>
  <c r="AV17" i="70" s="1"/>
  <c r="AT10" i="70"/>
  <c r="AR10" i="70"/>
  <c r="AV10" i="70" s="1"/>
  <c r="AM10" i="70"/>
  <c r="AX10" i="70"/>
  <c r="B16" i="70"/>
  <c r="AP16" i="70" s="1"/>
  <c r="BG16" i="70" s="1"/>
  <c r="BF10" i="70"/>
  <c r="AP10" i="70"/>
  <c r="AJ20" i="70"/>
  <c r="AT14" i="70"/>
  <c r="AR14" i="70"/>
  <c r="AV14" i="70" s="1"/>
  <c r="AM14" i="70"/>
  <c r="AX14" i="70"/>
  <c r="AP14" i="70"/>
  <c r="B18" i="70"/>
  <c r="AP18" i="70" s="1"/>
  <c r="AM13" i="70"/>
  <c r="AT13" i="70"/>
  <c r="AR13" i="70"/>
  <c r="AV13" i="70" s="1"/>
  <c r="AX13" i="70"/>
  <c r="AZ4" i="59"/>
  <c r="AP13" i="59"/>
  <c r="BG13" i="59" s="1"/>
  <c r="AR27" i="59"/>
  <c r="AV27" i="59" s="1"/>
  <c r="AM27" i="59"/>
  <c r="AT27" i="59"/>
  <c r="AX27" i="59"/>
  <c r="BF10" i="59"/>
  <c r="AP10" i="59"/>
  <c r="BG10" i="59" s="1"/>
  <c r="AR9" i="59"/>
  <c r="AM9" i="59"/>
  <c r="AT9" i="59"/>
  <c r="BF9" i="59"/>
  <c r="AP9" i="59"/>
  <c r="BG9" i="59" s="1"/>
  <c r="AR21" i="59"/>
  <c r="AV21" i="59" s="1"/>
  <c r="AM21" i="59"/>
  <c r="AT21" i="59"/>
  <c r="AX21" i="59"/>
  <c r="H41" i="59"/>
  <c r="B16" i="59"/>
  <c r="AT10" i="59"/>
  <c r="AM10" i="59"/>
  <c r="AR10" i="59"/>
  <c r="AV10" i="59" s="1"/>
  <c r="AR17" i="59"/>
  <c r="AV17" i="59" s="1"/>
  <c r="AM17" i="59"/>
  <c r="AT17" i="59"/>
  <c r="AX17" i="59"/>
  <c r="AJ18" i="59"/>
  <c r="AR24" i="59"/>
  <c r="AV24" i="59" s="1"/>
  <c r="AM24" i="59"/>
  <c r="AT24" i="59"/>
  <c r="AX24" i="59"/>
  <c r="AT18" i="59"/>
  <c r="AM18" i="59"/>
  <c r="AR18" i="59"/>
  <c r="AV18" i="59" s="1"/>
  <c r="AX18" i="59"/>
  <c r="AR13" i="59"/>
  <c r="AV13" i="59" s="1"/>
  <c r="AM13" i="59"/>
  <c r="AT13" i="59"/>
  <c r="AT14" i="59"/>
  <c r="AM14" i="59"/>
  <c r="AP14" i="59" s="1"/>
  <c r="BG14" i="59" s="1"/>
  <c r="AR14" i="59"/>
  <c r="AV14" i="59" s="1"/>
  <c r="BG18" i="70" l="1"/>
  <c r="AV9" i="70"/>
  <c r="AR41" i="70"/>
  <c r="AR45" i="70" s="1"/>
  <c r="BG13" i="70"/>
  <c r="BG9" i="70"/>
  <c r="AJ21" i="70"/>
  <c r="AI8" i="70"/>
  <c r="C8" i="70" s="1"/>
  <c r="AM41" i="70"/>
  <c r="AX4" i="70" s="1"/>
  <c r="AM6" i="70"/>
  <c r="J41" i="70" s="1"/>
  <c r="B20" i="70"/>
  <c r="AP20" i="70" s="1"/>
  <c r="BG20" i="70" s="1"/>
  <c r="B21" i="70"/>
  <c r="AP21" i="70" s="1"/>
  <c r="BG21" i="70" s="1"/>
  <c r="BG14" i="70"/>
  <c r="BG10" i="70"/>
  <c r="B17" i="59"/>
  <c r="AP17" i="59" s="1"/>
  <c r="BG17" i="59" s="1"/>
  <c r="AJ19" i="59"/>
  <c r="AV9" i="59"/>
  <c r="AR41" i="59"/>
  <c r="AP16" i="59"/>
  <c r="BG16" i="59" s="1"/>
  <c r="B18" i="59"/>
  <c r="AT41" i="59"/>
  <c r="AM41" i="59"/>
  <c r="AM6" i="59"/>
  <c r="J41" i="59" s="1"/>
  <c r="F41" i="70" l="1"/>
  <c r="U48" i="70" s="1"/>
  <c r="U49" i="70" s="1"/>
  <c r="Q6" i="70"/>
  <c r="AW4" i="70"/>
  <c r="U44" i="70" s="1"/>
  <c r="O40" i="70" s="1"/>
  <c r="AI19" i="70"/>
  <c r="C19" i="70" s="1"/>
  <c r="AI17" i="70"/>
  <c r="C17" i="70" s="1"/>
  <c r="AI11" i="70"/>
  <c r="U45" i="70"/>
  <c r="Q40" i="70" s="1"/>
  <c r="AR46" i="70"/>
  <c r="B41" i="70" s="1"/>
  <c r="AR45" i="59"/>
  <c r="F41" i="59"/>
  <c r="U47" i="59" s="1"/>
  <c r="U49" i="59" s="1"/>
  <c r="Q6" i="59"/>
  <c r="AW4" i="59"/>
  <c r="AX4" i="59"/>
  <c r="AP18" i="59"/>
  <c r="BG18" i="59" s="1"/>
  <c r="B20" i="59"/>
  <c r="AJ20" i="59"/>
  <c r="C11" i="70" l="1"/>
  <c r="AI43" i="70"/>
  <c r="U45" i="59"/>
  <c r="Q40" i="59" s="1"/>
  <c r="AR46" i="59"/>
  <c r="B41" i="59" s="1"/>
  <c r="U44" i="59"/>
  <c r="O40" i="59" s="1"/>
  <c r="AJ21" i="59"/>
  <c r="AP20" i="59"/>
  <c r="BG20" i="59" s="1"/>
  <c r="B21" i="59"/>
  <c r="AP21" i="59" l="1"/>
  <c r="BG21" i="59" s="1"/>
  <c r="B22" i="59"/>
  <c r="AJ22" i="59"/>
  <c r="AJ23" i="59" l="1"/>
  <c r="AP22" i="59"/>
  <c r="BG22" i="59" s="1"/>
  <c r="B23" i="59"/>
  <c r="AP23" i="59" l="1"/>
  <c r="BG23" i="59" s="1"/>
  <c r="B24" i="59"/>
  <c r="AJ24" i="59"/>
  <c r="AJ25" i="59" s="1"/>
  <c r="AJ26" i="59" s="1"/>
  <c r="AJ27" i="59" s="1"/>
  <c r="AI19" i="59"/>
  <c r="C19" i="59" s="1"/>
  <c r="AI14" i="59" l="1"/>
  <c r="AI15" i="59"/>
  <c r="C15" i="59" s="1"/>
  <c r="AI8" i="59"/>
  <c r="C8" i="59" s="1"/>
  <c r="AP24" i="59"/>
  <c r="BG24" i="59" s="1"/>
  <c r="B25" i="59"/>
  <c r="AP25" i="59" l="1"/>
  <c r="BG25" i="59" s="1"/>
  <c r="B26" i="59"/>
  <c r="C14" i="59"/>
  <c r="AI43" i="59"/>
  <c r="AP26" i="59" l="1"/>
  <c r="BG26" i="59" s="1"/>
  <c r="B27" i="59"/>
  <c r="AP27" i="59" s="1"/>
  <c r="BG27" i="59" s="1"/>
  <c r="C35" i="47" l="1"/>
  <c r="E35" i="47" s="1"/>
  <c r="C28" i="47"/>
  <c r="E28" i="47" s="1"/>
  <c r="E16" i="47"/>
  <c r="C16" i="47"/>
  <c r="C10" i="47"/>
  <c r="E10" i="47" l="1"/>
  <c r="E39" i="47" s="1"/>
  <c r="E42" i="47" s="1"/>
  <c r="E43" i="47" s="1"/>
  <c r="C39" i="47"/>
  <c r="C30" i="44" l="1"/>
  <c r="E30" i="44" s="1"/>
  <c r="E25" i="44"/>
  <c r="C25" i="44"/>
  <c r="C18" i="44"/>
  <c r="E18" i="44" s="1"/>
  <c r="C10" i="44"/>
  <c r="E10" i="44" l="1"/>
  <c r="E35" i="44" s="1"/>
  <c r="C35" i="44"/>
  <c r="C35" i="39" l="1"/>
  <c r="E29" i="39"/>
  <c r="C29" i="39"/>
  <c r="E19" i="39"/>
  <c r="E15" i="39" s="1"/>
  <c r="C19" i="39"/>
  <c r="C15" i="39"/>
  <c r="C10" i="39"/>
  <c r="E10" i="39" s="1"/>
  <c r="C20" i="38"/>
  <c r="E17" i="38"/>
  <c r="C17" i="38"/>
  <c r="C12" i="38"/>
  <c r="E12" i="38" s="1"/>
  <c r="E9" i="38" s="1"/>
  <c r="C9" i="38"/>
  <c r="E35" i="39" l="1"/>
  <c r="E39" i="39" s="1"/>
  <c r="E42" i="39" s="1"/>
  <c r="F19" i="5" s="1"/>
  <c r="C15" i="14" s="1"/>
  <c r="C39" i="39"/>
  <c r="E20" i="38"/>
  <c r="E24" i="38" s="1"/>
  <c r="E27" i="38" s="1"/>
  <c r="C24" i="38"/>
  <c r="C3" i="8"/>
  <c r="A3" i="8"/>
  <c r="C2" i="8"/>
  <c r="A2" i="8"/>
  <c r="C1" i="8"/>
  <c r="A1" i="8"/>
  <c r="C3" i="7"/>
  <c r="A3" i="7"/>
  <c r="C2" i="7"/>
  <c r="A2" i="7"/>
  <c r="C1" i="7"/>
  <c r="A1" i="7"/>
  <c r="C3" i="6"/>
  <c r="A3" i="6"/>
  <c r="C2" i="6"/>
  <c r="A2" i="6"/>
  <c r="C1" i="6"/>
  <c r="A1" i="6"/>
  <c r="C2" i="5"/>
  <c r="C3" i="5"/>
  <c r="C1" i="5"/>
  <c r="A2" i="5"/>
  <c r="A3" i="5"/>
  <c r="A1" i="5"/>
  <c r="C2" i="12"/>
  <c r="C3" i="12"/>
  <c r="A2" i="12"/>
  <c r="A3" i="12"/>
  <c r="C2" i="11"/>
  <c r="C3" i="11"/>
  <c r="A3" i="11"/>
  <c r="E43" i="39" l="1"/>
  <c r="E28" i="38"/>
  <c r="E1" i="14"/>
  <c r="C1" i="14"/>
  <c r="C1" i="12"/>
  <c r="A1" i="12"/>
  <c r="A2" i="11"/>
  <c r="C1" i="11"/>
  <c r="A1" i="11"/>
</calcChain>
</file>

<file path=xl/sharedStrings.xml><?xml version="1.0" encoding="utf-8"?>
<sst xmlns="http://schemas.openxmlformats.org/spreadsheetml/2006/main" count="8418" uniqueCount="1055">
  <si>
    <t>Class</t>
  </si>
  <si>
    <t>Grade</t>
  </si>
  <si>
    <t>Data for these columns is pulled from event gradesheets. Do not enter data here.</t>
  </si>
  <si>
    <t>Mission Event</t>
  </si>
  <si>
    <t>Platform</t>
  </si>
  <si>
    <t>Instructor</t>
  </si>
  <si>
    <t>Date</t>
  </si>
  <si>
    <t>Reports</t>
  </si>
  <si>
    <t xml:space="preserve">Flight Duration </t>
  </si>
  <si>
    <t xml:space="preserve">Date </t>
  </si>
  <si>
    <t>Flight Duration</t>
  </si>
  <si>
    <t>Probation</t>
  </si>
  <si>
    <t>Event / Aircraft</t>
  </si>
  <si>
    <t>Reason</t>
  </si>
  <si>
    <t>DO Reviewed</t>
  </si>
  <si>
    <t>Remove Date</t>
  </si>
  <si>
    <t>Alibi (Busts, Fairs, Incompletes &amp; Airsickness)</t>
  </si>
  <si>
    <t>Alibi</t>
  </si>
  <si>
    <t>Training Officer Remarks</t>
  </si>
  <si>
    <t>Training/Event Completed</t>
  </si>
  <si>
    <t>Last Flight Flown</t>
  </si>
  <si>
    <t>Flight duration</t>
  </si>
  <si>
    <t>Student</t>
  </si>
  <si>
    <t>Crew Type</t>
  </si>
  <si>
    <t>6/20/2012 EXAMPLE ENTRY</t>
  </si>
  <si>
    <t>PF 761 F-16</t>
  </si>
  <si>
    <t>Captain America demonstrated limited proficiency in formation procedures, most likely due to the curriculum break and being DNIF prior to that. Recommend an additional formation sortie in either the F-16 or T-38 to bring his continuity back up to speed.  LTC Joe Bag-o-Donuts</t>
  </si>
  <si>
    <t>Talked to LTC Bag-o-Donuts on 6/21/2012 along with Ops O. Capt America scheduled for a T-38 form prof ride on 7/17. He can continue with non-formation flights until then.</t>
  </si>
  <si>
    <t>Formation sortie completed 6/28/2012. All formation events completed satisfactorily. Col Rockstar</t>
  </si>
  <si>
    <t>Begin Date</t>
  </si>
  <si>
    <t>Maj Flyer is placed on flying probation for the next 60 days due to a substandard performance trend in accordance with USAF TPS OI 36-5, para 3.a(2), dated 25 May 07. This probation is based on your flying performance with the following deficiencies: (A) Adherence to A/C limits (B) Situational Awareness   Maj Instructor</t>
  </si>
  <si>
    <t>LT Col DO  6/22/2012</t>
  </si>
  <si>
    <t>Resource / Aircraft</t>
  </si>
  <si>
    <t>Restriction Description</t>
  </si>
  <si>
    <t>F-15 E</t>
  </si>
  <si>
    <t>Capt Alien may not fly in F-15E</t>
  </si>
  <si>
    <t>B</t>
  </si>
  <si>
    <t>G</t>
  </si>
  <si>
    <t>Y</t>
  </si>
  <si>
    <t>R</t>
  </si>
  <si>
    <t>PF 6000</t>
  </si>
  <si>
    <t>6111E</t>
  </si>
  <si>
    <t>PF 7000</t>
  </si>
  <si>
    <t>F-16/T-38 Tower Flyby Flight (P)</t>
  </si>
  <si>
    <t>PF 8000</t>
  </si>
  <si>
    <t>FQ 6000</t>
  </si>
  <si>
    <t>Aircraft Stability Exam</t>
  </si>
  <si>
    <t>FQ 7000</t>
  </si>
  <si>
    <t>Flight Control Systems Exam</t>
  </si>
  <si>
    <t>FQ 8000</t>
  </si>
  <si>
    <t>Handling Qualities Evaluation Exam</t>
  </si>
  <si>
    <t>T-38 Handling Qualities Flight (P/RPA)</t>
  </si>
  <si>
    <t>FQ 9000</t>
  </si>
  <si>
    <t>9111E</t>
  </si>
  <si>
    <t>T-38 Flying Qualities Practical Exam (P)</t>
  </si>
  <si>
    <t>SY 6000</t>
  </si>
  <si>
    <t>SY 7000</t>
  </si>
  <si>
    <t>F-16 Systems Practical Exam Flight (P)</t>
  </si>
  <si>
    <t>F-16 Systems Practical Exam Control Room (FTE)</t>
  </si>
  <si>
    <t>SY 8000</t>
  </si>
  <si>
    <t>TF 5000</t>
  </si>
  <si>
    <t>TF 6000</t>
  </si>
  <si>
    <t>TF 7000</t>
  </si>
  <si>
    <t>TF 8000</t>
  </si>
  <si>
    <t>TF 9000</t>
  </si>
  <si>
    <t>PF 6100</t>
  </si>
  <si>
    <t>6102E</t>
  </si>
  <si>
    <t>Intro to Aerodynamics Exam</t>
  </si>
  <si>
    <t>Compressible/Hypersonic Aerodynamics Exam</t>
  </si>
  <si>
    <t>6121F</t>
  </si>
  <si>
    <t>T-38 Low L/D Flight</t>
  </si>
  <si>
    <t>PF 6200</t>
  </si>
  <si>
    <t>6202E</t>
  </si>
  <si>
    <t>Modeling and Simulation Exam</t>
  </si>
  <si>
    <t>6221F</t>
  </si>
  <si>
    <t>Aerodynamic Modeling Flight (CSO/P/RPA)</t>
  </si>
  <si>
    <t>6241R</t>
  </si>
  <si>
    <t>Model Validation Report</t>
  </si>
  <si>
    <t>PF 7100</t>
  </si>
  <si>
    <t>7102E</t>
  </si>
  <si>
    <t>Pitot-Statics Exam</t>
  </si>
  <si>
    <t>7112F</t>
  </si>
  <si>
    <t>7121R</t>
  </si>
  <si>
    <t>Air Data System Calibration Report</t>
  </si>
  <si>
    <t>PF 7200</t>
  </si>
  <si>
    <t>7202E</t>
  </si>
  <si>
    <t>Propulsion Exam</t>
  </si>
  <si>
    <t>PF 8200</t>
  </si>
  <si>
    <t>8202E</t>
  </si>
  <si>
    <t>Energy Exam</t>
  </si>
  <si>
    <t>8211F</t>
  </si>
  <si>
    <t>C-12 Level Accel/Turn Perf Flight (ABM/CSO/FTE)</t>
  </si>
  <si>
    <t>8221C</t>
  </si>
  <si>
    <t>8222F</t>
  </si>
  <si>
    <t>PF 8300</t>
  </si>
  <si>
    <t>8302F</t>
  </si>
  <si>
    <t>8311F</t>
  </si>
  <si>
    <t>C-12 Performance Practical Flight (CSO/RPA)</t>
  </si>
  <si>
    <t>8320R</t>
  </si>
  <si>
    <t>C-12 Performance Practical Written Report (CSO/RPA)</t>
  </si>
  <si>
    <t>8332F</t>
  </si>
  <si>
    <t>Multi-Engine Performance Practical (ABM/FTE/P)</t>
  </si>
  <si>
    <t>8340R</t>
  </si>
  <si>
    <t>8341R</t>
  </si>
  <si>
    <t>Multi-Engine Performance Practical Written Report (ABM/FTE)</t>
  </si>
  <si>
    <t>8351Y</t>
  </si>
  <si>
    <t>Performance Phase Final Test Oral Report</t>
  </si>
  <si>
    <t>FQ 6100</t>
  </si>
  <si>
    <t>Equations of Motion Exam</t>
  </si>
  <si>
    <t>FQ 6200</t>
  </si>
  <si>
    <t>6241F</t>
  </si>
  <si>
    <t>C-12 Static Stability Flight</t>
  </si>
  <si>
    <t>6251F</t>
  </si>
  <si>
    <t>T-38 Dynamics Flight (CSO/P/RPA)</t>
  </si>
  <si>
    <t>6252C</t>
  </si>
  <si>
    <t>T-38 Dynamics Control Room (ABM/FTE)</t>
  </si>
  <si>
    <t>FQ 6300</t>
  </si>
  <si>
    <t>6321R</t>
  </si>
  <si>
    <t>T-38 Flying Qualities Test Plan Oral Report</t>
  </si>
  <si>
    <t>FQ 7100</t>
  </si>
  <si>
    <t>FQ 7200</t>
  </si>
  <si>
    <t>7203E</t>
  </si>
  <si>
    <t>Structures Exam</t>
  </si>
  <si>
    <t>7231C</t>
  </si>
  <si>
    <t>F-16 Structures Envelope Expansion Control Room (ABM/FTE)</t>
  </si>
  <si>
    <t>7232F</t>
  </si>
  <si>
    <t>F-16 Structures Envelope Expansion (CSO/P/RPA)</t>
  </si>
  <si>
    <t>FQ 8100</t>
  </si>
  <si>
    <t>8102E</t>
  </si>
  <si>
    <t>8121F</t>
  </si>
  <si>
    <t>8141F</t>
  </si>
  <si>
    <t>8160F</t>
  </si>
  <si>
    <t>T-38 Combined Handling Qualities/Stall Flight (ABM/CSO/FTE)</t>
  </si>
  <si>
    <t>FQ 8200</t>
  </si>
  <si>
    <t>8210Y</t>
  </si>
  <si>
    <t>T-38 Handling Qualities Test Plan Oral Report</t>
  </si>
  <si>
    <t>FQ 9100</t>
  </si>
  <si>
    <t>9111F</t>
  </si>
  <si>
    <t>KC-135/C-12 Engine Out Testing Flight</t>
  </si>
  <si>
    <t>FQ 9200</t>
  </si>
  <si>
    <t>9202E</t>
  </si>
  <si>
    <t>Stall, Departure and Spin Testing Exam</t>
  </si>
  <si>
    <t>9211F</t>
  </si>
  <si>
    <t>Glider Spin Flight</t>
  </si>
  <si>
    <t>9221F</t>
  </si>
  <si>
    <t>T-38 Stall Flight (P/RPA)</t>
  </si>
  <si>
    <t>F-16 High AOA Envelope Expansion Data Flight (CSO/P/RPA)</t>
  </si>
  <si>
    <t>F-16 High AOA Envelope Expansion Control Room (ABM/FTE)</t>
  </si>
  <si>
    <t>F-16 High AOA Envelope Expansion Oral Report</t>
  </si>
  <si>
    <t>FQ 9400</t>
  </si>
  <si>
    <t>9411E</t>
  </si>
  <si>
    <t>First Flight and Envelope Expansion Exam</t>
  </si>
  <si>
    <t>FQ 9500</t>
  </si>
  <si>
    <t>9502S</t>
  </si>
  <si>
    <t>Sim Flying Qualities Practical Exam (ABM/CSO/RPA)</t>
  </si>
  <si>
    <t>9503R</t>
  </si>
  <si>
    <t>Sim Flying Qualities Practical Exam Written Report (ABM/CSO/RPA)</t>
  </si>
  <si>
    <t>9511F</t>
  </si>
  <si>
    <t>9512C</t>
  </si>
  <si>
    <t>T-38 Flying Qualities Practical Control Room (FTE)</t>
  </si>
  <si>
    <t>9513R</t>
  </si>
  <si>
    <t>T-38 Flying Qualities Practical Exam Written Report (FTE/P)</t>
  </si>
  <si>
    <t>SY 6100</t>
  </si>
  <si>
    <t>Electro-Optics Homework</t>
  </si>
  <si>
    <t>RADAR Homework</t>
  </si>
  <si>
    <t>6131F</t>
  </si>
  <si>
    <t>F-16 Sensors Flight (FTC)</t>
  </si>
  <si>
    <t>6132R</t>
  </si>
  <si>
    <t>F-16 Sensors Flight Written Report (FTC)</t>
  </si>
  <si>
    <t>SY 6300</t>
  </si>
  <si>
    <t>6302Y</t>
  </si>
  <si>
    <t>Navigation and State Estimation Oral Report</t>
  </si>
  <si>
    <t>SY 6400</t>
  </si>
  <si>
    <t>6401E</t>
  </si>
  <si>
    <t>Component Mission Systems End-of-Course Exam</t>
  </si>
  <si>
    <t>SY 7200</t>
  </si>
  <si>
    <t>7212F</t>
  </si>
  <si>
    <t>F-16 Weapons Delivery Flight (CSO/P/RPA)</t>
  </si>
  <si>
    <t>7213C</t>
  </si>
  <si>
    <t>F-16 Weapons Delivery Control Room (ABM/FTE/STC)</t>
  </si>
  <si>
    <t>7214Y</t>
  </si>
  <si>
    <t>F-16 Weapons Delivery Oral Report (FTC)</t>
  </si>
  <si>
    <t>SY 7400</t>
  </si>
  <si>
    <t>7401E</t>
  </si>
  <si>
    <t>SY 7500</t>
  </si>
  <si>
    <t>7503F</t>
  </si>
  <si>
    <t>MQ-9 Systems Practical Exam (ABM/CSO/RPA, select FTE/P)</t>
  </si>
  <si>
    <t>7504Y</t>
  </si>
  <si>
    <t>MQ-9 Systems Practical Exam Oral Report (ABM/CSO/RPA, select FTE/P)</t>
  </si>
  <si>
    <t>7511F</t>
  </si>
  <si>
    <t>7512C</t>
  </si>
  <si>
    <t>7513Y</t>
  </si>
  <si>
    <t>F-16 Systems Practical Exam Oral Report (FTE/P)</t>
  </si>
  <si>
    <t>SY 8100</t>
  </si>
  <si>
    <t>Communications and Datalinks Homework</t>
  </si>
  <si>
    <t>SY 8500</t>
  </si>
  <si>
    <t>8501E</t>
  </si>
  <si>
    <t>Kill Web Mission Systems End-of-Course Exam</t>
  </si>
  <si>
    <t>TF 5100</t>
  </si>
  <si>
    <t>5103R</t>
  </si>
  <si>
    <t>Systems Engineering for Testers Project Written Report</t>
  </si>
  <si>
    <t>TF 5200</t>
  </si>
  <si>
    <t>5232R</t>
  </si>
  <si>
    <t>TF 6200</t>
  </si>
  <si>
    <t>6221C</t>
  </si>
  <si>
    <t>Control Room Test Conduct Primer (ABM/FTE/STC)</t>
  </si>
  <si>
    <t>6231C</t>
  </si>
  <si>
    <t>F-16/Control Room Test Conduct Intro (ABM/FTE)</t>
  </si>
  <si>
    <t>C-12 Airborne Test Conduct Intro</t>
  </si>
  <si>
    <t>C-12 Intermediate Airborne Test Conduct (FTC)</t>
  </si>
  <si>
    <t>TF 6300</t>
  </si>
  <si>
    <t>Statistics for Testers Oral Report</t>
  </si>
  <si>
    <t>6311Y</t>
  </si>
  <si>
    <t>Statistics Based Test Design Oral Report</t>
  </si>
  <si>
    <t>TF 7100</t>
  </si>
  <si>
    <t>7113R</t>
  </si>
  <si>
    <t>Graded Qual Eval 1 Report</t>
  </si>
  <si>
    <t>7123R</t>
  </si>
  <si>
    <t>Graded Qual Eval 2 Report</t>
  </si>
  <si>
    <t>7133R</t>
  </si>
  <si>
    <t>Graded Qual Eval 3 Report</t>
  </si>
  <si>
    <t>TF 7500</t>
  </si>
  <si>
    <t>7502R</t>
  </si>
  <si>
    <t>Capstone Qual Eval Test Plan</t>
  </si>
  <si>
    <t>Capstone Qual Eval Oral Report</t>
  </si>
  <si>
    <t>TF 8100</t>
  </si>
  <si>
    <t>8106R</t>
  </si>
  <si>
    <t>TMP Test Plan and Safety Package</t>
  </si>
  <si>
    <t>TF 8300</t>
  </si>
  <si>
    <t>8306R</t>
  </si>
  <si>
    <t>TMP Final Written Report (TIM)</t>
  </si>
  <si>
    <t>8307Y</t>
  </si>
  <si>
    <t>TMP Final Oral Report</t>
  </si>
  <si>
    <t>TF 9100</t>
  </si>
  <si>
    <t>9102E</t>
  </si>
  <si>
    <t>Comprehensive Written Exam</t>
  </si>
  <si>
    <t>Comprehensive Oral Exam</t>
  </si>
  <si>
    <t>TL 6000</t>
  </si>
  <si>
    <t>TL 6100</t>
  </si>
  <si>
    <t>6102Y</t>
  </si>
  <si>
    <t>Oral Report</t>
  </si>
  <si>
    <t>TL 7000</t>
  </si>
  <si>
    <t>TL 7100</t>
  </si>
  <si>
    <t>7102Y</t>
  </si>
  <si>
    <t>7103Y</t>
  </si>
  <si>
    <t>Pitch Day Presentation</t>
  </si>
  <si>
    <t>TL 8000</t>
  </si>
  <si>
    <t>TL 8100</t>
  </si>
  <si>
    <t>8102Y</t>
  </si>
  <si>
    <t>Case Study Report 1</t>
  </si>
  <si>
    <t>8111Y</t>
  </si>
  <si>
    <t>Case Study Report 2</t>
  </si>
  <si>
    <t>8121Y</t>
  </si>
  <si>
    <t>Case Study Report 3</t>
  </si>
  <si>
    <t>8131Y</t>
  </si>
  <si>
    <t>Case Study Report 4</t>
  </si>
  <si>
    <t>8141Y</t>
  </si>
  <si>
    <t>Case Study Report 5</t>
  </si>
  <si>
    <t>8151Y</t>
  </si>
  <si>
    <t>Case Study Report 6</t>
  </si>
  <si>
    <t>8161Y</t>
  </si>
  <si>
    <t>Case Study Report 7</t>
  </si>
  <si>
    <t>8171Y</t>
  </si>
  <si>
    <t>Case Study Report 8</t>
  </si>
  <si>
    <t>PF 7611F F-16</t>
  </si>
  <si>
    <t>N/A</t>
  </si>
  <si>
    <t>Review Tab</t>
  </si>
  <si>
    <t>USAF Test Pilot School</t>
  </si>
  <si>
    <t>PF 6121F T-38 Low L/D Flight</t>
  </si>
  <si>
    <t>CLASS</t>
  </si>
  <si>
    <t>DATE</t>
  </si>
  <si>
    <t>A Inc?</t>
  </si>
  <si>
    <t>AC Inc?</t>
  </si>
  <si>
    <t>A Fail?</t>
  </si>
  <si>
    <t>AC Fail?</t>
  </si>
  <si>
    <t>A NA?</t>
  </si>
  <si>
    <t>AC NA?</t>
  </si>
  <si>
    <t>FLIGHT GRADE SHEET</t>
  </si>
  <si>
    <t>Flt/S/L/CR?</t>
  </si>
  <si>
    <t>display counts/grades</t>
  </si>
  <si>
    <t>For prefill macros</t>
  </si>
  <si>
    <t>STUDENT</t>
  </si>
  <si>
    <t>CREW SOLO QUAL</t>
  </si>
  <si>
    <t>INSTRUCTOR</t>
  </si>
  <si>
    <t>ACFT TYPE/NO. or ASSET</t>
  </si>
  <si>
    <t>FLT/EVENT TIME</t>
  </si>
  <si>
    <t>Yes</t>
  </si>
  <si>
    <t>Incomplete</t>
  </si>
  <si>
    <t>Fail</t>
  </si>
  <si>
    <t>NA'd by Instr?</t>
  </si>
  <si>
    <t>Inconsistency, stud</t>
  </si>
  <si>
    <t>Comment?</t>
  </si>
  <si>
    <t>Tasks</t>
  </si>
  <si>
    <t># Req</t>
  </si>
  <si>
    <t>Min Score</t>
  </si>
  <si>
    <t>Des'd Score</t>
  </si>
  <si>
    <t># Acc</t>
  </si>
  <si>
    <t>Score</t>
  </si>
  <si>
    <t>Instructor Comments</t>
  </si>
  <si>
    <t>Line #</t>
  </si>
  <si>
    <t># req</t>
  </si>
  <si>
    <t>Pri
weight</t>
  </si>
  <si>
    <t>Amn
weight</t>
  </si>
  <si>
    <t>bonus wt</t>
  </si>
  <si>
    <t>Header?</t>
  </si>
  <si>
    <t>Indent Level</t>
  </si>
  <si>
    <t>Acad=1
Amsp=0</t>
  </si>
  <si>
    <t>ACA desd</t>
  </si>
  <si>
    <t>ACA min</t>
  </si>
  <si>
    <t>P&lt;
Min?</t>
  </si>
  <si>
    <t>Logic</t>
  </si>
  <si>
    <t>Amsp
Des'd</t>
  </si>
  <si>
    <t>Amsp
Min</t>
  </si>
  <si>
    <t>%
weight</t>
  </si>
  <si>
    <t>group</t>
  </si>
  <si>
    <t>Min Grade</t>
  </si>
  <si>
    <t>Num Grade</t>
  </si>
  <si>
    <t>Aca
Graded?</t>
  </si>
  <si>
    <t>Amnsp
Graded?</t>
  </si>
  <si>
    <t>CTS</t>
  </si>
  <si>
    <t>CMNT other</t>
  </si>
  <si>
    <t>Aca Weight</t>
  </si>
  <si>
    <t>Amnshp Weight</t>
  </si>
  <si>
    <t>Bonus Weight</t>
  </si>
  <si>
    <t>Bonus</t>
  </si>
  <si>
    <t>A Ct
Low</t>
  </si>
  <si>
    <t>AC Ct
Low</t>
  </si>
  <si>
    <t>Amn
Fail</t>
  </si>
  <si>
    <t>Aca
Fail</t>
  </si>
  <si>
    <t>Amnshp</t>
  </si>
  <si>
    <t>Aca</t>
  </si>
  <si>
    <t>C, no grade</t>
  </si>
  <si>
    <t>G, no
count</t>
  </si>
  <si>
    <t>count &amp; D (NG')
or 0 &amp; D (NG)</t>
  </si>
  <si>
    <t>NA &amp; D+</t>
  </si>
  <si>
    <t>#Req</t>
  </si>
  <si>
    <t>Min</t>
  </si>
  <si>
    <t>Disp
Min</t>
  </si>
  <si>
    <t>Des'd</t>
  </si>
  <si>
    <t>Airmanship Tasks</t>
  </si>
  <si>
    <t/>
  </si>
  <si>
    <t>Grading Rubric</t>
  </si>
  <si>
    <t>Basic Aircraft Procedures</t>
  </si>
  <si>
    <t>D</t>
  </si>
  <si>
    <t>Demo</t>
  </si>
  <si>
    <t>Local Area Proc./Orientation/Comm</t>
  </si>
  <si>
    <t>Unsafe or Omitted</t>
  </si>
  <si>
    <t>Situational Awareness/Judgement</t>
  </si>
  <si>
    <t>Safe but Unable: most requirements not met, many errors</t>
  </si>
  <si>
    <t>Clearing/Visual Lookout</t>
  </si>
  <si>
    <t>Minimally Proficient: Most requirements met with many errors</t>
  </si>
  <si>
    <t>Academic Tasks</t>
  </si>
  <si>
    <t>Proficient: Most requirements met with few errors</t>
  </si>
  <si>
    <t>Test Conduct</t>
  </si>
  <si>
    <t>Highly Proficient: All requirements met with few errors</t>
  </si>
  <si>
    <t>Task Grade Computation</t>
  </si>
  <si>
    <t>Score Awarded</t>
  </si>
  <si>
    <t>NG</t>
  </si>
  <si>
    <t>Min/Expected Score</t>
  </si>
  <si>
    <t>0/1</t>
  </si>
  <si>
    <t>0/2</t>
  </si>
  <si>
    <t>0/3</t>
  </si>
  <si>
    <t>1/1</t>
  </si>
  <si>
    <t>1/2</t>
  </si>
  <si>
    <t>1/3</t>
  </si>
  <si>
    <t>2/2</t>
  </si>
  <si>
    <t>2/3</t>
  </si>
  <si>
    <t>3/3</t>
  </si>
  <si>
    <t>*</t>
  </si>
  <si>
    <t>Minimum passing score</t>
  </si>
  <si>
    <t>NA</t>
  </si>
  <si>
    <t>In "# Acc" asserts complete if # Req not met</t>
  </si>
  <si>
    <t>DO Comments</t>
  </si>
  <si>
    <t>ED Comments</t>
  </si>
  <si>
    <t>RAW GRADE</t>
  </si>
  <si>
    <t>BONUS SCORE</t>
  </si>
  <si>
    <t>STATUS</t>
  </si>
  <si>
    <t>AIRMANSHIP</t>
  </si>
  <si>
    <t>ACADEMIC</t>
  </si>
  <si>
    <t>INSTRUCTOR SIGNATURE</t>
  </si>
  <si>
    <t>STUDENT SIGNATURE</t>
  </si>
  <si>
    <t>Made?</t>
  </si>
  <si>
    <t>YES</t>
  </si>
  <si>
    <t>grade</t>
  </si>
  <si>
    <t>count</t>
  </si>
  <si>
    <t>g + c</t>
  </si>
  <si>
    <t>Test?</t>
  </si>
  <si>
    <t>Calc Max
Amnshp</t>
  </si>
  <si>
    <t>Calc Max
Bonus</t>
  </si>
  <si>
    <t>DO Rev?</t>
  </si>
  <si>
    <t>Max
Acad</t>
  </si>
  <si>
    <t>Max
Amnshp</t>
  </si>
  <si>
    <t>Max
Bonus</t>
  </si>
  <si>
    <t>ED Rev?</t>
  </si>
  <si>
    <t>Total
Score</t>
  </si>
  <si>
    <t>Locked</t>
  </si>
  <si>
    <t>Final Score</t>
  </si>
  <si>
    <t>F/S/CR ready for sig?</t>
  </si>
  <si>
    <t>Report ready for sig?</t>
  </si>
  <si>
    <t>Min/Expected</t>
  </si>
  <si>
    <t>Ready for Sig?</t>
  </si>
  <si>
    <t>PF 6241R Model Validation Report</t>
  </si>
  <si>
    <t xml:space="preserve"> </t>
  </si>
  <si>
    <t>GRADER:</t>
  </si>
  <si>
    <t>Date:</t>
  </si>
  <si>
    <t>STUDENT GROUP:</t>
  </si>
  <si>
    <t>WEIGHT</t>
  </si>
  <si>
    <t>SCORE</t>
  </si>
  <si>
    <t>2.0 TEST AND EVALUATION</t>
  </si>
  <si>
    <t xml:space="preserve">  2.1 Test Methods and Conditions</t>
  </si>
  <si>
    <t xml:space="preserve">  2.2 Test Results</t>
  </si>
  <si>
    <t xml:space="preserve">  2.3 Appendix: Graphs</t>
  </si>
  <si>
    <t>2.3.1</t>
  </si>
  <si>
    <t xml:space="preserve">    2.3.1 All Graphs Referenced in T&amp;E</t>
  </si>
  <si>
    <t>2.3.7</t>
  </si>
  <si>
    <t xml:space="preserve">    2.3.2 Lift Curves</t>
  </si>
  <si>
    <t>2.3.8</t>
  </si>
  <si>
    <t xml:space="preserve">    2.3.3 Drag Polars</t>
  </si>
  <si>
    <t>4.0 BOILERPLATE</t>
  </si>
  <si>
    <t xml:space="preserve">  4.1 Appendix: Initial Flight Report</t>
  </si>
  <si>
    <t>5.0 OVERALL</t>
  </si>
  <si>
    <t xml:space="preserve">  5.1 Grammar, Punctuation, Mechanics</t>
  </si>
  <si>
    <t xml:space="preserve">  5.2 Production Quality, Format, Footnotes</t>
  </si>
  <si>
    <t>WEIGHTED SCORE</t>
  </si>
  <si>
    <t xml:space="preserve"> + Bonus</t>
  </si>
  <si>
    <t xml:space="preserve"> -  Penalty</t>
  </si>
  <si>
    <t>FINAL SCORE</t>
  </si>
  <si>
    <t>COMMENTS:</t>
  </si>
  <si>
    <t>Instructor Signature</t>
  </si>
  <si>
    <t>Note:  Graders enter scores from 0-100 in all yellow boxes.</t>
  </si>
  <si>
    <t>PF 7121R Air Data System Calibration Report</t>
  </si>
  <si>
    <t>1.0 INTRODUCTION</t>
  </si>
  <si>
    <t xml:space="preserve">  1.1 Background</t>
  </si>
  <si>
    <t xml:space="preserve">  1.2 Test Objectives / Limitations</t>
  </si>
  <si>
    <t xml:space="preserve">  1.3 Test Item Description</t>
  </si>
  <si>
    <t xml:space="preserve">  2.3 Conclusions and Recommendations</t>
  </si>
  <si>
    <t xml:space="preserve">  2.3 Appendix A: Graphs</t>
  </si>
  <si>
    <t>2.3.2</t>
  </si>
  <si>
    <r>
      <t xml:space="preserve">    2.3.2 </t>
    </r>
    <r>
      <rPr>
        <sz val="10"/>
        <rFont val="Symbol"/>
        <family val="1"/>
        <charset val="2"/>
      </rPr>
      <t>D</t>
    </r>
    <r>
      <rPr>
        <sz val="11"/>
        <color theme="1"/>
        <rFont val="Times New Roman"/>
        <family val="1"/>
      </rPr>
      <t>P</t>
    </r>
    <r>
      <rPr>
        <vertAlign val="subscript"/>
        <sz val="10"/>
        <rFont val="Arial"/>
        <family val="2"/>
      </rPr>
      <t>p</t>
    </r>
    <r>
      <rPr>
        <sz val="11"/>
        <color theme="1"/>
        <rFont val="Times New Roman"/>
        <family val="1"/>
      </rPr>
      <t>/q</t>
    </r>
    <r>
      <rPr>
        <vertAlign val="subscript"/>
        <sz val="10"/>
        <rFont val="Arial"/>
        <family val="2"/>
      </rPr>
      <t>cic</t>
    </r>
    <r>
      <rPr>
        <sz val="11"/>
        <color theme="1"/>
        <rFont val="Times New Roman"/>
        <family val="1"/>
      </rPr>
      <t xml:space="preserve"> vs M</t>
    </r>
    <r>
      <rPr>
        <vertAlign val="subscript"/>
        <sz val="10"/>
        <rFont val="Arial"/>
        <family val="2"/>
      </rPr>
      <t>ic</t>
    </r>
  </si>
  <si>
    <t>2.3.3</t>
  </si>
  <si>
    <r>
      <t xml:space="preserve">    2.3.3 </t>
    </r>
    <r>
      <rPr>
        <sz val="10"/>
        <rFont val="Symbol"/>
        <family val="1"/>
        <charset val="2"/>
      </rPr>
      <t>D</t>
    </r>
    <r>
      <rPr>
        <sz val="11"/>
        <color theme="1"/>
        <rFont val="Times New Roman"/>
        <family val="1"/>
      </rPr>
      <t>P</t>
    </r>
    <r>
      <rPr>
        <vertAlign val="subscript"/>
        <sz val="10"/>
        <rFont val="Arial"/>
        <family val="2"/>
      </rPr>
      <t>p</t>
    </r>
    <r>
      <rPr>
        <sz val="11"/>
        <color theme="1"/>
        <rFont val="Times New Roman"/>
        <family val="1"/>
      </rPr>
      <t>/q</t>
    </r>
    <r>
      <rPr>
        <vertAlign val="subscript"/>
        <sz val="10"/>
        <rFont val="Arial"/>
        <family val="2"/>
      </rPr>
      <t>cic</t>
    </r>
    <r>
      <rPr>
        <sz val="11"/>
        <color theme="1"/>
        <rFont val="Times New Roman"/>
        <family val="1"/>
      </rPr>
      <t xml:space="preserve"> vs M</t>
    </r>
    <r>
      <rPr>
        <vertAlign val="subscript"/>
        <sz val="10"/>
        <rFont val="Arial"/>
        <family val="2"/>
      </rPr>
      <t xml:space="preserve">ic </t>
    </r>
    <r>
      <rPr>
        <sz val="10"/>
        <rFont val="Arial"/>
        <family val="2"/>
      </rPr>
      <t>compared with MIL-P-26292C</t>
    </r>
  </si>
  <si>
    <t>2.3.4</t>
  </si>
  <si>
    <r>
      <t xml:space="preserve">    2.3.4 </t>
    </r>
    <r>
      <rPr>
        <sz val="10"/>
        <rFont val="Symbol"/>
        <family val="1"/>
        <charset val="2"/>
      </rPr>
      <t>D</t>
    </r>
    <r>
      <rPr>
        <sz val="11"/>
        <color theme="1"/>
        <rFont val="Times New Roman"/>
        <family val="1"/>
      </rPr>
      <t>H</t>
    </r>
    <r>
      <rPr>
        <vertAlign val="subscript"/>
        <sz val="10"/>
        <rFont val="Arial"/>
        <family val="2"/>
      </rPr>
      <t>pc</t>
    </r>
    <r>
      <rPr>
        <sz val="11"/>
        <color theme="1"/>
        <rFont val="Times New Roman"/>
        <family val="1"/>
      </rPr>
      <t xml:space="preserve"> vs V</t>
    </r>
    <r>
      <rPr>
        <vertAlign val="subscript"/>
        <sz val="10"/>
        <rFont val="Arial"/>
        <family val="2"/>
      </rPr>
      <t>ic</t>
    </r>
  </si>
  <si>
    <t>2.3.5</t>
  </si>
  <si>
    <r>
      <t xml:space="preserve">    2.3.5 </t>
    </r>
    <r>
      <rPr>
        <sz val="10"/>
        <rFont val="Symbol"/>
        <family val="1"/>
        <charset val="2"/>
      </rPr>
      <t>D</t>
    </r>
    <r>
      <rPr>
        <sz val="11"/>
        <color theme="1"/>
        <rFont val="Times New Roman"/>
        <family val="1"/>
      </rPr>
      <t>V</t>
    </r>
    <r>
      <rPr>
        <vertAlign val="subscript"/>
        <sz val="10"/>
        <rFont val="Arial"/>
        <family val="2"/>
      </rPr>
      <t>pc</t>
    </r>
    <r>
      <rPr>
        <sz val="11"/>
        <color theme="1"/>
        <rFont val="Times New Roman"/>
        <family val="1"/>
      </rPr>
      <t xml:space="preserve"> vs V</t>
    </r>
    <r>
      <rPr>
        <vertAlign val="subscript"/>
        <sz val="10"/>
        <rFont val="Arial"/>
        <family val="2"/>
      </rPr>
      <t>ic</t>
    </r>
  </si>
  <si>
    <t>2.3.6</t>
  </si>
  <si>
    <r>
      <t xml:space="preserve">    2.3.6 </t>
    </r>
    <r>
      <rPr>
        <sz val="10"/>
        <rFont val="Symbol"/>
        <family val="1"/>
        <charset val="2"/>
      </rPr>
      <t>D</t>
    </r>
    <r>
      <rPr>
        <sz val="11"/>
        <color theme="1"/>
        <rFont val="Times New Roman"/>
        <family val="1"/>
      </rPr>
      <t>M</t>
    </r>
    <r>
      <rPr>
        <vertAlign val="subscript"/>
        <sz val="10"/>
        <rFont val="Arial"/>
        <family val="2"/>
      </rPr>
      <t>pc</t>
    </r>
    <r>
      <rPr>
        <sz val="11"/>
        <color theme="1"/>
        <rFont val="Times New Roman"/>
        <family val="1"/>
      </rPr>
      <t xml:space="preserve"> vs V</t>
    </r>
    <r>
      <rPr>
        <vertAlign val="subscript"/>
        <sz val="10"/>
        <rFont val="Arial"/>
        <family val="2"/>
      </rPr>
      <t>ic</t>
    </r>
  </si>
  <si>
    <r>
      <t xml:space="preserve">    2.3.7 </t>
    </r>
    <r>
      <rPr>
        <sz val="10"/>
        <rFont val="Symbol"/>
        <family val="1"/>
        <charset val="2"/>
      </rPr>
      <t>D</t>
    </r>
    <r>
      <rPr>
        <sz val="11"/>
        <color theme="1"/>
        <rFont val="Times New Roman"/>
        <family val="1"/>
      </rPr>
      <t>Vc</t>
    </r>
    <r>
      <rPr>
        <vertAlign val="subscript"/>
        <sz val="10"/>
        <rFont val="Arial"/>
        <family val="2"/>
      </rPr>
      <t>error</t>
    </r>
    <r>
      <rPr>
        <sz val="11"/>
        <color theme="1"/>
        <rFont val="Times New Roman"/>
        <family val="1"/>
      </rPr>
      <t xml:space="preserve"> vs </t>
    </r>
    <r>
      <rPr>
        <sz val="10"/>
        <rFont val="Symbol"/>
        <family val="1"/>
        <charset val="2"/>
      </rPr>
      <t>D</t>
    </r>
    <r>
      <rPr>
        <sz val="11"/>
        <color theme="1"/>
        <rFont val="Times New Roman"/>
        <family val="1"/>
      </rPr>
      <t>Vc</t>
    </r>
    <r>
      <rPr>
        <vertAlign val="subscript"/>
        <sz val="10"/>
        <rFont val="Arial"/>
        <family val="2"/>
      </rPr>
      <t>pace</t>
    </r>
  </si>
  <si>
    <r>
      <t xml:space="preserve">    2.3.8 </t>
    </r>
    <r>
      <rPr>
        <sz val="10"/>
        <rFont val="Symbol"/>
        <family val="1"/>
        <charset val="2"/>
      </rPr>
      <t>(T</t>
    </r>
    <r>
      <rPr>
        <vertAlign val="subscript"/>
        <sz val="10"/>
        <rFont val="Arial"/>
        <family val="2"/>
      </rPr>
      <t>ic</t>
    </r>
    <r>
      <rPr>
        <sz val="11"/>
        <color theme="1"/>
        <rFont val="Times New Roman"/>
        <family val="1"/>
      </rPr>
      <t>/T</t>
    </r>
    <r>
      <rPr>
        <vertAlign val="subscript"/>
        <sz val="10"/>
        <rFont val="Arial"/>
        <family val="2"/>
      </rPr>
      <t>a</t>
    </r>
    <r>
      <rPr>
        <sz val="11"/>
        <color theme="1"/>
        <rFont val="Times New Roman"/>
        <family val="1"/>
      </rPr>
      <t xml:space="preserve"> ) - 1 vs 0.2M</t>
    </r>
    <r>
      <rPr>
        <vertAlign val="superscript"/>
        <sz val="10"/>
        <rFont val="Arial"/>
        <family val="2"/>
      </rPr>
      <t>2</t>
    </r>
  </si>
  <si>
    <t>3.0 BOILERPLATE</t>
  </si>
  <si>
    <t xml:space="preserve">  3.1 Cover Page</t>
  </si>
  <si>
    <t xml:space="preserve">  3.2 Table of Contents</t>
  </si>
  <si>
    <t xml:space="preserve">  3.3 References</t>
  </si>
  <si>
    <t xml:space="preserve">  3.4 Appendix B: 5314s</t>
  </si>
  <si>
    <t>4.0 OVERALL</t>
  </si>
  <si>
    <t xml:space="preserve">  4.1 Grammar, Punctuation, Mechanics</t>
  </si>
  <si>
    <t xml:space="preserve">  4.2 Production Quality, Format, Footnotes</t>
  </si>
  <si>
    <t>No</t>
  </si>
  <si>
    <t xml:space="preserve">      - Mission Materials/Briefing</t>
  </si>
  <si>
    <t xml:space="preserve">      - Mission Management/Adaptability</t>
  </si>
  <si>
    <t xml:space="preserve">      - Data Collection</t>
  </si>
  <si>
    <t xml:space="preserve">      - Turn Performance</t>
  </si>
  <si>
    <t>FLIGHT GRADE SHEET (EXAM)</t>
  </si>
  <si>
    <t xml:space="preserve">      - Ground Block</t>
  </si>
  <si>
    <t>Introduction</t>
  </si>
  <si>
    <t>Omitted</t>
  </si>
  <si>
    <t>Test and Evaluation</t>
  </si>
  <si>
    <t>Unable: Most requirements not met, many errors</t>
  </si>
  <si>
    <t>Conclusions and Recommendations</t>
  </si>
  <si>
    <t>Overall</t>
  </si>
  <si>
    <t>PF 8351Y Performance Phase Final Test Oral Report</t>
  </si>
  <si>
    <t xml:space="preserve"> 1.1 Overview</t>
  </si>
  <si>
    <t xml:space="preserve"> 1.2 Cover and signature pages </t>
  </si>
  <si>
    <t xml:space="preserve"> 1.3 Test Objectives and Test Period</t>
  </si>
  <si>
    <t xml:space="preserve"> 1.4 Test Item Description</t>
  </si>
  <si>
    <t xml:space="preserve"> 1.5 Test Limitations</t>
  </si>
  <si>
    <t xml:space="preserve"> 1.6 5314s Submitted</t>
  </si>
  <si>
    <t xml:space="preserve"> 2.1 Procedure</t>
  </si>
  <si>
    <t xml:space="preserve"> 2.2 Results, Analyses, Evaluation</t>
  </si>
  <si>
    <t xml:space="preserve"> 2.3 Statistical Rigor</t>
  </si>
  <si>
    <t xml:space="preserve"> 2.4 Data Presentation (tables, graphs, charts, pictures, video)</t>
  </si>
  <si>
    <t xml:space="preserve"> 2.5 Mission Utility (overall summary + specific support)</t>
  </si>
  <si>
    <t>3.0 CONCLUSIONS AND RECOMMENDATIONS</t>
  </si>
  <si>
    <t xml:space="preserve"> 3.1 Key Results Summarized</t>
  </si>
  <si>
    <t xml:space="preserve"> 3.2 C&amp;R Restated</t>
  </si>
  <si>
    <t xml:space="preserve"> 3.3 Mission Utility (overall summary)</t>
  </si>
  <si>
    <t xml:space="preserve">  4.1 Mechanics</t>
  </si>
  <si>
    <t xml:space="preserve">  4.2 Production Quality</t>
  </si>
  <si>
    <t xml:space="preserve">  4.3 Synergy + Q&amp;A</t>
  </si>
  <si>
    <t xml:space="preserve">  Final Score</t>
  </si>
  <si>
    <t>Briefer 1</t>
  </si>
  <si>
    <t>Briefer 2</t>
  </si>
  <si>
    <t>Briefer 3</t>
  </si>
  <si>
    <t>Briefer 4</t>
  </si>
  <si>
    <t>Briefer 5</t>
  </si>
  <si>
    <t>Briefer 6</t>
  </si>
  <si>
    <t xml:space="preserve">  Names of Briefers</t>
  </si>
  <si>
    <t>FQ 6241F C-12 Static Stability Flight</t>
  </si>
  <si>
    <t xml:space="preserve">      - Mission Preparation</t>
  </si>
  <si>
    <t xml:space="preserve">      - Awareness/Adaptation</t>
  </si>
  <si>
    <t xml:space="preserve">      - Communication</t>
  </si>
  <si>
    <t xml:space="preserve">      - Teamwork</t>
  </si>
  <si>
    <t>Post Flight</t>
  </si>
  <si>
    <t xml:space="preserve">      - Data Analysis &amp; Evaluation</t>
  </si>
  <si>
    <t>Builder Version: 2.60 (W. Gray), Gradesheet Version: 20220204 (D. Evans)</t>
  </si>
  <si>
    <t>FQ 6321R Flying Qualities Test Plan Oral Report</t>
  </si>
  <si>
    <t>Required STOs consist of:</t>
  </si>
  <si>
    <t>1797B Paragraph</t>
  </si>
  <si>
    <t>Short Period Dynamics</t>
  </si>
  <si>
    <t>5.2.2.1.1.2</t>
  </si>
  <si>
    <t>Steady State Control Force and Deflection per G</t>
  </si>
  <si>
    <t>5.2.2.1.8.1</t>
  </si>
  <si>
    <t>Pitch Trim Changes</t>
  </si>
  <si>
    <t>5.2.9.2.1</t>
  </si>
  <si>
    <t>Steady State Flight Path Response to Pitch Controller</t>
  </si>
  <si>
    <t>5.2.2.1.2.3</t>
  </si>
  <si>
    <t>Direction of Airpseed Response to Pitch Controller</t>
  </si>
  <si>
    <t xml:space="preserve">5.2.2.1.2.4.1 </t>
  </si>
  <si>
    <t>Roll mode time constant</t>
  </si>
  <si>
    <t xml:space="preserve">5.2.3.1.1 </t>
  </si>
  <si>
    <t>Dutch Roll Frequency and Damping</t>
  </si>
  <si>
    <t>5.2.3.1.2</t>
  </si>
  <si>
    <t>Additional Roll Requirments for Class IV Air Vehicles</t>
  </si>
  <si>
    <t xml:space="preserve">5.2.3.5.1 </t>
  </si>
  <si>
    <t>Yaw Control Force and Deflection in Steady Sideslips</t>
  </si>
  <si>
    <t xml:space="preserve">5.2.3.9.1 </t>
  </si>
  <si>
    <t xml:space="preserve">  1.4 Test Methodology, STO/FTT Descriptions, References</t>
  </si>
  <si>
    <t>2.1 TEST RESULTS, Required STOs</t>
  </si>
  <si>
    <t xml:space="preserve">   2.1.1--5.2.2.1.1.2 Short Period Dynamics</t>
  </si>
  <si>
    <t xml:space="preserve">   2.1.2--5.2.2.1.2.3 Stead-State Flight-path response to pitch </t>
  </si>
  <si>
    <t xml:space="preserve">   2.1.3--5.2.2.1.2.4.1 Direction of Airpseed Response to pitch</t>
  </si>
  <si>
    <t xml:space="preserve">   2.1.4--5.2.2.1.8.1 Steady State Force Deflection/G </t>
  </si>
  <si>
    <t xml:space="preserve">   2.1.5--5.2.9.2.1 Pitch Trim Changes</t>
  </si>
  <si>
    <t xml:space="preserve">   2.1.6--5.2.3.1.1 Roll mode time constant</t>
  </si>
  <si>
    <t xml:space="preserve">   2.1.7--5.2.2.3.1.2 Dutch Roll Freq &amp; Damping</t>
  </si>
  <si>
    <t xml:space="preserve">   2.1.8--5.2.3.5.1 Additional Roll Reqs, Class IV Aircraft</t>
  </si>
  <si>
    <t xml:space="preserve">   2.1.9--5.2.3.9.1 Yaw Control Forces &amp; Deflection in SS</t>
  </si>
  <si>
    <t xml:space="preserve">   2.1.10--5.2.2.1.3 Pitch Attitude Bandwidth</t>
  </si>
  <si>
    <t>3.0 SUMMARY &amp; Supporting Materials</t>
  </si>
  <si>
    <t xml:space="preserve">  3.1 Overall Test Results &amp; Discussion</t>
  </si>
  <si>
    <t xml:space="preserve">  3.2 Military Utility</t>
  </si>
  <si>
    <t xml:space="preserve">  3.3 Appendix: Figures and Plot Quality</t>
  </si>
  <si>
    <t xml:space="preserve">  3.3 Appendix: Data Analysis</t>
  </si>
  <si>
    <t xml:space="preserve">  3.3 Appendix: 5314s or Daily Flight Reports</t>
  </si>
  <si>
    <t>4.0 REPORT QUALITY</t>
  </si>
  <si>
    <t xml:space="preserve">  4.2 Production Quality &amp; Format</t>
  </si>
  <si>
    <t>FQ 8121F C-12 Multi-Engine Handling Qualities Flight</t>
  </si>
  <si>
    <t>Debriefing</t>
  </si>
  <si>
    <t xml:space="preserve">      - Review of Pilot Obs/Comm</t>
  </si>
  <si>
    <t xml:space="preserve">      - Review of Data Collected</t>
  </si>
  <si>
    <t xml:space="preserve">      - Identify Lessons Learned </t>
  </si>
  <si>
    <t>Basic Aircraft Handling</t>
  </si>
  <si>
    <t xml:space="preserve">      - SA/Adaptation</t>
  </si>
  <si>
    <t xml:space="preserve">      - Taxi FTTs</t>
  </si>
  <si>
    <t xml:space="preserve">      - Route Form. FTTs (CR)</t>
  </si>
  <si>
    <t xml:space="preserve">      - Route Form. FTTs (PA)</t>
  </si>
  <si>
    <t xml:space="preserve">      - Offset Landing Buildup</t>
  </si>
  <si>
    <t xml:space="preserve">      - Lift Boundary Determination</t>
  </si>
  <si>
    <t xml:space="preserve">      - Open Loop FTTs</t>
  </si>
  <si>
    <t xml:space="preserve">      - Workload Buildup</t>
  </si>
  <si>
    <t xml:space="preserve">      - Displacement SISPIO</t>
  </si>
  <si>
    <t xml:space="preserve">      - Rate SISPIO</t>
  </si>
  <si>
    <t xml:space="preserve">      - CHR FTTs</t>
  </si>
  <si>
    <t xml:space="preserve">      - CHR Ratings/Comments</t>
  </si>
  <si>
    <t>Builder Version: 2.50 (W. Gray), Gradesheet Version: 20150505 (W. Gray)</t>
  </si>
  <si>
    <t>FQ 8210Y T-38 Handling Qualities Test Plan Oral Report</t>
  </si>
  <si>
    <t>Class:</t>
  </si>
  <si>
    <t>Instructors:</t>
  </si>
  <si>
    <t>Student:</t>
  </si>
  <si>
    <t>Grade:</t>
  </si>
  <si>
    <t>Comments:</t>
  </si>
  <si>
    <t>Background &amp; Chronology</t>
  </si>
  <si>
    <t>Test Objectives</t>
  </si>
  <si>
    <t>Limitations</t>
  </si>
  <si>
    <t>Test Item Description</t>
  </si>
  <si>
    <t>Bottom Line - Sat or Unsat</t>
  </si>
  <si>
    <t>Task Definition</t>
  </si>
  <si>
    <t>Technical Analysis - Open Loop</t>
  </si>
  <si>
    <t>Handling Qualities Ratings</t>
  </si>
  <si>
    <t>Data Presentation</t>
  </si>
  <si>
    <t>Complete (All Tests)</t>
  </si>
  <si>
    <t>Keu Results Summarized</t>
  </si>
  <si>
    <t>C&amp;R Logically Supported</t>
  </si>
  <si>
    <t xml:space="preserve">Mission Impact </t>
  </si>
  <si>
    <t>Presentation</t>
  </si>
  <si>
    <t xml:space="preserve">Production Quality </t>
  </si>
  <si>
    <t>Synergy</t>
  </si>
  <si>
    <t>Individual Presentations</t>
  </si>
  <si>
    <t>FQ 9111F KC-135/C-12 Engine Out Testing Flight</t>
  </si>
  <si>
    <t xml:space="preserve">      - Mission Preparation/Prebrief</t>
  </si>
  <si>
    <t>Test Points/Procedures</t>
  </si>
  <si>
    <t>Stalls</t>
  </si>
  <si>
    <t xml:space="preserve">      - Forward cg stalls (A/B/C)</t>
  </si>
  <si>
    <t xml:space="preserve">      - Aft cg stalls (A/B/C)</t>
  </si>
  <si>
    <t>Spins (setup, execution, recovery)</t>
  </si>
  <si>
    <t xml:space="preserve">      - Rudder Only Recovery</t>
  </si>
  <si>
    <t xml:space="preserve">      - Flight Manual Recovery</t>
  </si>
  <si>
    <t xml:space="preserve">      - NASA Modified Recovery</t>
  </si>
  <si>
    <t xml:space="preserve">      - Aileron Effects Demo</t>
  </si>
  <si>
    <t>Builder Version: 2.60 (W. Gray), Gradesheet Version: 20200414 (S Ross)</t>
  </si>
  <si>
    <t xml:space="preserve">      - Mission Preparation/Cards</t>
  </si>
  <si>
    <t xml:space="preserve">      - Executive Summary</t>
  </si>
  <si>
    <t xml:space="preserve">      - Grammar</t>
  </si>
  <si>
    <t xml:space="preserve">      - Mechanics</t>
  </si>
  <si>
    <t>SY 6131F F-16 Sensors Flight (FTC)</t>
  </si>
  <si>
    <t xml:space="preserve">      - Mission/Card Preparation</t>
  </si>
  <si>
    <t xml:space="preserve">      - Msn SA/Adaptation</t>
  </si>
  <si>
    <t>Systems Test Methodologies</t>
  </si>
  <si>
    <t xml:space="preserve">      - Test Card Step Adherence</t>
  </si>
  <si>
    <t xml:space="preserve">      - HOTAS Familiarity</t>
  </si>
  <si>
    <t xml:space="preserve">      - Pod Functionality Checks</t>
  </si>
  <si>
    <t xml:space="preserve">      - Tracking and Stability Checks</t>
  </si>
  <si>
    <t xml:space="preserve">      - Combat ID Method/Comments</t>
  </si>
  <si>
    <t xml:space="preserve">      - Spatial Freq Method/Comments</t>
  </si>
  <si>
    <t xml:space="preserve">      - Op Eval Task &amp; Bedford Scale </t>
  </si>
  <si>
    <t xml:space="preserve">      - FCR A/G Functionality Demos</t>
  </si>
  <si>
    <t>Builder Version: 2.5.2 (W. Gray), Gradesheet Version: 20160816 (J. Cookson)</t>
  </si>
  <si>
    <t>SY 6132R F-16 Sensors Flight Written Report (FTC)</t>
  </si>
  <si>
    <t>WRITTEN REPORT GRADE SHEET</t>
  </si>
  <si>
    <t xml:space="preserve">      - Test Item Description</t>
  </si>
  <si>
    <t>(ABM, CSO, FTE, P, RPA)</t>
  </si>
  <si>
    <t xml:space="preserve">      - Mission Briefing</t>
  </si>
  <si>
    <t>Preparation</t>
  </si>
  <si>
    <t>Test Execution</t>
  </si>
  <si>
    <t>TF 6241F C-12 Airborne Test Conduct Intro</t>
  </si>
  <si>
    <t>TF 6251F C-12 Intermediate Airborne Test Conduct (FTC)</t>
  </si>
  <si>
    <t>TF 7113R Graded Qual Eval 1 Report</t>
  </si>
  <si>
    <t>Builder Version: 2.60 (W. Gray), Gradesheet Version: 20200619 (J. Peterson)</t>
  </si>
  <si>
    <t>TF 7123R Graded Qual Eval 2 Report</t>
  </si>
  <si>
    <t>TF 7133R Graded Qual Eval 3 Report</t>
  </si>
  <si>
    <t>TF 7502R Capstone Qual Eval Test Plan</t>
  </si>
  <si>
    <t xml:space="preserve">      - Evaluation Scenario &amp; Reqs</t>
  </si>
  <si>
    <t>Test Planning</t>
  </si>
  <si>
    <t xml:space="preserve">      - Specific Test Objectives</t>
  </si>
  <si>
    <t xml:space="preserve">      - Evaluation Elements</t>
  </si>
  <si>
    <t xml:space="preserve">      - Description</t>
  </si>
  <si>
    <t xml:space="preserve">      - Test Methodology</t>
  </si>
  <si>
    <t xml:space="preserve">      - Evaluation Criteria</t>
  </si>
  <si>
    <t>Test Cards</t>
  </si>
  <si>
    <t xml:space="preserve">      - Test Cards</t>
  </si>
  <si>
    <t xml:space="preserve">      - Card Procedures</t>
  </si>
  <si>
    <t xml:space="preserve">      - Energy Management</t>
  </si>
  <si>
    <t xml:space="preserve">      - Low L/D Theory</t>
  </si>
  <si>
    <t>X-24 Approaches</t>
  </si>
  <si>
    <t xml:space="preserve">      - Nominal Pattern Demo</t>
  </si>
  <si>
    <t xml:space="preserve">      - Nominal Pattern</t>
  </si>
  <si>
    <t xml:space="preserve">      - Off-Nominal Entry</t>
  </si>
  <si>
    <t>Shuttle Approaches</t>
  </si>
  <si>
    <t xml:space="preserve">      - Shuttle Approach Demo</t>
  </si>
  <si>
    <t xml:space="preserve">      - Shuttle Approach</t>
  </si>
  <si>
    <t>Builder Version: 2.5.1 (W. Gray), Gradesheet Version: 20160315 (W. Gray)</t>
  </si>
  <si>
    <t>PF 6221F T-38 Aerodynamic Modeling Flight (CSO/P/RPA)</t>
  </si>
  <si>
    <t>FTTs</t>
  </si>
  <si>
    <t xml:space="preserve">      - MIL Power Check Climb</t>
  </si>
  <si>
    <t xml:space="preserve">      - CL 1g Trim Shots</t>
  </si>
  <si>
    <t xml:space="preserve">      - Aeromodeling Sawtooth Climbs</t>
  </si>
  <si>
    <t xml:space="preserve">      - Roller Coaster, 0.8M</t>
  </si>
  <si>
    <t xml:space="preserve">      - Wind-Up Turn, 0.8M</t>
  </si>
  <si>
    <t xml:space="preserve">      - Split-S, 0.8M</t>
  </si>
  <si>
    <t xml:space="preserve">      - Roller Coaster, ~1.1M</t>
  </si>
  <si>
    <t xml:space="preserve">      - Split-S, ~1.1M</t>
  </si>
  <si>
    <t xml:space="preserve">      - Penetration Check Descent</t>
  </si>
  <si>
    <t xml:space="preserve">      - Max Range Check Descent</t>
  </si>
  <si>
    <t xml:space="preserve">      - Turning Trim Shots</t>
  </si>
  <si>
    <t xml:space="preserve">      - Spot Landing</t>
  </si>
  <si>
    <t>Builder Version: 2.60 (W. Gray), Gradesheet Version: 20190417 (W. Gray)</t>
  </si>
  <si>
    <t xml:space="preserve">      - Check Climb</t>
  </si>
  <si>
    <t xml:space="preserve">      - Trim Shot</t>
  </si>
  <si>
    <t xml:space="preserve">      - Check Descent</t>
  </si>
  <si>
    <t xml:space="preserve">      - Debrief/Data Analysis</t>
  </si>
  <si>
    <t>Builder Version: 2.60 (W. Gray), Gradesheet Version: 20190530 (K Major)</t>
  </si>
  <si>
    <t xml:space="preserve">      - Prebrief</t>
  </si>
  <si>
    <t xml:space="preserve">      - Level Acceleration</t>
  </si>
  <si>
    <t xml:space="preserve">      - Max Range Cruise</t>
  </si>
  <si>
    <t xml:space="preserve">      - Takeoff</t>
  </si>
  <si>
    <t xml:space="preserve">      - Sawtooth Climbs</t>
  </si>
  <si>
    <t xml:space="preserve">      - Level Decel</t>
  </si>
  <si>
    <t>Test Techniques</t>
  </si>
  <si>
    <t xml:space="preserve">      - Rap (Effective Time Delay)</t>
  </si>
  <si>
    <t xml:space="preserve">      - Step (Roll Mode)</t>
  </si>
  <si>
    <t xml:space="preserve">      - Doublet (Short Period and Dutch Roll)</t>
  </si>
  <si>
    <t xml:space="preserve">      - Pitch Frequency Sweep</t>
  </si>
  <si>
    <t xml:space="preserve">      - Step (Spiral Mode)</t>
  </si>
  <si>
    <t xml:space="preserve">      - Step (Phugoid Mode)</t>
  </si>
  <si>
    <t xml:space="preserve">      - Spot Landing: Qualitative HQ</t>
  </si>
  <si>
    <t>Hand-Held Data</t>
  </si>
  <si>
    <t xml:space="preserve">      - Oscillation Damping and Period</t>
  </si>
  <si>
    <t xml:space="preserve">      - Time Measurement</t>
  </si>
  <si>
    <t>Builder Version: 2.60 (W. Gray), Gradesheet Version: 20200722 (W. Gray)</t>
  </si>
  <si>
    <t>FQ 7232F F-16 Structures Envelope Expansion (CSO/P/RPA)</t>
  </si>
  <si>
    <t xml:space="preserve">      - Basic Aircraft Procedures</t>
  </si>
  <si>
    <t xml:space="preserve">      - Basic Aircraft Handling</t>
  </si>
  <si>
    <t xml:space="preserve">      - LA Proc./Orientation/Comm</t>
  </si>
  <si>
    <t xml:space="preserve">      - SA/Judgement</t>
  </si>
  <si>
    <t xml:space="preserve">      - Clearing/Visual Lookout</t>
  </si>
  <si>
    <t xml:space="preserve">      - Test SA/Adaptation</t>
  </si>
  <si>
    <t xml:space="preserve">      - Teamwork/CRM</t>
  </si>
  <si>
    <t xml:space="preserve">      - LCO FTT Execution</t>
  </si>
  <si>
    <t xml:space="preserve">      - Structures FTT Execution</t>
  </si>
  <si>
    <t xml:space="preserve">      - Abort Maneuver Execution</t>
  </si>
  <si>
    <t xml:space="preserve">      - Staying within Cleared Envelope </t>
  </si>
  <si>
    <t>Builder Version: 2.5.2 (W. Gray), Gradesheet Version: 20190304 (Cotting)</t>
  </si>
  <si>
    <t xml:space="preserve">      - Local Area Proc/Orientation/Comm</t>
  </si>
  <si>
    <t xml:space="preserve">      - Situational Awareness/Judgment</t>
  </si>
  <si>
    <t xml:space="preserve">      - Buildup Adherence</t>
  </si>
  <si>
    <t xml:space="preserve">      - Maneuver Execution</t>
  </si>
  <si>
    <t xml:space="preserve">      - Safety Calls</t>
  </si>
  <si>
    <t xml:space="preserve">      - Real Time Data Interpretation</t>
  </si>
  <si>
    <t>Builder Version: 2.5.2 (W. Gray), Gradesheet Version: 20190701 (Larson)</t>
  </si>
  <si>
    <t xml:space="preserve">SY 7212F F-16 Weapons Delivery Flight (CSO/P/RPA) </t>
  </si>
  <si>
    <t xml:space="preserve">      - Predictions</t>
  </si>
  <si>
    <t xml:space="preserve">      - MLE Test Point Priority</t>
  </si>
  <si>
    <t>Execution</t>
  </si>
  <si>
    <t xml:space="preserve">      - TGP Laser Regression</t>
  </si>
  <si>
    <t xml:space="preserve">      - GBU-12 Cold/Hot Pass</t>
  </si>
  <si>
    <t xml:space="preserve">      - A-A FCR Event</t>
  </si>
  <si>
    <t xml:space="preserve">      - CARA ALOW Regression</t>
  </si>
  <si>
    <t xml:space="preserve">      - Deliveries (Time Permitting)</t>
  </si>
  <si>
    <t>Reporting</t>
  </si>
  <si>
    <t xml:space="preserve">      - Oral Debrief</t>
  </si>
  <si>
    <t>Builder Version: 2.60 (W. Gray), Gradesheet Version: 20210706 (S. Thorn)</t>
  </si>
  <si>
    <t>P</t>
  </si>
  <si>
    <t>(P)</t>
  </si>
  <si>
    <t xml:space="preserve">      - Flare (prior to touchdown)</t>
  </si>
  <si>
    <t>PF 7112F F-16/T-38 Tower Flyby Flight (P)</t>
  </si>
  <si>
    <t xml:space="preserve">      - Performance Ground Block</t>
  </si>
  <si>
    <t xml:space="preserve">      - Takeoff Data Collection</t>
  </si>
  <si>
    <t xml:space="preserve">      - TFB IP Demo 300 KIAS</t>
  </si>
  <si>
    <t xml:space="preserve">      - TFBs Student Data</t>
  </si>
  <si>
    <t>Builder Version: 2.60 (W. Gray), Gradesheet Version: 20190307 (R. Erb)</t>
  </si>
  <si>
    <t xml:space="preserve">      - Prioritization</t>
  </si>
  <si>
    <t>Flight Test Techniques</t>
  </si>
  <si>
    <t>Builder Version: 2.5.2 (W. Gray), Gradesheet Version: 20160623 (W. Gray)</t>
  </si>
  <si>
    <t>PF 8332F Multi-Engine Performance Practical (ABM/FTE/P)</t>
  </si>
  <si>
    <t xml:space="preserve">      - Test Point Control</t>
  </si>
  <si>
    <t xml:space="preserve">      - Test Point Communication</t>
  </si>
  <si>
    <t xml:space="preserve">      - CRM - Awareness</t>
  </si>
  <si>
    <t xml:space="preserve">      - CRM - Adaptation</t>
  </si>
  <si>
    <t xml:space="preserve">      - CRM - Communication</t>
  </si>
  <si>
    <t>Data Collection/Initial Analysis</t>
  </si>
  <si>
    <t xml:space="preserve">      - Ground Blocks</t>
  </si>
  <si>
    <t xml:space="preserve">      - Incremental Drag Descent</t>
  </si>
  <si>
    <t xml:space="preserve">      - Sawtooth Climb (1.15 Vs)</t>
  </si>
  <si>
    <t xml:space="preserve">      - Sawtooth Climb (Vy)</t>
  </si>
  <si>
    <t xml:space="preserve">      - Cruise (Best Endurance)</t>
  </si>
  <si>
    <t xml:space="preserve">      - Cruise (Long Range)</t>
  </si>
  <si>
    <t xml:space="preserve">      - Sustained Turn, 1g</t>
  </si>
  <si>
    <t xml:space="preserve">      - Sustained Turn, TBD</t>
  </si>
  <si>
    <t xml:space="preserve">      - Tower Flyby</t>
  </si>
  <si>
    <t xml:space="preserve">      - Landing</t>
  </si>
  <si>
    <t>Builder Version: 2.50 (W. Gray), Gradesheet Version: 20130506 (W. Gray)</t>
  </si>
  <si>
    <t xml:space="preserve">      - Best Endurance Cruise</t>
  </si>
  <si>
    <t xml:space="preserve">      - Long Range Cruise</t>
  </si>
  <si>
    <t>(P, RPA)</t>
  </si>
  <si>
    <t xml:space="preserve">      - Breakout Forces/Freeplay FTT</t>
  </si>
  <si>
    <t xml:space="preserve">      - Speed Stability FTTs</t>
  </si>
  <si>
    <t xml:space="preserve">      - Maneuvering Flight FTTs</t>
  </si>
  <si>
    <t xml:space="preserve">      - SHSS FTTs</t>
  </si>
  <si>
    <t xml:space="preserve">      - Flight Path Stability FTT</t>
  </si>
  <si>
    <t xml:space="preserve">      - T/O &amp; Lnd Forces/Deflections</t>
  </si>
  <si>
    <t xml:space="preserve">      - Data Analysis &amp; Evaluaton</t>
  </si>
  <si>
    <t>FQ 6251F T-38 Dynamics Flight</t>
  </si>
  <si>
    <t>(CSO, P, RPA)</t>
  </si>
  <si>
    <t xml:space="preserve">      - Test SA / Adaptation</t>
  </si>
  <si>
    <t xml:space="preserve">      - Takeoff / Climb</t>
  </si>
  <si>
    <t xml:space="preserve">      - Dutch Roll Investigation</t>
  </si>
  <si>
    <t xml:space="preserve">      - Stall Investigation (1g)</t>
  </si>
  <si>
    <t xml:space="preserve">      - Stall Investigation (turning)</t>
  </si>
  <si>
    <t xml:space="preserve">      - Bank Angle Captures</t>
  </si>
  <si>
    <t xml:space="preserve">      - Heading Captures</t>
  </si>
  <si>
    <t xml:space="preserve">      - Pitch (Altitude) Captures</t>
  </si>
  <si>
    <t xml:space="preserve">      - Propeller Effects</t>
  </si>
  <si>
    <t xml:space="preserve">      - ILS (RNAV) CHR Task</t>
  </si>
  <si>
    <t xml:space="preserve">      - Flare / Landing</t>
  </si>
  <si>
    <t xml:space="preserve">      - Discussion of Prop Effect Preds vs Obs</t>
  </si>
  <si>
    <t>FQ 8141F T-38 Handling Qualities Flight (P/RPA)</t>
  </si>
  <si>
    <t>Overall FTT Execution</t>
  </si>
  <si>
    <t xml:space="preserve">      - Fixed Gunsight FTTs</t>
  </si>
  <si>
    <t xml:space="preserve">      - Yaw Pointing FTTs</t>
  </si>
  <si>
    <t xml:space="preserve">      - Offset Landing</t>
  </si>
  <si>
    <t>FTT Qualification</t>
  </si>
  <si>
    <t xml:space="preserve">      - Power Off/On Stalls</t>
  </si>
  <si>
    <t xml:space="preserve">      - Steady Heading Sideslips</t>
  </si>
  <si>
    <t xml:space="preserve">      - Static Vmca</t>
  </si>
  <si>
    <t xml:space="preserve">      - Dynamic Vmca</t>
  </si>
  <si>
    <t xml:space="preserve">      - SSE HQ Evaluation</t>
  </si>
  <si>
    <t xml:space="preserve">      - SSE Min Trim Determination</t>
  </si>
  <si>
    <t xml:space="preserve">      - Bank Angle Effects Demo</t>
  </si>
  <si>
    <t xml:space="preserve">      - SSE Instrument Approach</t>
  </si>
  <si>
    <t>FQ 9211 Glider Spin Flight</t>
  </si>
  <si>
    <t xml:space="preserve">      - General Glider Operations</t>
  </si>
  <si>
    <t xml:space="preserve">      - Takeoff and Landing</t>
  </si>
  <si>
    <t xml:space="preserve">      - Inflight Analysis/Decision Making</t>
  </si>
  <si>
    <t>FQ 9221F T-38 Stall Flight (P/RPA)</t>
  </si>
  <si>
    <t xml:space="preserve">      - CR Stall App and Prevent</t>
  </si>
  <si>
    <t xml:space="preserve">      - CR Stall Char and Recov</t>
  </si>
  <si>
    <t xml:space="preserve">      - PA Stall App and Prevent</t>
  </si>
  <si>
    <t xml:space="preserve">      - PA Stall Char and Recov</t>
  </si>
  <si>
    <t xml:space="preserve">      - CR 2g Stall App and Prevent</t>
  </si>
  <si>
    <t>High AOA Demonstrations</t>
  </si>
  <si>
    <t xml:space="preserve">      - Stab Demo</t>
  </si>
  <si>
    <t xml:space="preserve">      - 50/50 Loop</t>
  </si>
  <si>
    <t xml:space="preserve">      - Full Aft Stick Sliceback</t>
  </si>
  <si>
    <t xml:space="preserve">      - Full Aft Stick Climb</t>
  </si>
  <si>
    <t>FQ 9511F T-38 Flying Qualities Practical Exam (P)</t>
  </si>
  <si>
    <t>T-38C</t>
  </si>
  <si>
    <t xml:space="preserve">      - SA/Adaptation During Execution</t>
  </si>
  <si>
    <t xml:space="preserve">      - Communication (Debrief)</t>
  </si>
  <si>
    <t>Lat/Dir Invest. (0.6 and 0.8 AOA)</t>
  </si>
  <si>
    <t xml:space="preserve">      - Roll angle response delay</t>
  </si>
  <si>
    <t xml:space="preserve">      - Dutch roll open loop data</t>
  </si>
  <si>
    <t xml:space="preserve">      - Steady heading sideslip</t>
  </si>
  <si>
    <t xml:space="preserve">      - Adverse yaw</t>
  </si>
  <si>
    <t xml:space="preserve">      - Time to achieve bank angle</t>
  </si>
  <si>
    <t xml:space="preserve">      - Yaw damper divergence QE</t>
  </si>
  <si>
    <t xml:space="preserve">      - High gain rudder roll tracking</t>
  </si>
  <si>
    <t xml:space="preserve">      - SISPIO for rudder roll control</t>
  </si>
  <si>
    <t xml:space="preserve">      - HQR for rudder roll tracking</t>
  </si>
  <si>
    <t>0.9 Mach Longitudinal Investigation</t>
  </si>
  <si>
    <t xml:space="preserve">      - Short period open loop data</t>
  </si>
  <si>
    <t xml:space="preserve">      - Stick force per g</t>
  </si>
  <si>
    <t xml:space="preserve">      - Transient Fs/g (inc delay)</t>
  </si>
  <si>
    <t xml:space="preserve">      - 180 phase assessment</t>
  </si>
  <si>
    <t>Builder Version: 2.50 (W. Gray), Gradesheet Version: 20140711 (W. Gray)</t>
  </si>
  <si>
    <t>SY 7511F F-16 Systems Practical Exam Flight (P)</t>
  </si>
  <si>
    <t>Local Area Proc/Orientation/Comm</t>
  </si>
  <si>
    <t xml:space="preserve">      - Test Specific comm/CRM</t>
  </si>
  <si>
    <t>Specific Learning Objectives</t>
  </si>
  <si>
    <t xml:space="preserve">      - Radar Functionality</t>
  </si>
  <si>
    <t xml:space="preserve">      - Groud Map Test</t>
  </si>
  <si>
    <t xml:space="preserve">      - Ground Moving Target Test</t>
  </si>
  <si>
    <t xml:space="preserve">      - Operational Evaluation</t>
  </si>
  <si>
    <t xml:space="preserve">      - Regression</t>
  </si>
  <si>
    <t xml:space="preserve">      - SPO Debrief</t>
  </si>
  <si>
    <t>Builder Version: 2.60 (W. Gray), Gradesheet Version: 20240108 (D. Harris)</t>
  </si>
  <si>
    <t xml:space="preserve">      - 40% Flaps Level Accel</t>
  </si>
  <si>
    <t xml:space="preserve">      - RNAV Approach</t>
  </si>
  <si>
    <t xml:space="preserve">      - Mission Analysis</t>
  </si>
  <si>
    <t>Builder Version: 2.70 (W. Gray), Gradesheet Version: 20221008 (S. Wright)</t>
  </si>
  <si>
    <t xml:space="preserve">      - 1.2 Vs Cruise</t>
  </si>
  <si>
    <t xml:space="preserve">      - SSE Level Accel</t>
  </si>
  <si>
    <t xml:space="preserve">      - SSE Sawtooth Climbs</t>
  </si>
  <si>
    <t>PF Summary Page</t>
  </si>
  <si>
    <t>FQ Summary Page</t>
  </si>
  <si>
    <t>SY Summary Page</t>
  </si>
  <si>
    <t>TF Summary Page</t>
  </si>
  <si>
    <t>Fixed Wing Aerodynamics</t>
  </si>
  <si>
    <t>Modeling and Simulation</t>
  </si>
  <si>
    <t>Air Data System</t>
  </si>
  <si>
    <t>Propulsion</t>
  </si>
  <si>
    <t>Energy</t>
  </si>
  <si>
    <t>Performance Testing</t>
  </si>
  <si>
    <t>C-12 Autopilot Flight Control System Flight (CSO/RPA)</t>
  </si>
  <si>
    <t>Multi-Engine Performance Practical Written Report(P)</t>
  </si>
  <si>
    <t>Aircraft Equations of Motion</t>
  </si>
  <si>
    <t>Aircraft Stability</t>
  </si>
  <si>
    <t>Flying Qualities Testing</t>
  </si>
  <si>
    <t>Flight Control Systems</t>
  </si>
  <si>
    <t>Structures Testing</t>
  </si>
  <si>
    <t>Handling Qualities Evaluation</t>
  </si>
  <si>
    <t>C-12 Multi-Engine Handling Qualities Flight</t>
  </si>
  <si>
    <t>Handling Qualities Flight Testing</t>
  </si>
  <si>
    <t>Failure Modes Testing</t>
  </si>
  <si>
    <t>Stall, Departure and Spin Testing</t>
  </si>
  <si>
    <t>First Flight</t>
  </si>
  <si>
    <t>Envelope Expansion Practical Exams</t>
  </si>
  <si>
    <t>EO/IR and RADAR Systems</t>
  </si>
  <si>
    <t>Navigation and State Estimation</t>
  </si>
  <si>
    <t>Component Systems Exams and Special Topics</t>
  </si>
  <si>
    <t>Weapons Testing</t>
  </si>
  <si>
    <t>Platform Systems Exams and Special Topics</t>
  </si>
  <si>
    <t>Platform Missin Systems End-of-Course Exam</t>
  </si>
  <si>
    <t>Platform Mission Systems Practicals</t>
  </si>
  <si>
    <t>Communications and Datalinks</t>
  </si>
  <si>
    <t>Kill Web Mission Systems Exam and Special Topics</t>
  </si>
  <si>
    <t>Systems Engineering</t>
  </si>
  <si>
    <t>Human Systems Integration</t>
  </si>
  <si>
    <t>Human Systems Evaluation Modified Technical Report</t>
  </si>
  <si>
    <t>Execute</t>
  </si>
  <si>
    <t>Analyze</t>
  </si>
  <si>
    <t>Graded Qualitative Evaluations</t>
  </si>
  <si>
    <t>Capstone Qualitative Evaluations</t>
  </si>
  <si>
    <t>TMP Planning</t>
  </si>
  <si>
    <t>TMP Reporting</t>
  </si>
  <si>
    <t>Comprehensive Exams</t>
  </si>
  <si>
    <t>Negotiation, Persuasion, &amp; Communication (NPC)</t>
  </si>
  <si>
    <t>Innovation</t>
  </si>
  <si>
    <t>Student Team Presentation in Class</t>
  </si>
  <si>
    <t>Case Studies</t>
  </si>
  <si>
    <t>Builder Version: 2.70 (W. Gray), Gradesheet Version: 20251017 (C. Gotwald)</t>
  </si>
  <si>
    <t>T-38 Turn Performance Control Room (ABM/FTE)</t>
  </si>
  <si>
    <t>T-38 Turn Performance Flight (P/RPA)</t>
  </si>
  <si>
    <t>8231F</t>
  </si>
  <si>
    <t>T-38 Level Accel/Sawtooth Climbs Flight (P/RPA)</t>
  </si>
  <si>
    <t>7241C</t>
  </si>
  <si>
    <t xml:space="preserve">F-16 Flutter/LCO Testing Control Room (ABM/FTE)			</t>
  </si>
  <si>
    <t>7242F</t>
  </si>
  <si>
    <t>F-16 Flutter/LCO Testing (CSO/P/RPA)</t>
  </si>
  <si>
    <t>FQ 7300</t>
  </si>
  <si>
    <t>Data-Driven Control</t>
  </si>
  <si>
    <t>7302E</t>
  </si>
  <si>
    <t>Data-Driven Analysis and Control for Domain Sciences Exam</t>
  </si>
  <si>
    <t>9231F</t>
  </si>
  <si>
    <t>F-16 Departure Demo Flight</t>
  </si>
  <si>
    <t>9246F</t>
  </si>
  <si>
    <t>9247C</t>
  </si>
  <si>
    <t>9248Y</t>
  </si>
  <si>
    <t>6302E</t>
  </si>
  <si>
    <t>Navigation and State Estimation Homework</t>
  </si>
  <si>
    <t>6303Y</t>
  </si>
  <si>
    <t>6304Y</t>
  </si>
  <si>
    <t>Navigation and State Estimation Operational Topic Brief</t>
  </si>
  <si>
    <t>SY 7300</t>
  </si>
  <si>
    <t>Platform Mission Systems Testing Evaluation</t>
  </si>
  <si>
    <t>7304F</t>
  </si>
  <si>
    <t>F-15 E/EX Advanced Sensors Flight (FTC, US Only)</t>
  </si>
  <si>
    <t>7305C</t>
  </si>
  <si>
    <t>F-15 E/EX Advanced Sensors Control Room (FTC, US Only)</t>
  </si>
  <si>
    <t>7306R</t>
  </si>
  <si>
    <t>F-15 E/EX Advanced Sensors Written Report (FTC, US Only)</t>
  </si>
  <si>
    <t>TF 6400</t>
  </si>
  <si>
    <t>Report</t>
  </si>
  <si>
    <t>6402R</t>
  </si>
  <si>
    <t>Test Reporting Written Report - Individual</t>
  </si>
  <si>
    <t>6403R</t>
  </si>
  <si>
    <t>Test Reporting Written Report - Group</t>
  </si>
  <si>
    <t>26A FTC</t>
  </si>
  <si>
    <t xml:space="preserve">FQ 9246F F-16 High AOA Envelope Expansion Data Flight (CSO/P/RPA)  </t>
  </si>
  <si>
    <t>PF 8222F – T-38 Turn Performance Flight (P/RPA)</t>
  </si>
  <si>
    <t>(P/RPA)</t>
  </si>
  <si>
    <t>TOLD Verification</t>
  </si>
  <si>
    <t xml:space="preserve">      - Takeoff (Pitch Attitude Target)</t>
  </si>
  <si>
    <t xml:space="preserve">      - Landing (Pseudo Minimum Roll)</t>
  </si>
  <si>
    <t>Check Climbs/Descents</t>
  </si>
  <si>
    <t xml:space="preserve">      - Constant Airspeed Entry</t>
  </si>
  <si>
    <t xml:space="preserve">      - Constant Power Entry</t>
  </si>
  <si>
    <t xml:space="preserve">      - Check Climbs</t>
  </si>
  <si>
    <t xml:space="preserve">      - Check Descents</t>
  </si>
  <si>
    <t>Turn Performance</t>
  </si>
  <si>
    <t xml:space="preserve">      - Front-Side Anchor</t>
  </si>
  <si>
    <t xml:space="preserve">      - Front-Side Stable Turns</t>
  </si>
  <si>
    <t xml:space="preserve">      - Back-Side Stable Turns</t>
  </si>
  <si>
    <t xml:space="preserve">      - Back-Side Anchor</t>
  </si>
  <si>
    <t>Bonus Tasks</t>
  </si>
  <si>
    <t xml:space="preserve">      - T-38: Pseudo SETOS Turn Perf</t>
  </si>
  <si>
    <t xml:space="preserve">      - F-16: Low-Speed AB Turn Perf</t>
  </si>
  <si>
    <t>Builder Version: 2.50 (W. Gray), Gradesheet Version: 20160223 (W. Gray)</t>
  </si>
  <si>
    <t>PF 8231F – T-38 Level Accel/Sawtooth Climb Flight (P/RPA)</t>
  </si>
  <si>
    <t xml:space="preserve">      - Performance Takeoff</t>
  </si>
  <si>
    <t xml:space="preserve">      - MIL Check Climb</t>
  </si>
  <si>
    <t xml:space="preserve">      - MIL Level Accel</t>
  </si>
  <si>
    <t xml:space="preserve">      - 2g MIL Level Decel</t>
  </si>
  <si>
    <t xml:space="preserve">      - 2g IDLE Level Decel</t>
  </si>
  <si>
    <t xml:space="preserve">      - STBY MIL Level Accel</t>
  </si>
  <si>
    <t xml:space="preserve">      - STBY IDLE 2g Level Decel</t>
  </si>
  <si>
    <t xml:space="preserve">      - Sawtooth Climb</t>
  </si>
  <si>
    <t xml:space="preserve">      - MAX Level Accel/Decel</t>
  </si>
  <si>
    <t xml:space="preserve">      - 4g MAX Level Decel</t>
  </si>
  <si>
    <t xml:space="preserve">      - 0.84M High Speed Descent</t>
  </si>
  <si>
    <t xml:space="preserve">      - MIL Level Accel, Turning Entry</t>
  </si>
  <si>
    <t xml:space="preserve">      - MIL Level Accel, Climbing Entry</t>
  </si>
  <si>
    <t xml:space="preserve">      - 2g Level Accel, 12k</t>
  </si>
  <si>
    <t xml:space="preserve">      - Performance Spot Landing</t>
  </si>
  <si>
    <t>PF 8340R Multi-Engine Performance Practical Written Report</t>
  </si>
  <si>
    <t>Test and Evaluation**</t>
  </si>
  <si>
    <t xml:space="preserve">      - Check Climb Time &amp; Distance</t>
  </si>
  <si>
    <t xml:space="preserve">      - Check Descent Time &amp; Distance</t>
  </si>
  <si>
    <t>Structure &amp; Logic</t>
  </si>
  <si>
    <t xml:space="preserve">      - Report Organization &amp; Structure</t>
  </si>
  <si>
    <t xml:space="preserve">      - Logical Chain of Reasoning</t>
  </si>
  <si>
    <t>Clarity &amp; Precision (Mechanics)</t>
  </si>
  <si>
    <t xml:space="preserve">      - Grammar &amp; Syntax</t>
  </si>
  <si>
    <t xml:space="preserve">      - Punctuation Acronyms &amp; Formatting</t>
  </si>
  <si>
    <t xml:space="preserve">      - Professional Tone &amp; Word Choice</t>
  </si>
  <si>
    <t>Visual Eng &amp; Data Presentation</t>
  </si>
  <si>
    <t xml:space="preserve">      - Anatomy of a Valid Plot/Table</t>
  </si>
  <si>
    <t xml:space="preserve">      - Data-Ink Ratio &amp; Clarity</t>
  </si>
  <si>
    <t xml:space="preserve">      - Data Honesty &amp; Context </t>
  </si>
  <si>
    <t>**All Test and Evaluation Sections will be graded against:</t>
  </si>
  <si>
    <t>1. Test Methods and Conditions</t>
  </si>
  <si>
    <t>2. Objective Results</t>
  </si>
  <si>
    <t>3. Engineering Analysis &amp; Operational Impact</t>
  </si>
  <si>
    <t>4. Conclusions &amp; Recommendations</t>
  </si>
  <si>
    <t>Content &amp; Analysis (Obj 1)</t>
  </si>
  <si>
    <t xml:space="preserve">      - Test Methods and Conditions</t>
  </si>
  <si>
    <t xml:space="preserve">      - Objective Results</t>
  </si>
  <si>
    <t xml:space="preserve">      - Eng Analysis &amp; Oper. Impact</t>
  </si>
  <si>
    <t xml:space="preserve">      - Conclusions &amp; Recomm.</t>
  </si>
  <si>
    <t>Content &amp; Analysis (Obj 2)</t>
  </si>
  <si>
    <t>Content &amp; Analysis (Obj 6)</t>
  </si>
  <si>
    <t xml:space="preserve">      - Punct. Acronyms &amp; Format</t>
  </si>
  <si>
    <t xml:space="preserve">      - Profess. Tone &amp; Word Choice</t>
  </si>
  <si>
    <t xml:space="preserve">      - Data Honesty &amp; Context</t>
  </si>
  <si>
    <t>TF 6402R Individual Reporting Assignment</t>
  </si>
  <si>
    <t xml:space="preserve">      - Report Org. &amp; Structure</t>
  </si>
  <si>
    <t>Take-Off Ground Roll</t>
  </si>
  <si>
    <t>Time/Fuel/Dist to Climb</t>
  </si>
  <si>
    <t>TF 6403R Group Reporting Assignment</t>
  </si>
  <si>
    <t>GTO 1 - Cruise Control</t>
  </si>
  <si>
    <t xml:space="preserve">      - STO 1 - Vehicle Speed</t>
  </si>
  <si>
    <t xml:space="preserve">      - STO 2 - Cruise Control Accuracy</t>
  </si>
  <si>
    <t xml:space="preserve">      - STO 3 - Cruise Control Interface</t>
  </si>
  <si>
    <t>GTO 2 - COTS GPS</t>
  </si>
  <si>
    <t xml:space="preserve">      - STO 1</t>
  </si>
  <si>
    <t xml:space="preserve">      - STO 2 (NA if unused)</t>
  </si>
  <si>
    <t xml:space="preserve">      - STO 3 (NA if unused)</t>
  </si>
  <si>
    <t xml:space="preserve">      - STO 4 (NA if unused)</t>
  </si>
  <si>
    <t>Content &amp; Analysis</t>
  </si>
  <si>
    <t>FQ 9248Y High AOA Envelope Expansion Oral Report</t>
  </si>
  <si>
    <t>Background</t>
  </si>
  <si>
    <t xml:space="preserve">Test Objectives       </t>
  </si>
  <si>
    <t xml:space="preserve">Limitations        </t>
  </si>
  <si>
    <t>Maneuver Justification</t>
  </si>
  <si>
    <t>Maneuver Analysis</t>
  </si>
  <si>
    <t xml:space="preserve">Key Results Summarized      </t>
  </si>
  <si>
    <t>C&amp;R</t>
  </si>
  <si>
    <t xml:space="preserve">Mission Impact       </t>
  </si>
  <si>
    <t>Questions and Answers</t>
  </si>
  <si>
    <t>Technical Accuracy</t>
  </si>
  <si>
    <t>Supporting Materials</t>
  </si>
  <si>
    <t>Team Unity</t>
  </si>
  <si>
    <t>Briefing Delivery</t>
  </si>
  <si>
    <t>Mechanics</t>
  </si>
  <si>
    <t>Materials</t>
  </si>
  <si>
    <t>Speaker Presentation</t>
  </si>
  <si>
    <t>Bertke, Fisher</t>
  </si>
  <si>
    <t>Bertke</t>
  </si>
  <si>
    <t>Smith, K</t>
  </si>
  <si>
    <t>F-16D / 6050</t>
  </si>
  <si>
    <t>26A</t>
  </si>
  <si>
    <t>TFB Sortie as the lead aircraft with 2x T-38, 15 passes with no repeats, closed to full stop (spot landing).
Great mission prep, attitude, GK.  Great aircraft control, with most improvements to be made in ground ops efficiency.  Delay avionics setup til after taxi to avoid chief waiting on you.
Takeoff procedure not executed quite as briefed/written on cards (starting point beyond piano keys and new starting point not noted).  TFB admin/passes were solid despite a non-standard pattern due to North Base UAS Area active. Accomplished all ten priority points plus five extra, querying TC as appropriate.  Delayed altimeter reset to local setting following final pass.  Solid spot landing.  Accomplished post-landing ground block while taxiing.
Press!</t>
  </si>
  <si>
    <t>K. Smith</t>
  </si>
  <si>
    <t>Hutcheson</t>
  </si>
  <si>
    <t>Overall: Std profile, all cards completed with a quick attempt at the bonus maneuver as well. Fairly good overall understanding of material, good preparation. Overall trend was good general BAH but needs to improve smoothness and preciseness to obtain the quality of data needed for performance testing. On pace for performance phase.
11. Some VVI excursions. Discussed flight control and crosscheck techniques to stay within tolerances. Discussed the need to understand maneuver distance required to formulate a good airspace plan.
12. Relatively good g control but some VVI excursions.
13. Large VVIs and descents followed by a climb.
14. Good crosscheck. Discussed why this point is almost easier on standbys.
18. Light on g until well into subsonic. Eventually got stable for some good data.
19. Setup altitude too low requiring lots of pitch hunting before stabilizing around 15K'. Got slow (within tolerances) but never outside tolerances. Discussed tolerance vs limit management flying techniques as well as real-world approaches to a card written like this one.
20/21. Execution was ok. Discussed when and why to use each entry. Good conceptual understanding and will be plenty good for doing this on his own later.
22. Attempted but terminated before full anchor achieved due to fuel state.</t>
  </si>
  <si>
    <t>A. Hutcheson</t>
  </si>
  <si>
    <t>Ames</t>
  </si>
  <si>
    <t>C-12/0158</t>
  </si>
  <si>
    <t>Overall, above average sortie. Preparation showed, test conduct and basic aircraft handling were solid. For ground ops - work on knowing switch location and procedures up through engine start. After engine start, there's more latitude to assist non-crew solo pilots.
5) Good SA on factor traffic 10NM downrange during 0% flap level accel - flexed to westerly heading.
8) Make sure you acknowledge stall warning and pass SA to the rest of the team that it was only a transient activation.
9) Loop was not closed on high-side anchor. There should be a "stable" call with alt/airspeed, followed by a "timing" call from TC. Make sure you inquire if thiat loop is not closed.
11) Altitude decayed toward the end.
12) Pitch control was OK, made two very large rudder inputs to correct large slips (2-ball deflection) that had accumulated. Not graded here but noteworthy: 0% flap level accel was better, but a high-side anchor wound up decaying back to the low side due to large power reduction and allowing airspeed to fall.
16) Debrief was demo'd today - let me know if you have questions.</t>
  </si>
  <si>
    <t>C. Ames</t>
  </si>
  <si>
    <t>Patel</t>
  </si>
  <si>
    <t>Flown IAW T-38 Low L/D MPG. Overall, above average sortie for both Airmanship and Test Execution. RWY 23L ops with winds 280/09KT at FL050 and winds 290/16KT at FL250.
1-5. BAC and airmanship was solid. Previous T-38 experience evident.
6-8. Stud showed up really well prepared with Brief/GK/products. Good understanding of Low L/D concepts with nice aircraft handling and efficient set-ups. Made timely and correct energy assessments on each approach.
10/11/14. Flew each approach better than the previous by applying proper corrections for winds/etc. On the first shuttle approach, Stud had a short aimpoint with a slowly decreasing speed making it difficult to determine continuing low energy state and subsequent correction. This required IP help with power boost. All other approaches were good.
12/15. Touched down on with consistent and stable flares all day. Flew a banana-shaped flare leading to slightly earlier touchdown points (11-12K remaining).</t>
  </si>
  <si>
    <t>B. Patel</t>
  </si>
  <si>
    <t>Killingsworth</t>
  </si>
  <si>
    <t>F-16D / 378</t>
  </si>
  <si>
    <t>F-16 profile flown. Single bag, Block 30. Overall well flown up and away and slightly above average for the F-16 profile with a first attempt at a control room. 
1-5: No issues with normal procedures, some IP techniques passed in debrief. 
6-8: Good prep, inflight execution with the control room was better than usual for this flight. Did some utilization of them for data, and debriefed with control room data. 
9: All good through weight off wheels, then lost the pitch attitude cue for a switch error. Could have used control room data to fill in, and would have been useful data. 
10: Landed on the inside runway with a touchdown that would have made a Navy LSO proud. While enegrgy dissapating, the resulting bounce required power to pad the second landing. No data obtained. Debriefed for narrower runway illusions. Safe enough, good learning. 
11/12: Usual errors with entry into the climbs, no good perf data to give a target for the max angle climb, so sling shotted into it with a bit of an overshoot in pitch to start. The usual F-16 max range cue reversals on the second entry led to some chasing of airspeeds. Scores bumped up a number since these are harder in the F-16 with more Ps. 
13: After stabilizing in the max angle climb, or being PAR'd onto a speed for the range climb, technques for the check climb were good, would have good data if the cue was better. 
15-18: The turn perf would have resulted in good data for the Ps chart. Some fuel limiting for the F-16 led the IP to truncate a few points. No issues on the front side anchor, it's academic in the F-16. Front side turns were very smooth, trim for G technique seems to work out. Altitude tolerance was generally solid. Back side points were stable enough that 180 degrees of turn should have resulted in good data. UP took a hack at the 15k backside anchor point and was within 5 knots of the right answer, and probably more like 3, when IP knocked it off for time. But correct technique used to find it. 
20: AB turn perf points were flown in control and never found the crazy train. One constant airspeed point flown and were less than 5 knots again from finding the full aft stick point when terminated for bingo. 
Cleared crew solo Turn Perf! 
-Krown</t>
  </si>
  <si>
    <t>Heary</t>
  </si>
  <si>
    <t>Really nice sortie! Well prepared with all of the calcs done and efficient/confident breifing. Fast and accurate ground ops.
Overall, speed up test point crosscheck so that you can ID deviations early and make nice and smooth corrections while staying within tolderances, as opposed to rapid corrections just before hitting a tolerance.
10. Programmed DVT mode on the ground but then took it out so Razor made harder on himself flying the check climb but still flew it well. Could have been smoother when correcting for deviations.
11. Get the power trimmed out at the airspeed/alpha you're shooting for...we had a gradual acceleration which caused the airspeed/alpha to keep increasing.
13/14. Very nice! WUT was way better than my demo!
16/17. We apexed slightly low which caused us to be slow on the SS RC/Split-S.
21. We did the Min Roll landing since Razor didn't get it on the last sortie...Great!</t>
  </si>
  <si>
    <t>Erb</t>
  </si>
  <si>
    <t>F-16</t>
  </si>
  <si>
    <t>R. Erb</t>
  </si>
  <si>
    <t>Sick</t>
  </si>
  <si>
    <t>C-12C/215</t>
  </si>
  <si>
    <t>Overall: Slightly below average sortie, but this is the first time where we are quiet and then harp on you for the things you did wrong so you can learn from them for Perf Practical. Weakest points were airspace awareness and local procedures. Some distractors were included that led to forgetting some of the common things...Rw 5 day, rapid updates in ATIS infos between taxi out and lineup, fuel indication malfunction. But you cannot let distractions get in the way of normal procedures. Identify these threats, mitigate them with your test team, and fall back on good habit patterns.
Strengths: Comments provided were solid during the maneuvers. It's good that you talk through what you are experiencing and provide real-time info about test point quality and what you are feeling. Your turn performance point was well-flown for the backside technique. I liked how you smoothly slowed to 110 using bank, then reduced bank to maintain airspeed. Noyce!
Weaknesses: Airspace management. It was clear that the EFB was mainly what he was using to navigate. It's hard to see the mines on the EFB though and much easier to see when looking outside. Communication of data could have been cleaner..."790" vs "12, 790"
3 - Local area procedures were lacking. Missed sport call before takeoff.
5 - Nearly flew over mines at 3500' MSL.
9/10 - Communication of data could be cleaned up and made more precise. Was late on hacks during climb. Didn't preface LA points with the airspeed, just "Hack". Teamwork was good between Alto and him. Good discussions at points about test point redo and things to skip.
13 - Well flown backside technique point. Was a little sloppy on 30° bank tolerance.
16 - Procedurally didn't follow test plan torque requirement. Also gave student a tip to smoothly transition from climb to level-off...find target pitch attitude before starting the climb, then start climb, and use that for your initial level-off. Maybe even include it on test cards if it will remind you to do it, and give you cleaner data. Let your classmates know too!
18 - Omitted for timing.
19 - Started way too high (3 minutes of stabilization, 1.5k above). "Zoomed" down to hurry up and rushed the setup. First 1k was sloppy. The rest was smoother. Ended up in a strange spot where Alto called a protected phrase "recommend terminate", then Razor repeated the use of "terminate" without terminating. Then asked me to ask sport if they were cool with us terminating and starting the tower flyby. I asked, "you want me to ask sport if they want us to terminate?" Then we all collectively finally called an official "terminate" after some grey zone terminate madness.</t>
  </si>
  <si>
    <t>T. Sick</t>
  </si>
  <si>
    <t>Overall great sortie for Razor. Had a decent understanding of the maneuvers with only minor hiccups. He had great attitude flying once he looked outside and found some good references inside on the PFD for turning points. He was very smooth on the controls and only initially had some force reversals on the controls. Quickly into the sortie, he got the touch and was able to be very smooth and not have large reversals.
Areas for improvement: 
- Chairfly dynamic maneuvers. The roller coaster maneuver was initially a 10 deg nose low dive past 155....165....175....185.  When it was supposed to be a 1.8 g pull at 155 knots. I enjoyed watching the trainwreck that was. TC even asked if he had any questions about the maneuver before clearing him to maneuver, to which he responded "no questions". We recovered from the impending doom to level flight to which the TC asked, "do you want me to reread the procedure?"
- Watch yaw rates when working towards high beta maneuvers. During a steady heading sideslip, we went the tiniest bit fast out to max rudder which caused a beta overshoot.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</si>
</sst>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3" formatCode="_(* #,##0.00_);_(* \(#,##0.00\);_(* &quot;-&quot;??_);_(@_)"/>
    <numFmt numFmtId="164" formatCode="0.0"/>
    <numFmt numFmtId="165" formatCode="dd\-mmm\-yy"/>
    <numFmt numFmtId="166" formatCode="[$-409]d\ mmm\ yyyy;@"/>
    <numFmt numFmtId="167" formatCode="0.0%"/>
    <numFmt numFmtId="168" formatCode="0\ &quot;%&quot;"/>
    <numFmt numFmtId="169" formatCode="\+0.0%"/>
    <numFmt numFmtId="170" formatCode="\-0.0%"/>
    <numFmt numFmtId="171" formatCode="0\ &quot;pt&quot;"/>
    <numFmt numFmtId="172" formatCode="0.0\ &quot;pt&quot;"/>
  </numFmts>
  <fonts count="71" x14ac:knownFonts="1">
    <font>
      <sz val="11"/>
      <color theme="1"/>
      <name val="Times New Roman"/>
      <family val="1"/>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4"/>
      <color theme="1"/>
      <name val="Calibri"/>
      <family val="2"/>
      <scheme val="minor"/>
    </font>
    <font>
      <sz val="14"/>
      <color theme="1"/>
      <name val="Calibri"/>
      <family val="2"/>
      <scheme val="minor"/>
    </font>
    <font>
      <sz val="12"/>
      <color theme="1"/>
      <name val="Calibri"/>
      <family val="2"/>
      <scheme val="minor"/>
    </font>
    <font>
      <u/>
      <sz val="11"/>
      <color theme="10"/>
      <name val="Calibri"/>
      <family val="2"/>
      <scheme val="minor"/>
    </font>
    <font>
      <b/>
      <u/>
      <sz val="14"/>
      <color theme="10"/>
      <name val="Calibri"/>
      <family val="2"/>
      <scheme val="minor"/>
    </font>
    <font>
      <sz val="11"/>
      <color rgb="FF000000"/>
      <name val="Calibri"/>
      <family val="2"/>
      <scheme val="minor"/>
    </font>
    <font>
      <sz val="11"/>
      <color theme="1"/>
      <name val="Calibri"/>
      <family val="2"/>
      <scheme val="minor"/>
    </font>
    <font>
      <sz val="14"/>
      <color theme="1"/>
      <name val="Times New Roman"/>
      <family val="1"/>
    </font>
    <font>
      <b/>
      <sz val="14"/>
      <color theme="1"/>
      <name val="Times New Roman"/>
      <family val="1"/>
    </font>
    <font>
      <b/>
      <sz val="16"/>
      <color rgb="FF000000"/>
      <name val="Calibri"/>
      <family val="2"/>
      <scheme val="minor"/>
    </font>
    <font>
      <b/>
      <sz val="14"/>
      <color rgb="FF000000"/>
      <name val="Calibri"/>
      <family val="2"/>
      <scheme val="minor"/>
    </font>
    <font>
      <sz val="11"/>
      <color theme="1"/>
      <name val="Times New Roman"/>
      <family val="1"/>
    </font>
    <font>
      <sz val="10"/>
      <color theme="1"/>
      <name val="Times New Roman"/>
      <family val="1"/>
    </font>
    <font>
      <sz val="12"/>
      <color theme="1"/>
      <name val="Times New Roman"/>
      <family val="1"/>
    </font>
    <font>
      <b/>
      <sz val="11"/>
      <color theme="1"/>
      <name val="Times New Roman"/>
      <family val="1"/>
    </font>
    <font>
      <b/>
      <sz val="12"/>
      <color theme="1"/>
      <name val="Times New Roman"/>
      <family val="1"/>
    </font>
    <font>
      <b/>
      <sz val="16"/>
      <color theme="1"/>
      <name val="Times New Roman"/>
      <family val="1"/>
    </font>
    <font>
      <u/>
      <sz val="11"/>
      <color theme="10"/>
      <name val="Times New Roman"/>
      <family val="1"/>
    </font>
    <font>
      <b/>
      <u/>
      <sz val="12"/>
      <color rgb="FFFF0000"/>
      <name val="Times New Roman"/>
      <family val="1"/>
    </font>
    <font>
      <sz val="11"/>
      <name val="Times New Roman"/>
      <family val="1"/>
    </font>
    <font>
      <b/>
      <sz val="16"/>
      <color rgb="FF000000"/>
      <name val="Times New Roman"/>
      <family val="1"/>
    </font>
    <font>
      <u/>
      <sz val="14"/>
      <color theme="10"/>
      <name val="Times New Roman"/>
      <family val="1"/>
    </font>
    <font>
      <sz val="9"/>
      <name val="Arial"/>
      <family val="2"/>
    </font>
    <font>
      <b/>
      <sz val="10"/>
      <name val="Arial"/>
      <family val="2"/>
    </font>
    <font>
      <sz val="6"/>
      <name val="Arial"/>
      <family val="2"/>
    </font>
    <font>
      <b/>
      <sz val="9"/>
      <name val="Arial"/>
      <family val="2"/>
    </font>
    <font>
      <sz val="8"/>
      <name val="Arial"/>
      <family val="2"/>
    </font>
    <font>
      <b/>
      <sz val="8"/>
      <name val="Arial"/>
      <family val="2"/>
    </font>
    <font>
      <sz val="6"/>
      <color theme="0"/>
      <name val="Arial"/>
      <family val="2"/>
    </font>
    <font>
      <b/>
      <sz val="10"/>
      <color theme="0"/>
      <name val="Arial"/>
      <family val="2"/>
    </font>
    <font>
      <i/>
      <sz val="9"/>
      <name val="Arial"/>
      <family val="2"/>
    </font>
    <font>
      <i/>
      <sz val="10"/>
      <name val="Arial"/>
      <family val="2"/>
    </font>
    <font>
      <b/>
      <sz val="8"/>
      <color theme="1"/>
      <name val="Arial"/>
      <family val="2"/>
    </font>
    <font>
      <sz val="8"/>
      <color theme="1"/>
      <name val="Arial"/>
      <family val="2"/>
    </font>
    <font>
      <sz val="10"/>
      <color indexed="9"/>
      <name val="Arial"/>
      <family val="2"/>
    </font>
    <font>
      <sz val="14"/>
      <name val="Arial"/>
      <family val="2"/>
    </font>
    <font>
      <b/>
      <sz val="14"/>
      <name val="Arial"/>
      <family val="2"/>
    </font>
    <font>
      <b/>
      <sz val="14"/>
      <color indexed="9"/>
      <name val="Arial"/>
      <family val="2"/>
    </font>
    <font>
      <b/>
      <sz val="12"/>
      <name val="Arial"/>
      <family val="2"/>
    </font>
    <font>
      <sz val="8"/>
      <color indexed="9"/>
      <name val="Arial"/>
      <family val="2"/>
    </font>
    <font>
      <sz val="12"/>
      <name val="Arial"/>
      <family val="2"/>
    </font>
    <font>
      <b/>
      <sz val="12"/>
      <color indexed="9"/>
      <name val="Arial"/>
      <family val="2"/>
    </font>
    <font>
      <sz val="10"/>
      <color indexed="12"/>
      <name val="Arial"/>
      <family val="2"/>
    </font>
    <font>
      <b/>
      <sz val="10"/>
      <color indexed="9"/>
      <name val="Arial"/>
      <family val="2"/>
    </font>
    <font>
      <sz val="10"/>
      <color indexed="10"/>
      <name val="Arial"/>
      <family val="2"/>
    </font>
    <font>
      <b/>
      <sz val="11"/>
      <name val="Arial"/>
      <family val="2"/>
    </font>
    <font>
      <b/>
      <sz val="11"/>
      <color indexed="9"/>
      <name val="Arial"/>
      <family val="2"/>
    </font>
    <font>
      <b/>
      <sz val="12"/>
      <color indexed="12"/>
      <name val="Arial"/>
      <family val="2"/>
    </font>
    <font>
      <sz val="10"/>
      <name val="Symbol"/>
      <family val="1"/>
      <charset val="2"/>
    </font>
    <font>
      <vertAlign val="subscript"/>
      <sz val="10"/>
      <name val="Arial"/>
      <family val="2"/>
    </font>
    <font>
      <vertAlign val="superscript"/>
      <sz val="10"/>
      <name val="Arial"/>
      <family val="2"/>
    </font>
    <font>
      <sz val="11"/>
      <color rgb="FF000000"/>
      <name val="Times New Roman"/>
      <family val="1"/>
    </font>
    <font>
      <b/>
      <sz val="16"/>
      <name val="Arial"/>
      <family val="2"/>
    </font>
    <font>
      <b/>
      <i/>
      <sz val="10"/>
      <color indexed="12"/>
      <name val="Arial"/>
      <family val="2"/>
    </font>
    <font>
      <b/>
      <sz val="11"/>
      <color theme="1"/>
      <name val="Calibri"/>
      <family val="2"/>
      <scheme val="minor"/>
    </font>
    <font>
      <sz val="11"/>
      <name val="Arial"/>
      <family val="2"/>
    </font>
    <font>
      <u/>
      <sz val="10"/>
      <color theme="10"/>
      <name val="Arial"/>
      <family val="2"/>
    </font>
    <font>
      <b/>
      <sz val="12"/>
      <color theme="1"/>
      <name val="Calibri"/>
      <family val="2"/>
      <scheme val="minor"/>
    </font>
    <font>
      <sz val="20"/>
      <color theme="1"/>
      <name val="Calibri"/>
      <family val="2"/>
      <scheme val="minor"/>
    </font>
    <font>
      <b/>
      <sz val="16"/>
      <color theme="1"/>
      <name val="Calibri"/>
      <family val="2"/>
      <scheme val="minor"/>
    </font>
    <font>
      <sz val="11"/>
      <name val="Calibri"/>
      <family val="2"/>
      <scheme val="minor"/>
    </font>
    <font>
      <sz val="11"/>
      <color indexed="8"/>
      <name val="Calibri"/>
      <family val="2"/>
      <scheme val="minor"/>
    </font>
  </fonts>
  <fills count="11">
    <fill>
      <patternFill patternType="none"/>
    </fill>
    <fill>
      <patternFill patternType="gray125"/>
    </fill>
    <fill>
      <patternFill patternType="solid">
        <fgColor theme="0"/>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C000"/>
        <bgColor indexed="64"/>
      </patternFill>
    </fill>
    <fill>
      <patternFill patternType="solid">
        <fgColor indexed="18"/>
        <bgColor indexed="64"/>
      </patternFill>
    </fill>
    <fill>
      <patternFill patternType="solid">
        <fgColor indexed="42"/>
        <bgColor indexed="64"/>
      </patternFill>
    </fill>
    <fill>
      <patternFill patternType="solid">
        <fgColor indexed="26"/>
        <bgColor indexed="64"/>
      </patternFill>
    </fill>
    <fill>
      <patternFill patternType="solid">
        <fgColor rgb="FFFFFFCC"/>
        <bgColor indexed="64"/>
      </patternFill>
    </fill>
  </fills>
  <borders count="87">
    <border>
      <left/>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right style="thin">
        <color indexed="64"/>
      </right>
      <top style="thin">
        <color indexed="64"/>
      </top>
      <bottom style="thin">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top/>
      <bottom/>
      <diagonal/>
    </border>
    <border>
      <left/>
      <right style="double">
        <color indexed="64"/>
      </right>
      <top/>
      <bottom/>
      <diagonal/>
    </border>
    <border>
      <left style="double">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double">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medium">
        <color indexed="64"/>
      </top>
      <bottom/>
      <diagonal/>
    </border>
    <border>
      <left/>
      <right style="thin">
        <color indexed="64"/>
      </right>
      <top style="double">
        <color indexed="64"/>
      </top>
      <bottom/>
      <diagonal/>
    </border>
    <border>
      <left style="thin">
        <color indexed="64"/>
      </left>
      <right/>
      <top style="double">
        <color indexed="64"/>
      </top>
      <bottom/>
      <diagonal/>
    </border>
    <border>
      <left style="double">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double">
        <color indexed="64"/>
      </right>
      <top/>
      <bottom style="thin">
        <color indexed="64"/>
      </bottom>
      <diagonal/>
    </border>
    <border>
      <left/>
      <right style="thin">
        <color indexed="64"/>
      </right>
      <top/>
      <bottom/>
      <diagonal/>
    </border>
    <border>
      <left style="double">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double">
        <color indexed="64"/>
      </right>
      <top style="thin">
        <color indexed="64"/>
      </top>
      <bottom/>
      <diagonal/>
    </border>
    <border>
      <left style="thin">
        <color indexed="64"/>
      </left>
      <right/>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diagonal/>
    </border>
    <border>
      <left style="thin">
        <color indexed="64"/>
      </left>
      <right style="thin">
        <color indexed="64"/>
      </right>
      <top/>
      <bottom/>
      <diagonal/>
    </border>
    <border>
      <left style="double">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style="thin">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right/>
      <top/>
      <bottom style="medium">
        <color theme="1"/>
      </bottom>
      <diagonal/>
    </border>
    <border>
      <left style="thin">
        <color indexed="64"/>
      </left>
      <right style="thin">
        <color indexed="64"/>
      </right>
      <top style="thin">
        <color indexed="64"/>
      </top>
      <bottom style="medium">
        <color indexed="64"/>
      </bottom>
      <diagonal/>
    </border>
  </borders>
  <cellStyleXfs count="20">
    <xf numFmtId="0" fontId="0" fillId="0" borderId="0"/>
    <xf numFmtId="0" fontId="8" fillId="0" borderId="0">
      <alignment wrapText="1"/>
    </xf>
    <xf numFmtId="0" fontId="8" fillId="0" borderId="0"/>
    <xf numFmtId="0" fontId="12" fillId="0" borderId="0" applyNumberFormat="0" applyFill="0" applyBorder="0" applyAlignment="0" applyProtection="0"/>
    <xf numFmtId="0" fontId="8" fillId="0" borderId="0"/>
    <xf numFmtId="9" fontId="8" fillId="0" borderId="0" applyFont="0" applyFill="0" applyBorder="0" applyAlignment="0" applyProtection="0"/>
    <xf numFmtId="43" fontId="15" fillId="0" borderId="0" applyFont="0" applyFill="0" applyBorder="0" applyAlignment="0" applyProtection="0"/>
    <xf numFmtId="0" fontId="8" fillId="0" borderId="0"/>
    <xf numFmtId="0" fontId="7" fillId="0" borderId="0"/>
    <xf numFmtId="0" fontId="6" fillId="0" borderId="0"/>
    <xf numFmtId="0" fontId="5" fillId="0" borderId="0"/>
    <xf numFmtId="0" fontId="65" fillId="0" borderId="0" applyNumberFormat="0" applyFill="0" applyBorder="0" applyAlignment="0" applyProtection="0"/>
    <xf numFmtId="0" fontId="4" fillId="0" borderId="0"/>
    <xf numFmtId="0" fontId="8" fillId="0" borderId="0"/>
    <xf numFmtId="0" fontId="8" fillId="0" borderId="0"/>
    <xf numFmtId="0" fontId="3" fillId="0" borderId="0"/>
    <xf numFmtId="9" fontId="3" fillId="0" borderId="0" applyFont="0" applyFill="0" applyBorder="0" applyAlignment="0" applyProtection="0"/>
    <xf numFmtId="0" fontId="2" fillId="0" borderId="0"/>
    <xf numFmtId="9" fontId="2" fillId="0" borderId="0" applyFont="0" applyFill="0" applyBorder="0" applyAlignment="0" applyProtection="0"/>
    <xf numFmtId="0" fontId="1" fillId="0" borderId="0"/>
  </cellStyleXfs>
  <cellXfs count="1487">
    <xf numFmtId="0" fontId="0" fillId="0" borderId="0" xfId="0"/>
    <xf numFmtId="0" fontId="10" fillId="0" borderId="0" xfId="0" applyFont="1"/>
    <xf numFmtId="0" fontId="9" fillId="0" borderId="0" xfId="0" applyFont="1"/>
    <xf numFmtId="0" fontId="13" fillId="0" borderId="0" xfId="3" applyFont="1" applyProtection="1"/>
    <xf numFmtId="0" fontId="0" fillId="0" borderId="0" xfId="0" applyAlignment="1">
      <alignment horizontal="center" wrapText="1"/>
    </xf>
    <xf numFmtId="43" fontId="9" fillId="0" borderId="0" xfId="6" applyFont="1" applyAlignment="1" applyProtection="1">
      <alignment horizontal="center" vertical="center" wrapText="1"/>
    </xf>
    <xf numFmtId="0" fontId="0" fillId="0" borderId="0" xfId="0" applyAlignment="1">
      <alignment horizontal="center" vertical="center"/>
    </xf>
    <xf numFmtId="43" fontId="16" fillId="0" borderId="16" xfId="6" applyFont="1" applyBorder="1" applyAlignment="1" applyProtection="1">
      <alignment horizontal="center" vertical="center" wrapText="1"/>
    </xf>
    <xf numFmtId="0" fontId="16" fillId="0" borderId="16" xfId="0" applyFont="1" applyBorder="1" applyAlignment="1">
      <alignment horizontal="center" vertical="center" wrapText="1"/>
    </xf>
    <xf numFmtId="43" fontId="0" fillId="0" borderId="0" xfId="6" applyFont="1" applyAlignment="1" applyProtection="1">
      <alignment horizontal="center" vertical="center" wrapText="1"/>
    </xf>
    <xf numFmtId="0" fontId="12" fillId="0" borderId="0" xfId="3" applyBorder="1" applyAlignment="1" applyProtection="1">
      <alignment vertical="top" wrapText="1"/>
    </xf>
    <xf numFmtId="49" fontId="16" fillId="0" borderId="0" xfId="0" applyNumberFormat="1" applyFont="1" applyAlignment="1">
      <alignment horizontal="center" vertical="center" wrapText="1"/>
    </xf>
    <xf numFmtId="43" fontId="16" fillId="0" borderId="0" xfId="6" applyFont="1" applyBorder="1" applyAlignment="1" applyProtection="1">
      <alignment horizontal="center" vertical="center" wrapText="1"/>
    </xf>
    <xf numFmtId="0" fontId="16" fillId="0" borderId="0" xfId="0" applyFont="1" applyAlignment="1">
      <alignment horizontal="center" vertical="center" wrapText="1"/>
    </xf>
    <xf numFmtId="14" fontId="16" fillId="0" borderId="0" xfId="0" applyNumberFormat="1" applyFont="1" applyAlignment="1">
      <alignment horizontal="center" vertical="center" wrapText="1"/>
    </xf>
    <xf numFmtId="2" fontId="16" fillId="0" borderId="0" xfId="0" applyNumberFormat="1" applyFont="1" applyAlignment="1">
      <alignment horizontal="center" vertical="center" wrapText="1"/>
    </xf>
    <xf numFmtId="43" fontId="0" fillId="0" borderId="0" xfId="6" applyFont="1" applyProtection="1"/>
    <xf numFmtId="0" fontId="0" fillId="0" borderId="0" xfId="0" applyAlignment="1">
      <alignment wrapText="1"/>
    </xf>
    <xf numFmtId="0" fontId="9" fillId="0" borderId="0" xfId="0" applyFont="1" applyAlignment="1">
      <alignment horizontal="center" vertical="center"/>
    </xf>
    <xf numFmtId="0" fontId="9" fillId="0" borderId="0" xfId="0" applyFont="1" applyAlignment="1">
      <alignment horizontal="center" vertical="center" wrapText="1"/>
    </xf>
    <xf numFmtId="14" fontId="9" fillId="0" borderId="0" xfId="0" applyNumberFormat="1" applyFont="1" applyAlignment="1">
      <alignment horizontal="center" vertical="top" wrapText="1"/>
    </xf>
    <xf numFmtId="0" fontId="0" fillId="0" borderId="0" xfId="0" applyAlignment="1">
      <alignment horizontal="center"/>
    </xf>
    <xf numFmtId="0" fontId="17" fillId="0" borderId="3" xfId="0" applyFont="1" applyBorder="1" applyAlignment="1">
      <alignment horizontal="center" wrapText="1"/>
    </xf>
    <xf numFmtId="0" fontId="17" fillId="0" borderId="34" xfId="0" applyFont="1" applyBorder="1" applyAlignment="1">
      <alignment horizontal="center" wrapText="1"/>
    </xf>
    <xf numFmtId="0" fontId="17" fillId="0" borderId="4" xfId="0" applyFont="1" applyBorder="1" applyAlignment="1">
      <alignment horizontal="center" wrapText="1"/>
    </xf>
    <xf numFmtId="0" fontId="0" fillId="0" borderId="0" xfId="0" applyAlignment="1">
      <alignment horizontal="center" vertical="top" wrapText="1"/>
    </xf>
    <xf numFmtId="0" fontId="17" fillId="0" borderId="0" xfId="0" applyFont="1" applyAlignment="1">
      <alignment horizontal="center" wrapText="1"/>
    </xf>
    <xf numFmtId="0" fontId="0" fillId="0" borderId="0" xfId="0" applyAlignment="1">
      <alignment horizontal="left"/>
    </xf>
    <xf numFmtId="0" fontId="11" fillId="0" borderId="0" xfId="0" applyFont="1" applyAlignment="1">
      <alignment horizontal="left"/>
    </xf>
    <xf numFmtId="0" fontId="9" fillId="0" borderId="0" xfId="0" applyFont="1" applyAlignment="1">
      <alignment horizontal="left" vertical="top" textRotation="90" wrapText="1"/>
    </xf>
    <xf numFmtId="0" fontId="9" fillId="0" borderId="0" xfId="0" applyFont="1" applyAlignment="1">
      <alignment horizontal="center"/>
    </xf>
    <xf numFmtId="0" fontId="18" fillId="0" borderId="0" xfId="0" applyFont="1" applyAlignment="1">
      <alignment horizontal="left" vertical="center"/>
    </xf>
    <xf numFmtId="43" fontId="0" fillId="0" borderId="0" xfId="6" applyFont="1" applyAlignment="1">
      <alignment horizontal="center"/>
    </xf>
    <xf numFmtId="0" fontId="14" fillId="0" borderId="0" xfId="0" applyFont="1" applyAlignment="1">
      <alignment horizontal="center" vertical="center"/>
    </xf>
    <xf numFmtId="2" fontId="0" fillId="0" borderId="0" xfId="6" applyNumberFormat="1" applyFont="1" applyAlignment="1">
      <alignment horizontal="center"/>
    </xf>
    <xf numFmtId="0" fontId="0" fillId="0" borderId="0" xfId="0" applyAlignment="1">
      <alignment horizontal="center" vertical="top"/>
    </xf>
    <xf numFmtId="43" fontId="0" fillId="0" borderId="0" xfId="6" applyFont="1"/>
    <xf numFmtId="10" fontId="0" fillId="0" borderId="0" xfId="6" applyNumberFormat="1" applyFont="1" applyAlignment="1">
      <alignment horizontal="center"/>
    </xf>
    <xf numFmtId="0" fontId="19" fillId="0" borderId="0" xfId="0" applyFont="1" applyAlignment="1">
      <alignment horizontal="left" vertical="center"/>
    </xf>
    <xf numFmtId="0" fontId="9" fillId="0" borderId="0" xfId="0" applyFont="1" applyAlignment="1">
      <alignment horizontal="left" vertical="center"/>
    </xf>
    <xf numFmtId="0" fontId="17" fillId="4" borderId="3" xfId="0" applyFont="1" applyFill="1" applyBorder="1" applyAlignment="1">
      <alignment horizontal="center" vertical="center" wrapText="1"/>
    </xf>
    <xf numFmtId="0" fontId="17" fillId="4" borderId="34" xfId="0" applyFont="1" applyFill="1" applyBorder="1" applyAlignment="1">
      <alignment horizontal="center" vertical="center" wrapText="1"/>
    </xf>
    <xf numFmtId="0" fontId="17" fillId="4" borderId="4" xfId="0" applyFont="1" applyFill="1" applyBorder="1" applyAlignment="1">
      <alignment horizontal="center" vertical="center" wrapText="1"/>
    </xf>
    <xf numFmtId="0" fontId="16" fillId="0" borderId="0" xfId="0" applyFont="1"/>
    <xf numFmtId="0" fontId="17" fillId="0" borderId="0" xfId="0" applyFont="1"/>
    <xf numFmtId="0" fontId="21" fillId="0" borderId="30" xfId="0" applyFont="1" applyBorder="1" applyAlignment="1">
      <alignment horizontal="center" vertical="top" wrapText="1"/>
    </xf>
    <xf numFmtId="15" fontId="23" fillId="0" borderId="30" xfId="0" applyNumberFormat="1" applyFont="1" applyBorder="1" applyAlignment="1">
      <alignment horizontal="center" vertical="top" wrapText="1"/>
    </xf>
    <xf numFmtId="0" fontId="23" fillId="0" borderId="30" xfId="0" applyFont="1" applyBorder="1" applyAlignment="1">
      <alignment horizontal="center" vertical="top" wrapText="1"/>
    </xf>
    <xf numFmtId="15" fontId="24" fillId="0" borderId="12" xfId="0" applyNumberFormat="1" applyFont="1" applyBorder="1" applyAlignment="1" applyProtection="1">
      <alignment horizontal="center" vertical="top" wrapText="1"/>
      <protection locked="0"/>
    </xf>
    <xf numFmtId="0" fontId="24" fillId="0" borderId="29" xfId="0" applyFont="1" applyBorder="1" applyAlignment="1" applyProtection="1">
      <alignment horizontal="center" vertical="top" wrapText="1"/>
      <protection locked="0"/>
    </xf>
    <xf numFmtId="0" fontId="22" fillId="0" borderId="29" xfId="0" applyFont="1" applyBorder="1" applyAlignment="1" applyProtection="1">
      <alignment horizontal="center" vertical="top" wrapText="1"/>
      <protection locked="0"/>
    </xf>
    <xf numFmtId="14" fontId="24" fillId="0" borderId="11" xfId="0" applyNumberFormat="1" applyFont="1" applyBorder="1" applyAlignment="1" applyProtection="1">
      <alignment horizontal="center" vertical="top" wrapText="1"/>
      <protection locked="0"/>
    </xf>
    <xf numFmtId="15" fontId="24" fillId="0" borderId="1" xfId="0" applyNumberFormat="1" applyFont="1" applyBorder="1" applyAlignment="1" applyProtection="1">
      <alignment horizontal="center" vertical="top" wrapText="1"/>
      <protection locked="0"/>
    </xf>
    <xf numFmtId="0" fontId="24" fillId="0" borderId="30" xfId="0" applyFont="1" applyBorder="1" applyAlignment="1" applyProtection="1">
      <alignment horizontal="center" vertical="top" wrapText="1"/>
      <protection locked="0"/>
    </xf>
    <xf numFmtId="0" fontId="22" fillId="0" borderId="30" xfId="0" applyFont="1" applyBorder="1" applyAlignment="1" applyProtection="1">
      <alignment horizontal="center" vertical="top" wrapText="1"/>
      <protection locked="0"/>
    </xf>
    <xf numFmtId="14" fontId="24" fillId="0" borderId="2" xfId="0" applyNumberFormat="1" applyFont="1" applyBorder="1" applyAlignment="1" applyProtection="1">
      <alignment horizontal="center" vertical="top" wrapText="1"/>
      <protection locked="0"/>
    </xf>
    <xf numFmtId="15" fontId="24" fillId="0" borderId="37" xfId="0" applyNumberFormat="1" applyFont="1" applyBorder="1" applyAlignment="1" applyProtection="1">
      <alignment horizontal="center" vertical="top" wrapText="1"/>
      <protection locked="0"/>
    </xf>
    <xf numFmtId="0" fontId="24" fillId="0" borderId="38" xfId="0" applyFont="1" applyBorder="1" applyAlignment="1" applyProtection="1">
      <alignment horizontal="center" vertical="top" wrapText="1"/>
      <protection locked="0"/>
    </xf>
    <xf numFmtId="0" fontId="22" fillId="0" borderId="38" xfId="0" applyFont="1" applyBorder="1" applyAlignment="1" applyProtection="1">
      <alignment horizontal="center" vertical="top" wrapText="1"/>
      <protection locked="0"/>
    </xf>
    <xf numFmtId="14" fontId="24" fillId="0" borderId="41" xfId="0" applyNumberFormat="1" applyFont="1" applyBorder="1" applyAlignment="1" applyProtection="1">
      <alignment horizontal="center" vertical="top" wrapText="1"/>
      <protection locked="0"/>
    </xf>
    <xf numFmtId="15" fontId="24" fillId="0" borderId="1" xfId="0" applyNumberFormat="1" applyFont="1" applyBorder="1" applyAlignment="1" applyProtection="1">
      <alignment horizontal="center" vertical="top"/>
      <protection locked="0"/>
    </xf>
    <xf numFmtId="0" fontId="24" fillId="0" borderId="30" xfId="0" applyFont="1" applyBorder="1" applyAlignment="1" applyProtection="1">
      <alignment horizontal="center" vertical="top"/>
      <protection locked="0"/>
    </xf>
    <xf numFmtId="0" fontId="22" fillId="0" borderId="2" xfId="0" applyFont="1" applyBorder="1" applyAlignment="1" applyProtection="1">
      <alignment horizontal="center" vertical="top"/>
      <protection locked="0"/>
    </xf>
    <xf numFmtId="15" fontId="24" fillId="0" borderId="37" xfId="0" applyNumberFormat="1" applyFont="1" applyBorder="1" applyAlignment="1" applyProtection="1">
      <alignment horizontal="center" vertical="top"/>
      <protection locked="0"/>
    </xf>
    <xf numFmtId="0" fontId="24" fillId="0" borderId="38" xfId="0" applyFont="1" applyBorder="1" applyAlignment="1" applyProtection="1">
      <alignment horizontal="center" vertical="top"/>
      <protection locked="0"/>
    </xf>
    <xf numFmtId="0" fontId="22" fillId="0" borderId="41" xfId="0" applyFont="1" applyBorder="1" applyAlignment="1" applyProtection="1">
      <alignment horizontal="center" vertical="top"/>
      <protection locked="0"/>
    </xf>
    <xf numFmtId="0" fontId="20" fillId="0" borderId="0" xfId="0" applyFont="1"/>
    <xf numFmtId="0" fontId="0" fillId="0" borderId="16" xfId="0" applyBorder="1" applyAlignment="1">
      <alignment horizontal="center" vertical="center" wrapText="1"/>
    </xf>
    <xf numFmtId="164" fontId="20" fillId="0" borderId="16" xfId="6" applyNumberFormat="1" applyFont="1" applyBorder="1" applyAlignment="1" applyProtection="1">
      <alignment horizontal="center" vertical="center" wrapText="1"/>
    </xf>
    <xf numFmtId="165" fontId="0" fillId="0" borderId="16" xfId="0" applyNumberFormat="1" applyBorder="1" applyAlignment="1">
      <alignment horizontal="center" vertical="center" wrapText="1"/>
    </xf>
    <xf numFmtId="0" fontId="26" fillId="0" borderId="16" xfId="3" applyFont="1" applyBorder="1" applyAlignment="1" applyProtection="1">
      <alignment horizontal="center" vertical="center"/>
      <protection locked="0"/>
    </xf>
    <xf numFmtId="0" fontId="17" fillId="4" borderId="30" xfId="0" applyFont="1" applyFill="1" applyBorder="1" applyAlignment="1">
      <alignment vertical="center" wrapText="1"/>
    </xf>
    <xf numFmtId="0" fontId="17" fillId="4" borderId="30" xfId="0" applyFont="1" applyFill="1" applyBorder="1" applyAlignment="1">
      <alignment horizontal="center" vertical="center" wrapText="1"/>
    </xf>
    <xf numFmtId="0" fontId="26" fillId="0" borderId="16" xfId="3" applyNumberFormat="1" applyFont="1" applyBorder="1" applyAlignment="1">
      <alignment horizontal="center" vertical="center"/>
    </xf>
    <xf numFmtId="0" fontId="28" fillId="0" borderId="16" xfId="3" applyNumberFormat="1" applyFont="1" applyBorder="1" applyAlignment="1" applyProtection="1">
      <alignment horizontal="center"/>
    </xf>
    <xf numFmtId="164" fontId="28" fillId="0" borderId="16" xfId="3" applyNumberFormat="1" applyFont="1" applyBorder="1" applyAlignment="1" applyProtection="1">
      <alignment horizontal="center"/>
    </xf>
    <xf numFmtId="0" fontId="0" fillId="0" borderId="16" xfId="0" applyBorder="1" applyAlignment="1">
      <alignment horizontal="center"/>
    </xf>
    <xf numFmtId="165" fontId="0" fillId="0" borderId="16" xfId="0" applyNumberFormat="1" applyBorder="1" applyAlignment="1">
      <alignment horizontal="center"/>
    </xf>
    <xf numFmtId="0" fontId="26" fillId="0" borderId="16" xfId="3" applyNumberFormat="1" applyFont="1" applyBorder="1" applyAlignment="1" applyProtection="1">
      <alignment horizontal="center" vertical="top" wrapText="1"/>
    </xf>
    <xf numFmtId="0" fontId="28" fillId="0" borderId="16" xfId="3" applyNumberFormat="1" applyFont="1" applyBorder="1" applyAlignment="1" applyProtection="1">
      <alignment horizontal="center" wrapText="1"/>
    </xf>
    <xf numFmtId="0" fontId="28" fillId="0" borderId="16" xfId="0" applyFont="1" applyBorder="1" applyAlignment="1">
      <alignment horizontal="center"/>
    </xf>
    <xf numFmtId="0" fontId="26" fillId="0" borderId="16" xfId="3" applyNumberFormat="1" applyFont="1" applyBorder="1" applyAlignment="1" applyProtection="1">
      <alignment horizontal="center" wrapText="1"/>
    </xf>
    <xf numFmtId="0" fontId="26" fillId="0" borderId="16" xfId="3" applyFont="1" applyBorder="1" applyAlignment="1">
      <alignment horizontal="center" vertical="center"/>
    </xf>
    <xf numFmtId="0" fontId="12" fillId="0" borderId="0" xfId="3" applyAlignment="1" applyProtection="1">
      <alignment horizontal="center" vertical="center"/>
      <protection locked="0"/>
    </xf>
    <xf numFmtId="0" fontId="31" fillId="0" borderId="0" xfId="4" applyFont="1"/>
    <xf numFmtId="0" fontId="31" fillId="0" borderId="0" xfId="4" applyFont="1" applyProtection="1">
      <protection hidden="1"/>
    </xf>
    <xf numFmtId="10" fontId="31" fillId="0" borderId="0" xfId="4" applyNumberFormat="1" applyFont="1" applyProtection="1">
      <protection hidden="1"/>
    </xf>
    <xf numFmtId="0" fontId="8" fillId="0" borderId="0" xfId="4"/>
    <xf numFmtId="0" fontId="8" fillId="0" borderId="0" xfId="4" applyProtection="1">
      <protection hidden="1"/>
    </xf>
    <xf numFmtId="10" fontId="8" fillId="0" borderId="0" xfId="4" applyNumberFormat="1" applyProtection="1">
      <protection hidden="1"/>
    </xf>
    <xf numFmtId="0" fontId="8" fillId="0" borderId="0" xfId="4" applyAlignment="1">
      <alignment horizontal="center" vertical="center"/>
    </xf>
    <xf numFmtId="0" fontId="33" fillId="0" borderId="0" xfId="4" applyFont="1" applyAlignment="1">
      <alignment horizontal="left" vertical="top"/>
    </xf>
    <xf numFmtId="0" fontId="33" fillId="0" borderId="0" xfId="4" applyFont="1" applyAlignment="1" applyProtection="1">
      <alignment horizontal="left" vertical="top"/>
      <protection hidden="1"/>
    </xf>
    <xf numFmtId="10" fontId="33" fillId="0" borderId="0" xfId="4" applyNumberFormat="1" applyFont="1" applyAlignment="1" applyProtection="1">
      <alignment horizontal="left" vertical="top"/>
      <protection hidden="1"/>
    </xf>
    <xf numFmtId="0" fontId="8" fillId="0" borderId="0" xfId="4" applyAlignment="1">
      <alignment vertical="center"/>
    </xf>
    <xf numFmtId="0" fontId="33" fillId="0" borderId="0" xfId="4" applyFont="1" applyAlignment="1">
      <alignment horizontal="left" vertical="center"/>
    </xf>
    <xf numFmtId="0" fontId="33" fillId="0" borderId="0" xfId="4" applyFont="1" applyAlignment="1" applyProtection="1">
      <alignment horizontal="left" vertical="center"/>
      <protection hidden="1"/>
    </xf>
    <xf numFmtId="10" fontId="33" fillId="0" borderId="0" xfId="4" applyNumberFormat="1" applyFont="1" applyAlignment="1" applyProtection="1">
      <alignment horizontal="left" vertical="center"/>
      <protection hidden="1"/>
    </xf>
    <xf numFmtId="0" fontId="31" fillId="0" borderId="0" xfId="4" applyFont="1" applyAlignment="1" applyProtection="1">
      <alignment vertical="center"/>
      <protection hidden="1"/>
    </xf>
    <xf numFmtId="0" fontId="8" fillId="0" borderId="0" xfId="4" applyAlignment="1" applyProtection="1">
      <alignment vertical="center"/>
      <protection hidden="1"/>
    </xf>
    <xf numFmtId="0" fontId="8" fillId="0" borderId="51" xfId="4" applyBorder="1" applyAlignment="1" applyProtection="1">
      <alignment horizontal="right" vertical="center"/>
      <protection hidden="1"/>
    </xf>
    <xf numFmtId="0" fontId="8" fillId="0" borderId="8" xfId="4" applyBorder="1" applyAlignment="1" applyProtection="1">
      <alignment vertical="center"/>
      <protection hidden="1"/>
    </xf>
    <xf numFmtId="0" fontId="8" fillId="5" borderId="0" xfId="4" applyFill="1" applyAlignment="1" applyProtection="1">
      <alignment vertical="center"/>
      <protection hidden="1"/>
    </xf>
    <xf numFmtId="0" fontId="33" fillId="0" borderId="0" xfId="4" applyFont="1" applyAlignment="1">
      <alignment horizontal="center" vertical="center"/>
    </xf>
    <xf numFmtId="10" fontId="31" fillId="0" borderId="0" xfId="4" applyNumberFormat="1" applyFont="1" applyAlignment="1" applyProtection="1">
      <alignment horizontal="left" vertical="center"/>
      <protection hidden="1"/>
    </xf>
    <xf numFmtId="0" fontId="31" fillId="0" borderId="0" xfId="4" applyFont="1" applyAlignment="1" applyProtection="1">
      <alignment horizontal="left" vertical="center"/>
      <protection hidden="1"/>
    </xf>
    <xf numFmtId="9" fontId="8" fillId="0" borderId="0" xfId="5" applyFont="1" applyAlignment="1" applyProtection="1">
      <alignment vertical="center"/>
      <protection hidden="1"/>
    </xf>
    <xf numFmtId="9" fontId="8" fillId="0" borderId="0" xfId="4" applyNumberFormat="1" applyAlignment="1" applyProtection="1">
      <alignment vertical="center"/>
      <protection hidden="1"/>
    </xf>
    <xf numFmtId="0" fontId="8" fillId="0" borderId="55" xfId="4" applyBorder="1" applyAlignment="1" applyProtection="1">
      <alignment vertical="center"/>
      <protection hidden="1"/>
    </xf>
    <xf numFmtId="0" fontId="8" fillId="0" borderId="54" xfId="4" applyBorder="1" applyAlignment="1" applyProtection="1">
      <alignment vertical="center"/>
      <protection hidden="1"/>
    </xf>
    <xf numFmtId="0" fontId="8" fillId="0" borderId="53" xfId="4" applyBorder="1" applyAlignment="1" applyProtection="1">
      <alignment vertical="center"/>
      <protection hidden="1"/>
    </xf>
    <xf numFmtId="0" fontId="8" fillId="0" borderId="54" xfId="4" applyBorder="1" applyAlignment="1" applyProtection="1">
      <alignment horizontal="left" vertical="center"/>
      <protection hidden="1"/>
    </xf>
    <xf numFmtId="0" fontId="8" fillId="0" borderId="58" xfId="4" applyBorder="1" applyAlignment="1" applyProtection="1">
      <alignment horizontal="left" vertical="center"/>
      <protection hidden="1"/>
    </xf>
    <xf numFmtId="0" fontId="35" fillId="0" borderId="60" xfId="4" applyFont="1" applyBorder="1" applyAlignment="1">
      <alignment horizontal="center" wrapText="1"/>
    </xf>
    <xf numFmtId="0" fontId="35" fillId="0" borderId="9" xfId="4" applyFont="1" applyBorder="1" applyAlignment="1">
      <alignment horizontal="center" wrapText="1"/>
    </xf>
    <xf numFmtId="0" fontId="35" fillId="0" borderId="4" xfId="4" applyFont="1" applyBorder="1" applyAlignment="1">
      <alignment horizontal="center" wrapText="1"/>
    </xf>
    <xf numFmtId="0" fontId="35" fillId="0" borderId="3" xfId="4" applyFont="1" applyBorder="1" applyAlignment="1">
      <alignment horizontal="center" wrapText="1"/>
    </xf>
    <xf numFmtId="0" fontId="35" fillId="0" borderId="10" xfId="4" applyFont="1" applyBorder="1" applyAlignment="1">
      <alignment horizontal="center" wrapText="1"/>
    </xf>
    <xf numFmtId="0" fontId="8" fillId="0" borderId="0" xfId="4" applyAlignment="1" applyProtection="1">
      <alignment wrapText="1"/>
      <protection hidden="1"/>
    </xf>
    <xf numFmtId="10" fontId="31" fillId="0" borderId="57" xfId="4" applyNumberFormat="1" applyFont="1" applyBorder="1" applyAlignment="1" applyProtection="1">
      <alignment horizontal="center" vertical="center" wrapText="1"/>
      <protection hidden="1"/>
    </xf>
    <xf numFmtId="0" fontId="31" fillId="0" borderId="0" xfId="4" applyFont="1" applyAlignment="1" applyProtection="1">
      <alignment horizontal="center" vertical="center" wrapText="1"/>
      <protection hidden="1"/>
    </xf>
    <xf numFmtId="0" fontId="35" fillId="0" borderId="0" xfId="4" applyFont="1" applyAlignment="1" applyProtection="1">
      <alignment horizontal="center" vertical="center" wrapText="1"/>
      <protection hidden="1"/>
    </xf>
    <xf numFmtId="0" fontId="31" fillId="0" borderId="55" xfId="4" applyFont="1" applyBorder="1" applyAlignment="1" applyProtection="1">
      <alignment horizontal="center" vertical="center" wrapText="1"/>
      <protection hidden="1"/>
    </xf>
    <xf numFmtId="0" fontId="31" fillId="0" borderId="53" xfId="4" applyFont="1" applyBorder="1" applyAlignment="1" applyProtection="1">
      <alignment horizontal="center" vertical="center" wrapText="1"/>
      <protection hidden="1"/>
    </xf>
    <xf numFmtId="0" fontId="31" fillId="0" borderId="54" xfId="4" applyFont="1" applyBorder="1" applyAlignment="1" applyProtection="1">
      <alignment horizontal="center" vertical="center" wrapText="1"/>
      <protection hidden="1"/>
    </xf>
    <xf numFmtId="0" fontId="8" fillId="6" borderId="57" xfId="4" applyFill="1" applyBorder="1" applyAlignment="1" applyProtection="1">
      <alignment wrapText="1"/>
      <protection hidden="1"/>
    </xf>
    <xf numFmtId="0" fontId="8" fillId="6" borderId="51" xfId="4" applyFill="1" applyBorder="1" applyAlignment="1" applyProtection="1">
      <alignment wrapText="1"/>
      <protection hidden="1"/>
    </xf>
    <xf numFmtId="0" fontId="8" fillId="6" borderId="0" xfId="4" applyFill="1" applyAlignment="1" applyProtection="1">
      <alignment wrapText="1"/>
      <protection hidden="1"/>
    </xf>
    <xf numFmtId="0" fontId="8" fillId="5" borderId="57" xfId="4" applyFill="1" applyBorder="1" applyAlignment="1" applyProtection="1">
      <alignment wrapText="1"/>
      <protection hidden="1"/>
    </xf>
    <xf numFmtId="0" fontId="8" fillId="5" borderId="0" xfId="4" applyFill="1" applyAlignment="1" applyProtection="1">
      <alignment wrapText="1"/>
      <protection hidden="1"/>
    </xf>
    <xf numFmtId="0" fontId="8" fillId="5" borderId="51" xfId="4" applyFill="1" applyBorder="1" applyAlignment="1" applyProtection="1">
      <alignment wrapText="1"/>
      <protection hidden="1"/>
    </xf>
    <xf numFmtId="0" fontId="8" fillId="5" borderId="62" xfId="4" applyFill="1" applyBorder="1" applyAlignment="1" applyProtection="1">
      <alignment wrapText="1"/>
      <protection hidden="1"/>
    </xf>
    <xf numFmtId="0" fontId="31" fillId="0" borderId="63" xfId="4" applyFont="1" applyBorder="1"/>
    <xf numFmtId="1" fontId="31" fillId="0" borderId="66" xfId="4" applyNumberFormat="1" applyFont="1" applyBorder="1" applyAlignment="1">
      <alignment horizontal="center" vertical="center" wrapText="1"/>
    </xf>
    <xf numFmtId="1" fontId="31" fillId="0" borderId="8" xfId="4" applyNumberFormat="1" applyFont="1" applyBorder="1" applyAlignment="1">
      <alignment horizontal="center" vertical="center" wrapText="1"/>
    </xf>
    <xf numFmtId="1" fontId="31" fillId="0" borderId="11" xfId="4" applyNumberFormat="1" applyFont="1" applyBorder="1" applyAlignment="1">
      <alignment horizontal="center" vertical="center" wrapText="1"/>
    </xf>
    <xf numFmtId="1" fontId="34" fillId="0" borderId="12" xfId="4" applyNumberFormat="1" applyFont="1" applyBorder="1" applyAlignment="1">
      <alignment horizontal="center" wrapText="1"/>
    </xf>
    <xf numFmtId="1" fontId="34" fillId="0" borderId="11" xfId="4" applyNumberFormat="1" applyFont="1" applyBorder="1" applyAlignment="1">
      <alignment horizontal="center" wrapText="1"/>
    </xf>
    <xf numFmtId="10" fontId="8" fillId="0" borderId="57" xfId="5" applyNumberFormat="1" applyFont="1" applyBorder="1" applyAlignment="1" applyProtection="1">
      <alignment horizontal="center" vertical="center"/>
      <protection hidden="1"/>
    </xf>
    <xf numFmtId="0" fontId="8" fillId="0" borderId="0" xfId="5" applyNumberFormat="1" applyFont="1" applyBorder="1" applyAlignment="1" applyProtection="1">
      <alignment horizontal="center" vertical="center"/>
      <protection hidden="1"/>
    </xf>
    <xf numFmtId="0" fontId="8" fillId="0" borderId="57" xfId="4" applyBorder="1" applyAlignment="1" applyProtection="1">
      <alignment horizontal="center" vertical="center"/>
      <protection hidden="1"/>
    </xf>
    <xf numFmtId="167" fontId="8" fillId="0" borderId="0" xfId="5" applyNumberFormat="1" applyFont="1" applyBorder="1" applyAlignment="1" applyProtection="1">
      <alignment horizontal="center" vertical="center"/>
      <protection hidden="1"/>
    </xf>
    <xf numFmtId="0" fontId="8" fillId="0" borderId="57" xfId="5" applyNumberFormat="1" applyFont="1" applyBorder="1" applyAlignment="1" applyProtection="1">
      <alignment horizontal="center" vertical="center"/>
      <protection hidden="1"/>
    </xf>
    <xf numFmtId="0" fontId="8" fillId="0" borderId="57" xfId="4" applyBorder="1" applyAlignment="1" applyProtection="1">
      <alignment horizontal="center"/>
      <protection hidden="1"/>
    </xf>
    <xf numFmtId="167" fontId="8" fillId="0" borderId="51" xfId="5" applyNumberFormat="1" applyFont="1" applyBorder="1" applyAlignment="1" applyProtection="1">
      <alignment horizontal="center"/>
      <protection hidden="1"/>
    </xf>
    <xf numFmtId="0" fontId="8" fillId="0" borderId="51" xfId="4" applyBorder="1" applyAlignment="1" applyProtection="1">
      <alignment horizontal="center"/>
      <protection hidden="1"/>
    </xf>
    <xf numFmtId="0" fontId="8" fillId="0" borderId="0" xfId="4" applyAlignment="1" applyProtection="1">
      <alignment horizontal="center" vertical="center"/>
      <protection hidden="1"/>
    </xf>
    <xf numFmtId="0" fontId="8" fillId="0" borderId="62" xfId="4" applyBorder="1" applyAlignment="1" applyProtection="1">
      <alignment horizontal="center"/>
      <protection hidden="1"/>
    </xf>
    <xf numFmtId="1" fontId="8" fillId="0" borderId="0" xfId="4" applyNumberFormat="1" applyAlignment="1" applyProtection="1">
      <alignment horizontal="center"/>
      <protection hidden="1"/>
    </xf>
    <xf numFmtId="0" fontId="36" fillId="0" borderId="0" xfId="4" applyFont="1" applyAlignment="1">
      <alignment horizontal="left" vertical="center"/>
    </xf>
    <xf numFmtId="0" fontId="35" fillId="0" borderId="0" xfId="4" applyFont="1"/>
    <xf numFmtId="0" fontId="31" fillId="0" borderId="63" xfId="4" applyFont="1" applyBorder="1" applyAlignment="1">
      <alignment vertical="center"/>
    </xf>
    <xf numFmtId="1" fontId="31" fillId="0" borderId="67" xfId="4" applyNumberFormat="1" applyFont="1" applyBorder="1" applyAlignment="1">
      <alignment horizontal="center" vertical="center" wrapText="1"/>
    </xf>
    <xf numFmtId="1" fontId="34" fillId="0" borderId="1" xfId="4" applyNumberFormat="1" applyFont="1" applyBorder="1" applyAlignment="1" applyProtection="1">
      <alignment horizontal="center" wrapText="1"/>
      <protection locked="0"/>
    </xf>
    <xf numFmtId="1" fontId="34" fillId="0" borderId="67" xfId="4" applyNumberFormat="1" applyFont="1" applyBorder="1" applyAlignment="1" applyProtection="1">
      <alignment horizontal="center" vertical="center" wrapText="1"/>
      <protection locked="0"/>
    </xf>
    <xf numFmtId="0" fontId="36" fillId="0" borderId="0" xfId="4" applyFont="1" applyAlignment="1">
      <alignment horizontal="center" vertical="center"/>
    </xf>
    <xf numFmtId="0" fontId="35" fillId="0" borderId="0" xfId="4" applyFont="1" applyAlignment="1">
      <alignment horizontal="left" vertical="center"/>
    </xf>
    <xf numFmtId="1" fontId="34" fillId="0" borderId="68" xfId="4" applyNumberFormat="1" applyFont="1" applyBorder="1" applyAlignment="1" applyProtection="1">
      <alignment horizontal="center" vertical="center" wrapText="1"/>
      <protection locked="0"/>
    </xf>
    <xf numFmtId="1" fontId="34" fillId="0" borderId="68" xfId="4" applyNumberFormat="1" applyFont="1" applyBorder="1" applyAlignment="1">
      <alignment horizontal="center" vertical="center" wrapText="1"/>
    </xf>
    <xf numFmtId="1" fontId="34" fillId="0" borderId="67" xfId="4" applyNumberFormat="1" applyFont="1" applyBorder="1" applyAlignment="1">
      <alignment horizontal="center" vertical="center" wrapText="1"/>
    </xf>
    <xf numFmtId="0" fontId="36" fillId="0" borderId="0" xfId="4" applyFont="1" applyAlignment="1">
      <alignment vertical="center"/>
    </xf>
    <xf numFmtId="0" fontId="35" fillId="0" borderId="0" xfId="4" applyFont="1" applyAlignment="1">
      <alignment vertical="center"/>
    </xf>
    <xf numFmtId="9" fontId="35" fillId="0" borderId="55" xfId="5" applyFont="1" applyBorder="1" applyAlignment="1" applyProtection="1">
      <alignment horizontal="center" vertical="center"/>
    </xf>
    <xf numFmtId="9" fontId="35" fillId="0" borderId="53" xfId="5" applyFont="1" applyBorder="1" applyAlignment="1" applyProtection="1">
      <alignment horizontal="center" vertical="center"/>
    </xf>
    <xf numFmtId="9" fontId="35" fillId="0" borderId="54" xfId="5" applyFont="1" applyBorder="1" applyAlignment="1" applyProtection="1">
      <alignment horizontal="center" vertical="center"/>
    </xf>
    <xf numFmtId="9" fontId="35" fillId="0" borderId="57" xfId="5" applyFont="1" applyBorder="1" applyAlignment="1" applyProtection="1">
      <alignment horizontal="center" vertical="center"/>
    </xf>
    <xf numFmtId="9" fontId="35" fillId="0" borderId="0" xfId="5" applyFont="1" applyBorder="1" applyAlignment="1" applyProtection="1">
      <alignment horizontal="center" vertical="center"/>
    </xf>
    <xf numFmtId="9" fontId="35" fillId="0" borderId="51" xfId="5" applyFont="1" applyBorder="1" applyAlignment="1" applyProtection="1">
      <alignment horizontal="center" vertical="center"/>
    </xf>
    <xf numFmtId="9" fontId="35" fillId="0" borderId="49" xfId="5" applyFont="1" applyBorder="1" applyAlignment="1" applyProtection="1">
      <alignment horizontal="center" vertical="center"/>
    </xf>
    <xf numFmtId="9" fontId="35" fillId="0" borderId="47" xfId="5" applyFont="1" applyBorder="1" applyAlignment="1" applyProtection="1">
      <alignment horizontal="center" vertical="center"/>
    </xf>
    <xf numFmtId="9" fontId="35" fillId="0" borderId="48" xfId="5" applyFont="1" applyBorder="1" applyAlignment="1" applyProtection="1">
      <alignment horizontal="center" vertical="center"/>
    </xf>
    <xf numFmtId="1" fontId="31" fillId="0" borderId="69" xfId="4" applyNumberFormat="1" applyFont="1" applyBorder="1" applyAlignment="1">
      <alignment horizontal="center" vertical="center" wrapText="1"/>
    </xf>
    <xf numFmtId="1" fontId="31" fillId="0" borderId="70" xfId="4" applyNumberFormat="1" applyFont="1" applyBorder="1" applyAlignment="1">
      <alignment horizontal="center" vertical="center" wrapText="1"/>
    </xf>
    <xf numFmtId="1" fontId="34" fillId="0" borderId="71" xfId="4" applyNumberFormat="1" applyFont="1" applyBorder="1" applyAlignment="1">
      <alignment horizontal="center" vertical="center" wrapText="1"/>
    </xf>
    <xf numFmtId="1" fontId="34" fillId="0" borderId="70" xfId="4" applyNumberFormat="1" applyFont="1" applyBorder="1" applyAlignment="1">
      <alignment horizontal="center" vertical="center" wrapText="1"/>
    </xf>
    <xf numFmtId="0" fontId="33" fillId="0" borderId="68" xfId="4" applyFont="1" applyBorder="1" applyAlignment="1">
      <alignment vertical="top"/>
    </xf>
    <xf numFmtId="0" fontId="33" fillId="0" borderId="16" xfId="4" applyFont="1" applyBorder="1" applyAlignment="1">
      <alignment vertical="top"/>
    </xf>
    <xf numFmtId="0" fontId="33" fillId="0" borderId="75" xfId="4" applyFont="1" applyBorder="1" applyAlignment="1">
      <alignment vertical="top"/>
    </xf>
    <xf numFmtId="0" fontId="37" fillId="0" borderId="0" xfId="4" applyFont="1" applyAlignment="1">
      <alignment horizontal="left" vertical="top"/>
    </xf>
    <xf numFmtId="10" fontId="33" fillId="0" borderId="57" xfId="4" applyNumberFormat="1" applyFont="1" applyBorder="1" applyAlignment="1" applyProtection="1">
      <alignment horizontal="left" vertical="top"/>
      <protection hidden="1"/>
    </xf>
    <xf numFmtId="0" fontId="33" fillId="0" borderId="57" xfId="4" applyFont="1" applyBorder="1" applyAlignment="1" applyProtection="1">
      <alignment horizontal="left" vertical="top"/>
      <protection hidden="1"/>
    </xf>
    <xf numFmtId="0" fontId="33" fillId="0" borderId="51" xfId="4" applyFont="1" applyBorder="1" applyAlignment="1" applyProtection="1">
      <alignment horizontal="left" vertical="top"/>
      <protection hidden="1"/>
    </xf>
    <xf numFmtId="0" fontId="32" fillId="0" borderId="77" xfId="4" quotePrefix="1" applyFont="1" applyBorder="1" applyAlignment="1">
      <alignment horizontal="center" vertical="center"/>
    </xf>
    <xf numFmtId="0" fontId="39" fillId="0" borderId="0" xfId="4" applyFont="1"/>
    <xf numFmtId="0" fontId="39" fillId="0" borderId="0" xfId="4" applyFont="1" applyProtection="1">
      <protection hidden="1"/>
    </xf>
    <xf numFmtId="0" fontId="8" fillId="0" borderId="57" xfId="4" applyBorder="1" applyProtection="1">
      <protection hidden="1"/>
    </xf>
    <xf numFmtId="167" fontId="31" fillId="0" borderId="0" xfId="4" applyNumberFormat="1" applyFont="1" applyProtection="1">
      <protection hidden="1"/>
    </xf>
    <xf numFmtId="0" fontId="31" fillId="0" borderId="57" xfId="4" applyFont="1" applyBorder="1" applyProtection="1">
      <protection hidden="1"/>
    </xf>
    <xf numFmtId="0" fontId="40" fillId="0" borderId="0" xfId="4" applyFont="1" applyProtection="1">
      <protection hidden="1"/>
    </xf>
    <xf numFmtId="0" fontId="8" fillId="0" borderId="0" xfId="4" applyAlignment="1" applyProtection="1">
      <alignment horizontal="right" vertical="center"/>
      <protection hidden="1"/>
    </xf>
    <xf numFmtId="0" fontId="41" fillId="0" borderId="0" xfId="4" applyFont="1" applyAlignment="1" applyProtection="1">
      <alignment horizontal="center" vertical="top" wrapText="1"/>
      <protection hidden="1"/>
    </xf>
    <xf numFmtId="9" fontId="8" fillId="0" borderId="0" xfId="4" applyNumberFormat="1" applyProtection="1">
      <protection hidden="1"/>
    </xf>
    <xf numFmtId="10" fontId="8" fillId="0" borderId="0" xfId="5" applyNumberFormat="1" applyFont="1" applyProtection="1">
      <protection hidden="1"/>
    </xf>
    <xf numFmtId="167" fontId="8" fillId="0" borderId="0" xfId="4" applyNumberFormat="1" applyProtection="1">
      <protection hidden="1"/>
    </xf>
    <xf numFmtId="1" fontId="8" fillId="0" borderId="0" xfId="4" applyNumberFormat="1"/>
    <xf numFmtId="0" fontId="8" fillId="0" borderId="0" xfId="4" applyAlignment="1" applyProtection="1">
      <alignment horizontal="right"/>
      <protection hidden="1"/>
    </xf>
    <xf numFmtId="0" fontId="42" fillId="0" borderId="0" xfId="4" applyFont="1" applyAlignment="1" applyProtection="1">
      <alignment horizontal="center" wrapText="1"/>
      <protection hidden="1"/>
    </xf>
    <xf numFmtId="0" fontId="41" fillId="0" borderId="0" xfId="4" applyFont="1" applyAlignment="1" applyProtection="1">
      <alignment horizontal="center" wrapText="1"/>
      <protection hidden="1"/>
    </xf>
    <xf numFmtId="167" fontId="35" fillId="0" borderId="0" xfId="4" applyNumberFormat="1" applyFont="1" applyProtection="1">
      <protection hidden="1"/>
    </xf>
    <xf numFmtId="49" fontId="31" fillId="0" borderId="0" xfId="4" applyNumberFormat="1" applyFont="1" applyProtection="1">
      <protection hidden="1"/>
    </xf>
    <xf numFmtId="0" fontId="31" fillId="0" borderId="0" xfId="4" applyFont="1" applyAlignment="1" applyProtection="1">
      <alignment horizontal="right"/>
      <protection hidden="1"/>
    </xf>
    <xf numFmtId="10" fontId="0" fillId="0" borderId="16" xfId="0" applyNumberFormat="1" applyBorder="1" applyAlignment="1">
      <alignment horizontal="center" vertical="center" wrapText="1"/>
    </xf>
    <xf numFmtId="0" fontId="8" fillId="7" borderId="0" xfId="7" applyFill="1"/>
    <xf numFmtId="0" fontId="43" fillId="7" borderId="0" xfId="7" applyFont="1" applyFill="1"/>
    <xf numFmtId="0" fontId="8" fillId="0" borderId="0" xfId="7"/>
    <xf numFmtId="0" fontId="8" fillId="0" borderId="0" xfId="7" applyProtection="1">
      <protection locked="0"/>
    </xf>
    <xf numFmtId="0" fontId="44" fillId="7" borderId="0" xfId="7" applyFont="1" applyFill="1"/>
    <xf numFmtId="0" fontId="44" fillId="0" borderId="0" xfId="7" applyFont="1"/>
    <xf numFmtId="1" fontId="45" fillId="0" borderId="0" xfId="7" applyNumberFormat="1" applyFont="1" applyAlignment="1">
      <alignment horizontal="centerContinuous" vertical="center"/>
    </xf>
    <xf numFmtId="1" fontId="46" fillId="0" borderId="0" xfId="7" applyNumberFormat="1" applyFont="1" applyAlignment="1">
      <alignment horizontal="centerContinuous" vertical="center"/>
    </xf>
    <xf numFmtId="0" fontId="44" fillId="0" borderId="0" xfId="7" applyFont="1" applyAlignment="1">
      <alignment horizontal="centerContinuous"/>
    </xf>
    <xf numFmtId="0" fontId="44" fillId="0" borderId="0" xfId="7" applyFont="1" applyProtection="1">
      <protection locked="0"/>
    </xf>
    <xf numFmtId="0" fontId="8" fillId="0" borderId="0" xfId="7" applyAlignment="1">
      <alignment horizontal="centerContinuous"/>
    </xf>
    <xf numFmtId="1" fontId="47" fillId="0" borderId="0" xfId="7" applyNumberFormat="1" applyFont="1" applyAlignment="1">
      <alignment horizontal="centerContinuous" vertical="center"/>
    </xf>
    <xf numFmtId="1" fontId="47" fillId="0" borderId="0" xfId="7" applyNumberFormat="1" applyFont="1" applyAlignment="1">
      <alignment horizontal="left" vertical="center"/>
    </xf>
    <xf numFmtId="1" fontId="45" fillId="0" borderId="0" xfId="7" applyNumberFormat="1" applyFont="1" applyAlignment="1">
      <alignment horizontal="center" vertical="center"/>
    </xf>
    <xf numFmtId="1" fontId="35" fillId="0" borderId="0" xfId="7" applyNumberFormat="1" applyFont="1" applyAlignment="1">
      <alignment horizontal="center" vertical="center"/>
    </xf>
    <xf numFmtId="0" fontId="32" fillId="0" borderId="0" xfId="7" applyFont="1" applyAlignment="1">
      <alignment horizontal="centerContinuous" vertical="center"/>
    </xf>
    <xf numFmtId="0" fontId="35" fillId="0" borderId="0" xfId="7" applyFont="1" applyAlignment="1">
      <alignment horizontal="center" vertical="center"/>
    </xf>
    <xf numFmtId="0" fontId="48" fillId="0" borderId="0" xfId="7" applyFont="1" applyAlignment="1">
      <alignment horizontal="center" vertical="center"/>
    </xf>
    <xf numFmtId="0" fontId="8" fillId="0" borderId="0" xfId="7" applyAlignment="1">
      <alignment horizontal="centerContinuous" vertical="center"/>
    </xf>
    <xf numFmtId="168" fontId="47" fillId="0" borderId="60" xfId="7" applyNumberFormat="1" applyFont="1" applyBorder="1" applyAlignment="1">
      <alignment horizontal="center" vertical="center"/>
    </xf>
    <xf numFmtId="0" fontId="49" fillId="0" borderId="0" xfId="7" applyFont="1" applyAlignment="1">
      <alignment horizontal="center"/>
    </xf>
    <xf numFmtId="1" fontId="47" fillId="0" borderId="60" xfId="7" applyNumberFormat="1" applyFont="1" applyBorder="1" applyAlignment="1">
      <alignment horizontal="center" vertical="center"/>
    </xf>
    <xf numFmtId="164" fontId="50" fillId="0" borderId="0" xfId="7" applyNumberFormat="1" applyFont="1" applyAlignment="1">
      <alignment horizontal="left" vertical="center"/>
    </xf>
    <xf numFmtId="0" fontId="47" fillId="0" borderId="0" xfId="7" applyFont="1" applyAlignment="1">
      <alignment vertical="center"/>
    </xf>
    <xf numFmtId="0" fontId="49" fillId="0" borderId="0" xfId="7" applyFont="1" applyAlignment="1">
      <alignment vertical="center"/>
    </xf>
    <xf numFmtId="0" fontId="49" fillId="7" borderId="0" xfId="7" applyFont="1" applyFill="1"/>
    <xf numFmtId="0" fontId="49" fillId="0" borderId="0" xfId="7" applyFont="1"/>
    <xf numFmtId="168" fontId="8" fillId="8" borderId="80" xfId="7" applyNumberFormat="1" applyFill="1" applyBorder="1" applyAlignment="1">
      <alignment horizontal="center"/>
    </xf>
    <xf numFmtId="0" fontId="8" fillId="0" borderId="0" xfId="7" applyAlignment="1">
      <alignment horizontal="center"/>
    </xf>
    <xf numFmtId="1" fontId="51" fillId="9" borderId="80" xfId="7" applyNumberFormat="1" applyFont="1" applyFill="1" applyBorder="1" applyAlignment="1" applyProtection="1">
      <alignment horizontal="center" vertical="center"/>
      <protection locked="0"/>
    </xf>
    <xf numFmtId="164" fontId="43" fillId="0" borderId="0" xfId="7" applyNumberFormat="1" applyFont="1" applyAlignment="1">
      <alignment horizontal="left" vertical="center"/>
    </xf>
    <xf numFmtId="0" fontId="32" fillId="0" borderId="0" xfId="7" applyFont="1" applyAlignment="1">
      <alignment vertical="center"/>
    </xf>
    <xf numFmtId="0" fontId="8" fillId="0" borderId="0" xfId="7" applyAlignment="1">
      <alignment vertical="center"/>
    </xf>
    <xf numFmtId="0" fontId="49" fillId="0" borderId="0" xfId="7" applyFont="1" applyProtection="1">
      <protection locked="0"/>
    </xf>
    <xf numFmtId="168" fontId="8" fillId="8" borderId="58" xfId="7" applyNumberFormat="1" applyFill="1" applyBorder="1" applyAlignment="1">
      <alignment horizontal="center"/>
    </xf>
    <xf numFmtId="1" fontId="51" fillId="9" borderId="58" xfId="7" applyNumberFormat="1" applyFont="1" applyFill="1" applyBorder="1" applyAlignment="1" applyProtection="1">
      <alignment horizontal="center" vertical="center"/>
      <protection locked="0"/>
    </xf>
    <xf numFmtId="168" fontId="32" fillId="0" borderId="16" xfId="7" applyNumberFormat="1" applyFont="1" applyBorder="1" applyAlignment="1">
      <alignment horizontal="center" vertical="center"/>
    </xf>
    <xf numFmtId="1" fontId="32" fillId="0" borderId="16" xfId="7" applyNumberFormat="1" applyFont="1" applyBorder="1" applyAlignment="1">
      <alignment horizontal="center" vertical="center"/>
    </xf>
    <xf numFmtId="164" fontId="52" fillId="0" borderId="0" xfId="7" applyNumberFormat="1" applyFont="1" applyAlignment="1">
      <alignment horizontal="left" vertical="center"/>
    </xf>
    <xf numFmtId="168" fontId="8" fillId="8" borderId="16" xfId="7" applyNumberFormat="1" applyFill="1" applyBorder="1" applyAlignment="1">
      <alignment horizontal="center"/>
    </xf>
    <xf numFmtId="1" fontId="51" fillId="9" borderId="16" xfId="7" applyNumberFormat="1" applyFont="1" applyFill="1" applyBorder="1" applyAlignment="1" applyProtection="1">
      <alignment horizontal="center" vertical="center"/>
      <protection locked="0"/>
    </xf>
    <xf numFmtId="168" fontId="8" fillId="0" borderId="0" xfId="7" applyNumberFormat="1" applyAlignment="1">
      <alignment horizontal="center"/>
    </xf>
    <xf numFmtId="0" fontId="8" fillId="0" borderId="0" xfId="7" applyAlignment="1">
      <alignment horizontal="center" vertical="center"/>
    </xf>
    <xf numFmtId="168" fontId="8" fillId="8" borderId="29" xfId="7" applyNumberFormat="1" applyFill="1" applyBorder="1" applyAlignment="1">
      <alignment horizontal="center"/>
    </xf>
    <xf numFmtId="1" fontId="51" fillId="9" borderId="29" xfId="7" applyNumberFormat="1" applyFont="1" applyFill="1" applyBorder="1" applyAlignment="1" applyProtection="1">
      <alignment horizontal="center" vertical="center"/>
      <protection locked="0"/>
    </xf>
    <xf numFmtId="167" fontId="47" fillId="0" borderId="60" xfId="7" applyNumberFormat="1" applyFont="1" applyBorder="1" applyAlignment="1">
      <alignment horizontal="center" vertical="center"/>
    </xf>
    <xf numFmtId="164" fontId="50" fillId="0" borderId="13" xfId="7" applyNumberFormat="1" applyFont="1" applyBorder="1" applyAlignment="1">
      <alignment horizontal="left" vertical="center"/>
    </xf>
    <xf numFmtId="0" fontId="47" fillId="0" borderId="0" xfId="7" applyFont="1" applyAlignment="1">
      <alignment horizontal="left" vertical="center"/>
    </xf>
    <xf numFmtId="0" fontId="8" fillId="0" borderId="0" xfId="7" applyAlignment="1">
      <alignment vertical="top"/>
    </xf>
    <xf numFmtId="169" fontId="51" fillId="9" borderId="81" xfId="7" applyNumberFormat="1" applyFont="1" applyFill="1" applyBorder="1" applyAlignment="1" applyProtection="1">
      <alignment horizontal="center" vertical="center"/>
      <protection locked="0"/>
    </xf>
    <xf numFmtId="0" fontId="32" fillId="0" borderId="0" xfId="7" quotePrefix="1" applyFont="1"/>
    <xf numFmtId="0" fontId="32" fillId="0" borderId="0" xfId="7" applyFont="1" applyAlignment="1">
      <alignment horizontal="left" vertical="center"/>
    </xf>
    <xf numFmtId="170" fontId="53" fillId="9" borderId="81" xfId="7" applyNumberFormat="1" applyFont="1" applyFill="1" applyBorder="1" applyAlignment="1" applyProtection="1">
      <alignment horizontal="center" vertical="center"/>
      <protection locked="0"/>
    </xf>
    <xf numFmtId="167" fontId="47" fillId="0" borderId="82" xfId="7" applyNumberFormat="1" applyFont="1" applyBorder="1" applyAlignment="1">
      <alignment horizontal="center" vertical="center"/>
    </xf>
    <xf numFmtId="167" fontId="50" fillId="0" borderId="15" xfId="7" applyNumberFormat="1" applyFont="1" applyBorder="1" applyAlignment="1">
      <alignment horizontal="center" vertical="center"/>
    </xf>
    <xf numFmtId="171" fontId="47" fillId="0" borderId="60" xfId="7" applyNumberFormat="1" applyFont="1" applyBorder="1" applyAlignment="1">
      <alignment horizontal="center" vertical="center"/>
    </xf>
    <xf numFmtId="172" fontId="54" fillId="0" borderId="82" xfId="7" applyNumberFormat="1" applyFont="1" applyBorder="1" applyAlignment="1">
      <alignment horizontal="center" vertical="center"/>
    </xf>
    <xf numFmtId="172" fontId="55" fillId="0" borderId="15" xfId="7" applyNumberFormat="1" applyFont="1" applyBorder="1" applyAlignment="1">
      <alignment horizontal="center" vertical="center"/>
    </xf>
    <xf numFmtId="171" fontId="47" fillId="0" borderId="0" xfId="7" applyNumberFormat="1" applyFont="1" applyAlignment="1">
      <alignment horizontal="center" vertical="center"/>
    </xf>
    <xf numFmtId="172" fontId="54" fillId="0" borderId="0" xfId="7" applyNumberFormat="1" applyFont="1" applyAlignment="1">
      <alignment horizontal="center" vertical="center"/>
    </xf>
    <xf numFmtId="172" fontId="55" fillId="0" borderId="0" xfId="7" applyNumberFormat="1" applyFont="1" applyAlignment="1">
      <alignment horizontal="center" vertical="center"/>
    </xf>
    <xf numFmtId="171" fontId="54" fillId="0" borderId="0" xfId="7" applyNumberFormat="1" applyFont="1" applyAlignment="1">
      <alignment horizontal="left" vertical="center"/>
    </xf>
    <xf numFmtId="0" fontId="43" fillId="0" borderId="0" xfId="7" applyFont="1"/>
    <xf numFmtId="0" fontId="47" fillId="0" borderId="0" xfId="7" applyFont="1"/>
    <xf numFmtId="0" fontId="43" fillId="0" borderId="0" xfId="7" applyFont="1" applyProtection="1">
      <protection locked="0"/>
    </xf>
    <xf numFmtId="1" fontId="8" fillId="0" borderId="0" xfId="7" applyNumberFormat="1" applyAlignment="1" applyProtection="1">
      <alignment horizontal="center"/>
      <protection locked="0"/>
    </xf>
    <xf numFmtId="0" fontId="8" fillId="0" borderId="0" xfId="7" applyAlignment="1" applyProtection="1">
      <alignment horizontal="center"/>
      <protection locked="0"/>
    </xf>
    <xf numFmtId="0" fontId="43" fillId="0" borderId="0" xfId="7" applyFont="1" applyAlignment="1" applyProtection="1">
      <alignment horizontal="center"/>
      <protection locked="0"/>
    </xf>
    <xf numFmtId="0" fontId="8" fillId="7" borderId="0" xfId="4" applyFill="1"/>
    <xf numFmtId="0" fontId="43" fillId="7" borderId="0" xfId="4" applyFont="1" applyFill="1"/>
    <xf numFmtId="0" fontId="8" fillId="0" borderId="0" xfId="4" applyProtection="1">
      <protection locked="0"/>
    </xf>
    <xf numFmtId="0" fontId="44" fillId="7" borderId="0" xfId="4" applyFont="1" applyFill="1"/>
    <xf numFmtId="0" fontId="44" fillId="0" borderId="0" xfId="4" applyFont="1"/>
    <xf numFmtId="1" fontId="45" fillId="0" borderId="0" xfId="4" applyNumberFormat="1" applyFont="1" applyAlignment="1">
      <alignment horizontal="centerContinuous" vertical="center"/>
    </xf>
    <xf numFmtId="1" fontId="46" fillId="0" borderId="0" xfId="4" applyNumberFormat="1" applyFont="1" applyAlignment="1">
      <alignment horizontal="centerContinuous" vertical="center"/>
    </xf>
    <xf numFmtId="0" fontId="44" fillId="0" borderId="0" xfId="4" applyFont="1" applyAlignment="1">
      <alignment horizontal="centerContinuous"/>
    </xf>
    <xf numFmtId="0" fontId="44" fillId="0" borderId="0" xfId="4" applyFont="1" applyProtection="1">
      <protection locked="0"/>
    </xf>
    <xf numFmtId="0" fontId="8" fillId="0" borderId="0" xfId="4" applyAlignment="1">
      <alignment horizontal="centerContinuous"/>
    </xf>
    <xf numFmtId="0" fontId="32" fillId="0" borderId="0" xfId="4" applyFont="1" applyAlignment="1">
      <alignment horizontal="centerContinuous" vertical="center"/>
    </xf>
    <xf numFmtId="0" fontId="48" fillId="0" borderId="0" xfId="4" applyFont="1" applyAlignment="1">
      <alignment horizontal="center" vertical="center"/>
    </xf>
    <xf numFmtId="0" fontId="8" fillId="0" borderId="0" xfId="4" applyAlignment="1">
      <alignment horizontal="centerContinuous" vertical="center"/>
    </xf>
    <xf numFmtId="168" fontId="32" fillId="0" borderId="0" xfId="4" applyNumberFormat="1" applyFont="1" applyAlignment="1">
      <alignment horizontal="center" vertical="center"/>
    </xf>
    <xf numFmtId="0" fontId="32" fillId="0" borderId="0" xfId="4" applyFont="1" applyAlignment="1">
      <alignment horizontal="center" vertical="center"/>
    </xf>
    <xf numFmtId="0" fontId="8" fillId="0" borderId="0" xfId="4" applyAlignment="1">
      <alignment horizontal="center"/>
    </xf>
    <xf numFmtId="0" fontId="43" fillId="0" borderId="0" xfId="4" applyFont="1" applyAlignment="1">
      <alignment horizontal="center"/>
    </xf>
    <xf numFmtId="0" fontId="49" fillId="7" borderId="0" xfId="4" applyFont="1" applyFill="1"/>
    <xf numFmtId="0" fontId="49" fillId="0" borderId="0" xfId="4" applyFont="1"/>
    <xf numFmtId="168" fontId="47" fillId="0" borderId="60" xfId="4" applyNumberFormat="1" applyFont="1" applyBorder="1" applyAlignment="1">
      <alignment horizontal="center" vertical="center"/>
    </xf>
    <xf numFmtId="0" fontId="47" fillId="0" borderId="0" xfId="4" applyFont="1" applyAlignment="1">
      <alignment horizontal="center" vertical="center"/>
    </xf>
    <xf numFmtId="1" fontId="47" fillId="0" borderId="60" xfId="4" applyNumberFormat="1" applyFont="1" applyBorder="1" applyAlignment="1">
      <alignment horizontal="center" vertical="center"/>
    </xf>
    <xf numFmtId="164" fontId="50" fillId="0" borderId="0" xfId="4" applyNumberFormat="1" applyFont="1" applyAlignment="1">
      <alignment horizontal="left" vertical="center"/>
    </xf>
    <xf numFmtId="0" fontId="47" fillId="0" borderId="0" xfId="4" applyFont="1" applyAlignment="1">
      <alignment vertical="center"/>
    </xf>
    <xf numFmtId="0" fontId="49" fillId="0" borderId="0" xfId="4" applyFont="1" applyAlignment="1">
      <alignment horizontal="centerContinuous" vertical="center"/>
    </xf>
    <xf numFmtId="0" fontId="49" fillId="0" borderId="0" xfId="4" applyFont="1" applyProtection="1">
      <protection locked="0"/>
    </xf>
    <xf numFmtId="168" fontId="8" fillId="8" borderId="29" xfId="4" applyNumberFormat="1" applyFill="1" applyBorder="1" applyAlignment="1">
      <alignment horizontal="center" vertical="center"/>
    </xf>
    <xf numFmtId="1" fontId="51" fillId="9" borderId="29" xfId="4" applyNumberFormat="1" applyFont="1" applyFill="1" applyBorder="1" applyAlignment="1" applyProtection="1">
      <alignment horizontal="center" vertical="center"/>
      <protection locked="0"/>
    </xf>
    <xf numFmtId="164" fontId="43" fillId="0" borderId="0" xfId="4" applyNumberFormat="1" applyFont="1" applyAlignment="1">
      <alignment horizontal="left" vertical="center"/>
    </xf>
    <xf numFmtId="0" fontId="32" fillId="0" borderId="0" xfId="4" applyFont="1" applyAlignment="1">
      <alignment vertical="center"/>
    </xf>
    <xf numFmtId="0" fontId="35" fillId="0" borderId="0" xfId="4" applyFont="1" applyAlignment="1">
      <alignment horizontal="center" vertical="center"/>
    </xf>
    <xf numFmtId="168" fontId="8" fillId="8" borderId="16" xfId="4" applyNumberFormat="1" applyFill="1" applyBorder="1" applyAlignment="1">
      <alignment horizontal="center" vertical="center"/>
    </xf>
    <xf numFmtId="1" fontId="51" fillId="9" borderId="16" xfId="4" applyNumberFormat="1" applyFont="1" applyFill="1" applyBorder="1" applyAlignment="1" applyProtection="1">
      <alignment horizontal="center" vertical="center"/>
      <protection locked="0"/>
    </xf>
    <xf numFmtId="168" fontId="8" fillId="0" borderId="0" xfId="4" applyNumberFormat="1" applyAlignment="1">
      <alignment horizontal="center"/>
    </xf>
    <xf numFmtId="0" fontId="49" fillId="0" borderId="0" xfId="4" applyFont="1" applyAlignment="1">
      <alignment horizontal="center"/>
    </xf>
    <xf numFmtId="0" fontId="49" fillId="0" borderId="0" xfId="4" applyFont="1" applyAlignment="1">
      <alignment vertical="center"/>
    </xf>
    <xf numFmtId="168" fontId="8" fillId="8" borderId="16" xfId="4" applyNumberFormat="1" applyFill="1" applyBorder="1" applyAlignment="1">
      <alignment horizontal="center"/>
    </xf>
    <xf numFmtId="168" fontId="8" fillId="8" borderId="29" xfId="4" applyNumberFormat="1" applyFill="1" applyBorder="1" applyAlignment="1">
      <alignment horizontal="center"/>
    </xf>
    <xf numFmtId="167" fontId="47" fillId="0" borderId="60" xfId="4" applyNumberFormat="1" applyFont="1" applyBorder="1" applyAlignment="1">
      <alignment horizontal="center" vertical="center"/>
    </xf>
    <xf numFmtId="164" fontId="50" fillId="0" borderId="13" xfId="4" applyNumberFormat="1" applyFont="1" applyBorder="1" applyAlignment="1">
      <alignment horizontal="left" vertical="center"/>
    </xf>
    <xf numFmtId="0" fontId="47" fillId="0" borderId="0" xfId="4" applyFont="1" applyAlignment="1">
      <alignment horizontal="left" vertical="center"/>
    </xf>
    <xf numFmtId="0" fontId="8" fillId="0" borderId="0" xfId="4" applyAlignment="1">
      <alignment vertical="top"/>
    </xf>
    <xf numFmtId="169" fontId="51" fillId="9" borderId="81" xfId="4" applyNumberFormat="1" applyFont="1" applyFill="1" applyBorder="1" applyAlignment="1" applyProtection="1">
      <alignment horizontal="center" vertical="center"/>
      <protection locked="0"/>
    </xf>
    <xf numFmtId="0" fontId="32" fillId="0" borderId="0" xfId="4" quotePrefix="1" applyFont="1"/>
    <xf numFmtId="0" fontId="32" fillId="0" borderId="0" xfId="4" applyFont="1" applyAlignment="1">
      <alignment horizontal="left" vertical="center"/>
    </xf>
    <xf numFmtId="170" fontId="53" fillId="9" borderId="81" xfId="4" applyNumberFormat="1" applyFont="1" applyFill="1" applyBorder="1" applyAlignment="1" applyProtection="1">
      <alignment horizontal="center" vertical="center"/>
      <protection locked="0"/>
    </xf>
    <xf numFmtId="167" fontId="47" fillId="0" borderId="82" xfId="4" applyNumberFormat="1" applyFont="1" applyBorder="1" applyAlignment="1">
      <alignment horizontal="center" vertical="center"/>
    </xf>
    <xf numFmtId="167" fontId="50" fillId="0" borderId="15" xfId="4" applyNumberFormat="1" applyFont="1" applyBorder="1" applyAlignment="1">
      <alignment horizontal="center" vertical="center"/>
    </xf>
    <xf numFmtId="171" fontId="47" fillId="0" borderId="60" xfId="4" applyNumberFormat="1" applyFont="1" applyBorder="1" applyAlignment="1">
      <alignment horizontal="center" vertical="center"/>
    </xf>
    <xf numFmtId="172" fontId="54" fillId="0" borderId="82" xfId="4" applyNumberFormat="1" applyFont="1" applyBorder="1" applyAlignment="1">
      <alignment horizontal="center" vertical="center"/>
    </xf>
    <xf numFmtId="172" fontId="55" fillId="0" borderId="15" xfId="4" applyNumberFormat="1" applyFont="1" applyBorder="1" applyAlignment="1">
      <alignment horizontal="center" vertical="center"/>
    </xf>
    <xf numFmtId="171" fontId="47" fillId="0" borderId="0" xfId="4" applyNumberFormat="1" applyFont="1" applyAlignment="1">
      <alignment horizontal="center" vertical="center"/>
    </xf>
    <xf numFmtId="172" fontId="54" fillId="0" borderId="0" xfId="4" applyNumberFormat="1" applyFont="1" applyAlignment="1">
      <alignment horizontal="center" vertical="center"/>
    </xf>
    <xf numFmtId="172" fontId="55" fillId="0" borderId="0" xfId="4" applyNumberFormat="1" applyFont="1" applyAlignment="1">
      <alignment horizontal="center" vertical="center"/>
    </xf>
    <xf numFmtId="171" fontId="54" fillId="0" borderId="0" xfId="4" applyNumberFormat="1" applyFont="1" applyAlignment="1">
      <alignment horizontal="left" vertical="center"/>
    </xf>
    <xf numFmtId="171" fontId="47" fillId="0" borderId="0" xfId="4" applyNumberFormat="1" applyFont="1" applyAlignment="1">
      <alignment horizontal="left" vertical="center"/>
    </xf>
    <xf numFmtId="0" fontId="47" fillId="0" borderId="0" xfId="4" applyFont="1"/>
    <xf numFmtId="0" fontId="43" fillId="0" borderId="0" xfId="4" applyFont="1"/>
    <xf numFmtId="0" fontId="43" fillId="0" borderId="0" xfId="4" applyFont="1" applyProtection="1">
      <protection locked="0"/>
    </xf>
    <xf numFmtId="1" fontId="8" fillId="0" borderId="0" xfId="4" applyNumberFormat="1" applyAlignment="1" applyProtection="1">
      <alignment horizontal="center"/>
      <protection locked="0"/>
    </xf>
    <xf numFmtId="0" fontId="8" fillId="0" borderId="0" xfId="4" applyAlignment="1" applyProtection="1">
      <alignment horizontal="center"/>
      <protection locked="0"/>
    </xf>
    <xf numFmtId="0" fontId="43" fillId="0" borderId="0" xfId="4" applyFont="1" applyAlignment="1" applyProtection="1">
      <alignment horizontal="center"/>
      <protection locked="0"/>
    </xf>
    <xf numFmtId="0" fontId="31" fillId="0" borderId="0" xfId="7" applyFont="1"/>
    <xf numFmtId="0" fontId="31" fillId="0" borderId="0" xfId="7" applyFont="1" applyProtection="1">
      <protection hidden="1"/>
    </xf>
    <xf numFmtId="10" fontId="31" fillId="0" borderId="0" xfId="7" applyNumberFormat="1" applyFont="1" applyProtection="1">
      <protection hidden="1"/>
    </xf>
    <xf numFmtId="0" fontId="8" fillId="0" borderId="0" xfId="7" applyProtection="1">
      <protection hidden="1"/>
    </xf>
    <xf numFmtId="10" fontId="8" fillId="0" borderId="0" xfId="7" applyNumberFormat="1" applyProtection="1">
      <protection hidden="1"/>
    </xf>
    <xf numFmtId="0" fontId="33" fillId="0" borderId="0" xfId="7" applyFont="1" applyAlignment="1">
      <alignment horizontal="left" vertical="top"/>
    </xf>
    <xf numFmtId="0" fontId="33" fillId="0" borderId="0" xfId="7" applyFont="1" applyAlignment="1" applyProtection="1">
      <alignment horizontal="left" vertical="top"/>
      <protection hidden="1"/>
    </xf>
    <xf numFmtId="10" fontId="33" fillId="0" borderId="0" xfId="7" applyNumberFormat="1" applyFont="1" applyAlignment="1" applyProtection="1">
      <alignment horizontal="left" vertical="top"/>
      <protection hidden="1"/>
    </xf>
    <xf numFmtId="0" fontId="33" fillId="0" borderId="0" xfId="7" applyFont="1" applyAlignment="1">
      <alignment horizontal="left" vertical="center"/>
    </xf>
    <xf numFmtId="0" fontId="33" fillId="0" borderId="0" xfId="7" applyFont="1" applyAlignment="1" applyProtection="1">
      <alignment horizontal="left" vertical="center"/>
      <protection hidden="1"/>
    </xf>
    <xf numFmtId="10" fontId="33" fillId="0" borderId="0" xfId="7" applyNumberFormat="1" applyFont="1" applyAlignment="1" applyProtection="1">
      <alignment horizontal="left" vertical="center"/>
      <protection hidden="1"/>
    </xf>
    <xf numFmtId="0" fontId="31" fillId="0" borderId="0" xfId="7" applyFont="1" applyAlignment="1" applyProtection="1">
      <alignment vertical="center"/>
      <protection hidden="1"/>
    </xf>
    <xf numFmtId="0" fontId="8" fillId="0" borderId="0" xfId="7" applyAlignment="1" applyProtection="1">
      <alignment vertical="center"/>
      <protection hidden="1"/>
    </xf>
    <xf numFmtId="0" fontId="8" fillId="0" borderId="51" xfId="7" applyBorder="1" applyAlignment="1" applyProtection="1">
      <alignment horizontal="right" vertical="center"/>
      <protection hidden="1"/>
    </xf>
    <xf numFmtId="0" fontId="8" fillId="0" borderId="8" xfId="7" applyBorder="1" applyAlignment="1" applyProtection="1">
      <alignment vertical="center"/>
      <protection hidden="1"/>
    </xf>
    <xf numFmtId="0" fontId="8" fillId="5" borderId="0" xfId="7" applyFill="1" applyAlignment="1" applyProtection="1">
      <alignment vertical="center"/>
      <protection hidden="1"/>
    </xf>
    <xf numFmtId="0" fontId="33" fillId="0" borderId="0" xfId="7" applyFont="1" applyAlignment="1">
      <alignment horizontal="center" vertical="center"/>
    </xf>
    <xf numFmtId="10" fontId="31" fillId="0" borderId="0" xfId="7" applyNumberFormat="1" applyFont="1" applyAlignment="1" applyProtection="1">
      <alignment horizontal="left" vertical="center"/>
      <protection hidden="1"/>
    </xf>
    <xf numFmtId="0" fontId="31" fillId="0" borderId="0" xfId="7" applyFont="1" applyAlignment="1" applyProtection="1">
      <alignment horizontal="left" vertical="center"/>
      <protection hidden="1"/>
    </xf>
    <xf numFmtId="9" fontId="8" fillId="0" borderId="0" xfId="7" applyNumberFormat="1" applyAlignment="1" applyProtection="1">
      <alignment vertical="center"/>
      <protection hidden="1"/>
    </xf>
    <xf numFmtId="0" fontId="8" fillId="0" borderId="55" xfId="7" applyBorder="1" applyAlignment="1" applyProtection="1">
      <alignment vertical="center"/>
      <protection hidden="1"/>
    </xf>
    <xf numFmtId="0" fontId="8" fillId="0" borderId="54" xfId="7" applyBorder="1" applyAlignment="1" applyProtection="1">
      <alignment vertical="center"/>
      <protection hidden="1"/>
    </xf>
    <xf numFmtId="0" fontId="8" fillId="0" borderId="53" xfId="7" applyBorder="1" applyAlignment="1" applyProtection="1">
      <alignment vertical="center"/>
      <protection hidden="1"/>
    </xf>
    <xf numFmtId="0" fontId="8" fillId="0" borderId="54" xfId="7" applyBorder="1" applyAlignment="1" applyProtection="1">
      <alignment horizontal="left" vertical="center"/>
      <protection hidden="1"/>
    </xf>
    <xf numFmtId="0" fontId="8" fillId="0" borderId="58" xfId="7" applyBorder="1" applyAlignment="1" applyProtection="1">
      <alignment horizontal="left" vertical="center"/>
      <protection hidden="1"/>
    </xf>
    <xf numFmtId="0" fontId="35" fillId="0" borderId="60" xfId="7" applyFont="1" applyBorder="1" applyAlignment="1">
      <alignment horizontal="center" wrapText="1"/>
    </xf>
    <xf numFmtId="0" fontId="35" fillId="0" borderId="9" xfId="7" applyFont="1" applyBorder="1" applyAlignment="1">
      <alignment horizontal="center" wrapText="1"/>
    </xf>
    <xf numFmtId="0" fontId="35" fillId="0" borderId="4" xfId="7" applyFont="1" applyBorder="1" applyAlignment="1">
      <alignment horizontal="center" wrapText="1"/>
    </xf>
    <xf numFmtId="0" fontId="35" fillId="0" borderId="3" xfId="7" applyFont="1" applyBorder="1" applyAlignment="1">
      <alignment horizontal="center" wrapText="1"/>
    </xf>
    <xf numFmtId="0" fontId="35" fillId="0" borderId="10" xfId="7" applyFont="1" applyBorder="1" applyAlignment="1">
      <alignment horizontal="center" wrapText="1"/>
    </xf>
    <xf numFmtId="0" fontId="8" fillId="0" borderId="0" xfId="7" applyAlignment="1" applyProtection="1">
      <alignment wrapText="1"/>
      <protection hidden="1"/>
    </xf>
    <xf numFmtId="10" fontId="31" fillId="0" borderId="57" xfId="7" applyNumberFormat="1" applyFont="1" applyBorder="1" applyAlignment="1" applyProtection="1">
      <alignment horizontal="center" vertical="center" wrapText="1"/>
      <protection hidden="1"/>
    </xf>
    <xf numFmtId="0" fontId="31" fillId="0" borderId="0" xfId="7" applyFont="1" applyAlignment="1" applyProtection="1">
      <alignment horizontal="center" vertical="center" wrapText="1"/>
      <protection hidden="1"/>
    </xf>
    <xf numFmtId="0" fontId="35" fillId="0" borderId="0" xfId="7" applyFont="1" applyAlignment="1" applyProtection="1">
      <alignment horizontal="center" vertical="center" wrapText="1"/>
      <protection hidden="1"/>
    </xf>
    <xf numFmtId="0" fontId="31" fillId="0" borderId="55" xfId="7" applyFont="1" applyBorder="1" applyAlignment="1" applyProtection="1">
      <alignment horizontal="center" vertical="center" wrapText="1"/>
      <protection hidden="1"/>
    </xf>
    <xf numFmtId="0" fontId="31" fillId="0" borderId="53" xfId="7" applyFont="1" applyBorder="1" applyAlignment="1" applyProtection="1">
      <alignment horizontal="center" vertical="center" wrapText="1"/>
      <protection hidden="1"/>
    </xf>
    <xf numFmtId="0" fontId="31" fillId="0" borderId="54" xfId="7" applyFont="1" applyBorder="1" applyAlignment="1" applyProtection="1">
      <alignment horizontal="center" vertical="center" wrapText="1"/>
      <protection hidden="1"/>
    </xf>
    <xf numFmtId="0" fontId="8" fillId="6" borderId="57" xfId="7" applyFill="1" applyBorder="1" applyAlignment="1" applyProtection="1">
      <alignment wrapText="1"/>
      <protection hidden="1"/>
    </xf>
    <xf numFmtId="0" fontId="8" fillId="6" borderId="51" xfId="7" applyFill="1" applyBorder="1" applyAlignment="1" applyProtection="1">
      <alignment wrapText="1"/>
      <protection hidden="1"/>
    </xf>
    <xf numFmtId="0" fontId="8" fillId="6" borderId="0" xfId="7" applyFill="1" applyAlignment="1" applyProtection="1">
      <alignment wrapText="1"/>
      <protection hidden="1"/>
    </xf>
    <xf numFmtId="0" fontId="8" fillId="5" borderId="57" xfId="7" applyFill="1" applyBorder="1" applyAlignment="1" applyProtection="1">
      <alignment wrapText="1"/>
      <protection hidden="1"/>
    </xf>
    <xf numFmtId="0" fontId="8" fillId="5" borderId="0" xfId="7" applyFill="1" applyAlignment="1" applyProtection="1">
      <alignment wrapText="1"/>
      <protection hidden="1"/>
    </xf>
    <xf numFmtId="0" fontId="8" fillId="5" borderId="51" xfId="7" applyFill="1" applyBorder="1" applyAlignment="1" applyProtection="1">
      <alignment wrapText="1"/>
      <protection hidden="1"/>
    </xf>
    <xf numFmtId="0" fontId="8" fillId="5" borderId="62" xfId="7" applyFill="1" applyBorder="1" applyAlignment="1" applyProtection="1">
      <alignment wrapText="1"/>
      <protection hidden="1"/>
    </xf>
    <xf numFmtId="0" fontId="31" fillId="0" borderId="63" xfId="7" applyFont="1" applyBorder="1"/>
    <xf numFmtId="1" fontId="31" fillId="0" borderId="66" xfId="7" applyNumberFormat="1" applyFont="1" applyBorder="1" applyAlignment="1">
      <alignment horizontal="center" vertical="center" wrapText="1"/>
    </xf>
    <xf numFmtId="1" fontId="31" fillId="0" borderId="8" xfId="7" applyNumberFormat="1" applyFont="1" applyBorder="1" applyAlignment="1">
      <alignment horizontal="center" vertical="center" wrapText="1"/>
    </xf>
    <xf numFmtId="1" fontId="31" fillId="0" borderId="11" xfId="7" applyNumberFormat="1" applyFont="1" applyBorder="1" applyAlignment="1">
      <alignment horizontal="center" vertical="center" wrapText="1"/>
    </xf>
    <xf numFmtId="1" fontId="34" fillId="0" borderId="12" xfId="7" applyNumberFormat="1" applyFont="1" applyBorder="1" applyAlignment="1">
      <alignment horizontal="center" wrapText="1"/>
    </xf>
    <xf numFmtId="1" fontId="34" fillId="0" borderId="11" xfId="7" applyNumberFormat="1" applyFont="1" applyBorder="1" applyAlignment="1">
      <alignment horizontal="center" wrapText="1"/>
    </xf>
    <xf numFmtId="0" fontId="8" fillId="0" borderId="57" xfId="7" applyBorder="1" applyAlignment="1" applyProtection="1">
      <alignment horizontal="center" vertical="center"/>
      <protection hidden="1"/>
    </xf>
    <xf numFmtId="0" fontId="8" fillId="0" borderId="57" xfId="7" applyBorder="1" applyAlignment="1" applyProtection="1">
      <alignment horizontal="center"/>
      <protection hidden="1"/>
    </xf>
    <xf numFmtId="0" fontId="8" fillId="0" borderId="51" xfId="7" applyBorder="1" applyAlignment="1" applyProtection="1">
      <alignment horizontal="center"/>
      <protection hidden="1"/>
    </xf>
    <xf numFmtId="0" fontId="8" fillId="0" borderId="0" xfId="7" applyAlignment="1" applyProtection="1">
      <alignment horizontal="center" vertical="center"/>
      <protection hidden="1"/>
    </xf>
    <xf numFmtId="0" fontId="8" fillId="0" borderId="62" xfId="7" applyBorder="1" applyAlignment="1" applyProtection="1">
      <alignment horizontal="center"/>
      <protection hidden="1"/>
    </xf>
    <xf numFmtId="1" fontId="8" fillId="0" borderId="0" xfId="7" applyNumberFormat="1" applyAlignment="1" applyProtection="1">
      <alignment horizontal="center"/>
      <protection hidden="1"/>
    </xf>
    <xf numFmtId="0" fontId="36" fillId="0" borderId="0" xfId="7" applyFont="1" applyAlignment="1">
      <alignment horizontal="left" vertical="center"/>
    </xf>
    <xf numFmtId="0" fontId="35" fillId="0" borderId="0" xfId="7" applyFont="1"/>
    <xf numFmtId="0" fontId="31" fillId="0" borderId="63" xfId="7" applyFont="1" applyBorder="1" applyAlignment="1">
      <alignment vertical="center"/>
    </xf>
    <xf numFmtId="1" fontId="31" fillId="0" borderId="67" xfId="7" applyNumberFormat="1" applyFont="1" applyBorder="1" applyAlignment="1">
      <alignment horizontal="center" vertical="center" wrapText="1"/>
    </xf>
    <xf numFmtId="1" fontId="34" fillId="0" borderId="1" xfId="7" applyNumberFormat="1" applyFont="1" applyBorder="1" applyAlignment="1" applyProtection="1">
      <alignment horizontal="center" wrapText="1"/>
      <protection locked="0"/>
    </xf>
    <xf numFmtId="1" fontId="34" fillId="0" borderId="67" xfId="7" applyNumberFormat="1" applyFont="1" applyBorder="1" applyAlignment="1" applyProtection="1">
      <alignment horizontal="center" vertical="center" wrapText="1"/>
      <protection locked="0"/>
    </xf>
    <xf numFmtId="0" fontId="36" fillId="0" borderId="0" xfId="7" applyFont="1" applyAlignment="1">
      <alignment horizontal="center" vertical="center"/>
    </xf>
    <xf numFmtId="0" fontId="35" fillId="0" borderId="0" xfId="7" applyFont="1" applyAlignment="1">
      <alignment horizontal="left" vertical="center"/>
    </xf>
    <xf numFmtId="1" fontId="34" fillId="0" borderId="68" xfId="7" applyNumberFormat="1" applyFont="1" applyBorder="1" applyAlignment="1" applyProtection="1">
      <alignment horizontal="center" vertical="center" wrapText="1"/>
      <protection locked="0"/>
    </xf>
    <xf numFmtId="1" fontId="34" fillId="0" borderId="68" xfId="7" applyNumberFormat="1" applyFont="1" applyBorder="1" applyAlignment="1">
      <alignment horizontal="center" vertical="center" wrapText="1"/>
    </xf>
    <xf numFmtId="1" fontId="34" fillId="0" borderId="67" xfId="7" applyNumberFormat="1" applyFont="1" applyBorder="1" applyAlignment="1">
      <alignment horizontal="center" vertical="center" wrapText="1"/>
    </xf>
    <xf numFmtId="0" fontId="36" fillId="0" borderId="0" xfId="7" applyFont="1" applyAlignment="1">
      <alignment vertical="center"/>
    </xf>
    <xf numFmtId="0" fontId="35" fillId="0" borderId="0" xfId="7" applyFont="1" applyAlignment="1">
      <alignment vertical="center"/>
    </xf>
    <xf numFmtId="1" fontId="31" fillId="0" borderId="69" xfId="7" applyNumberFormat="1" applyFont="1" applyBorder="1" applyAlignment="1">
      <alignment horizontal="center" vertical="center" wrapText="1"/>
    </xf>
    <xf numFmtId="1" fontId="31" fillId="0" borderId="70" xfId="7" applyNumberFormat="1" applyFont="1" applyBorder="1" applyAlignment="1">
      <alignment horizontal="center" vertical="center" wrapText="1"/>
    </xf>
    <xf numFmtId="1" fontId="34" fillId="0" borderId="71" xfId="7" applyNumberFormat="1" applyFont="1" applyBorder="1" applyAlignment="1">
      <alignment horizontal="center" vertical="center" wrapText="1"/>
    </xf>
    <xf numFmtId="1" fontId="34" fillId="0" borderId="70" xfId="7" applyNumberFormat="1" applyFont="1" applyBorder="1" applyAlignment="1">
      <alignment horizontal="center" vertical="center" wrapText="1"/>
    </xf>
    <xf numFmtId="0" fontId="33" fillId="0" borderId="68" xfId="7" applyFont="1" applyBorder="1" applyAlignment="1">
      <alignment vertical="top"/>
    </xf>
    <xf numFmtId="0" fontId="33" fillId="0" borderId="16" xfId="7" applyFont="1" applyBorder="1" applyAlignment="1">
      <alignment vertical="top"/>
    </xf>
    <xf numFmtId="0" fontId="33" fillId="0" borderId="75" xfId="7" applyFont="1" applyBorder="1" applyAlignment="1">
      <alignment vertical="top"/>
    </xf>
    <xf numFmtId="0" fontId="37" fillId="0" borderId="0" xfId="7" applyFont="1" applyAlignment="1">
      <alignment horizontal="left" vertical="top"/>
    </xf>
    <xf numFmtId="10" fontId="33" fillId="0" borderId="57" xfId="7" applyNumberFormat="1" applyFont="1" applyBorder="1" applyAlignment="1" applyProtection="1">
      <alignment horizontal="left" vertical="top"/>
      <protection hidden="1"/>
    </xf>
    <xf numFmtId="0" fontId="33" fillId="0" borderId="57" xfId="7" applyFont="1" applyBorder="1" applyAlignment="1" applyProtection="1">
      <alignment horizontal="left" vertical="top"/>
      <protection hidden="1"/>
    </xf>
    <xf numFmtId="0" fontId="33" fillId="0" borderId="51" xfId="7" applyFont="1" applyBorder="1" applyAlignment="1" applyProtection="1">
      <alignment horizontal="left" vertical="top"/>
      <protection hidden="1"/>
    </xf>
    <xf numFmtId="0" fontId="32" fillId="0" borderId="77" xfId="7" quotePrefix="1" applyFont="1" applyBorder="1" applyAlignment="1">
      <alignment horizontal="center" vertical="center"/>
    </xf>
    <xf numFmtId="0" fontId="32" fillId="0" borderId="21" xfId="7" applyFont="1" applyBorder="1" applyAlignment="1" applyProtection="1">
      <alignment horizontal="center" vertical="center"/>
      <protection locked="0"/>
    </xf>
    <xf numFmtId="0" fontId="39" fillId="0" borderId="0" xfId="7" applyFont="1"/>
    <xf numFmtId="0" fontId="39" fillId="0" borderId="0" xfId="7" applyFont="1" applyProtection="1">
      <protection hidden="1"/>
    </xf>
    <xf numFmtId="0" fontId="8" fillId="0" borderId="57" xfId="7" applyBorder="1" applyProtection="1">
      <protection hidden="1"/>
    </xf>
    <xf numFmtId="167" fontId="31" fillId="0" borderId="0" xfId="7" applyNumberFormat="1" applyFont="1" applyProtection="1">
      <protection hidden="1"/>
    </xf>
    <xf numFmtId="0" fontId="31" fillId="0" borderId="57" xfId="7" applyFont="1" applyBorder="1" applyProtection="1">
      <protection hidden="1"/>
    </xf>
    <xf numFmtId="0" fontId="40" fillId="0" borderId="0" xfId="7" applyFont="1" applyProtection="1">
      <protection hidden="1"/>
    </xf>
    <xf numFmtId="0" fontId="8" fillId="0" borderId="0" xfId="7" applyAlignment="1" applyProtection="1">
      <alignment horizontal="right" vertical="center"/>
      <protection hidden="1"/>
    </xf>
    <xf numFmtId="0" fontId="41" fillId="0" borderId="0" xfId="7" applyFont="1" applyAlignment="1" applyProtection="1">
      <alignment horizontal="center" vertical="top" wrapText="1"/>
      <protection hidden="1"/>
    </xf>
    <xf numFmtId="9" fontId="8" fillId="0" borderId="0" xfId="7" applyNumberFormat="1" applyProtection="1">
      <protection hidden="1"/>
    </xf>
    <xf numFmtId="167" fontId="8" fillId="0" borderId="0" xfId="7" applyNumberFormat="1" applyProtection="1">
      <protection hidden="1"/>
    </xf>
    <xf numFmtId="1" fontId="8" fillId="0" borderId="0" xfId="7" applyNumberFormat="1"/>
    <xf numFmtId="0" fontId="8" fillId="0" borderId="0" xfId="7" applyAlignment="1" applyProtection="1">
      <alignment horizontal="right"/>
      <protection hidden="1"/>
    </xf>
    <xf numFmtId="0" fontId="42" fillId="0" borderId="0" xfId="7" applyFont="1" applyAlignment="1" applyProtection="1">
      <alignment horizontal="center" wrapText="1"/>
      <protection hidden="1"/>
    </xf>
    <xf numFmtId="0" fontId="41" fillId="0" borderId="0" xfId="7" applyFont="1" applyAlignment="1" applyProtection="1">
      <alignment horizontal="center" wrapText="1"/>
      <protection hidden="1"/>
    </xf>
    <xf numFmtId="167" fontId="35" fillId="0" borderId="0" xfId="7" applyNumberFormat="1" applyFont="1" applyProtection="1">
      <protection hidden="1"/>
    </xf>
    <xf numFmtId="49" fontId="31" fillId="0" borderId="0" xfId="7" applyNumberFormat="1" applyFont="1" applyProtection="1">
      <protection hidden="1"/>
    </xf>
    <xf numFmtId="0" fontId="32" fillId="0" borderId="21" xfId="4" applyFont="1" applyBorder="1" applyAlignment="1" applyProtection="1">
      <alignment horizontal="center" vertical="center"/>
      <protection locked="0"/>
    </xf>
    <xf numFmtId="0" fontId="44" fillId="0" borderId="0" xfId="4" applyFont="1" applyAlignment="1">
      <alignment horizontal="centerContinuous" vertical="center"/>
    </xf>
    <xf numFmtId="0" fontId="44" fillId="7" borderId="0" xfId="4" applyFont="1" applyFill="1" applyAlignment="1">
      <alignment horizontal="left"/>
    </xf>
    <xf numFmtId="1" fontId="61" fillId="0" borderId="0" xfId="4" applyNumberFormat="1" applyFont="1" applyAlignment="1">
      <alignment horizontal="centerContinuous" vertical="center"/>
    </xf>
    <xf numFmtId="0" fontId="8" fillId="7" borderId="0" xfId="4" applyFill="1" applyAlignment="1">
      <alignment horizontal="centerContinuous"/>
    </xf>
    <xf numFmtId="0" fontId="49" fillId="7" borderId="0" xfId="4" applyFont="1" applyFill="1" applyAlignment="1">
      <alignment vertical="center"/>
    </xf>
    <xf numFmtId="0" fontId="8" fillId="0" borderId="0" xfId="4" applyAlignment="1">
      <alignment horizontal="left"/>
    </xf>
    <xf numFmtId="9" fontId="47" fillId="0" borderId="60" xfId="4" applyNumberFormat="1" applyFont="1" applyBorder="1" applyAlignment="1">
      <alignment horizontal="center" vertical="center"/>
    </xf>
    <xf numFmtId="9" fontId="8" fillId="8" borderId="30" xfId="4" applyNumberFormat="1" applyFill="1" applyBorder="1" applyAlignment="1">
      <alignment horizontal="center" vertical="center"/>
    </xf>
    <xf numFmtId="9" fontId="8" fillId="8" borderId="16" xfId="4" applyNumberFormat="1" applyFill="1" applyBorder="1" applyAlignment="1">
      <alignment horizontal="center" vertical="center"/>
    </xf>
    <xf numFmtId="0" fontId="32" fillId="0" borderId="0" xfId="4" applyFont="1"/>
    <xf numFmtId="0" fontId="62" fillId="0" borderId="0" xfId="4" applyFont="1"/>
    <xf numFmtId="9" fontId="8" fillId="0" borderId="0" xfId="4" applyNumberFormat="1" applyAlignment="1">
      <alignment horizontal="center" vertical="center"/>
    </xf>
    <xf numFmtId="1" fontId="51" fillId="0" borderId="0" xfId="4" applyNumberFormat="1" applyFont="1" applyAlignment="1">
      <alignment horizontal="center" vertical="center"/>
    </xf>
    <xf numFmtId="0" fontId="54" fillId="0" borderId="0" xfId="4" applyFont="1" applyAlignment="1">
      <alignment vertical="center"/>
    </xf>
    <xf numFmtId="0" fontId="13" fillId="0" borderId="0" xfId="3" applyFont="1" applyBorder="1" applyAlignment="1" applyProtection="1"/>
    <xf numFmtId="0" fontId="63" fillId="0" borderId="0" xfId="10" applyFont="1"/>
    <xf numFmtId="0" fontId="5" fillId="0" borderId="0" xfId="10"/>
    <xf numFmtId="1" fontId="45" fillId="0" borderId="0" xfId="4" applyNumberFormat="1" applyFont="1" applyAlignment="1">
      <alignment horizontal="center" vertical="center"/>
    </xf>
    <xf numFmtId="1" fontId="35" fillId="0" borderId="0" xfId="4" applyNumberFormat="1" applyFont="1" applyAlignment="1">
      <alignment horizontal="center" vertical="center"/>
    </xf>
    <xf numFmtId="0" fontId="32" fillId="2" borderId="0" xfId="4" applyFont="1" applyFill="1" applyAlignment="1">
      <alignment vertical="center"/>
    </xf>
    <xf numFmtId="1" fontId="51" fillId="10" borderId="29" xfId="4" applyNumberFormat="1" applyFont="1" applyFill="1" applyBorder="1" applyAlignment="1" applyProtection="1">
      <alignment horizontal="center" vertical="center"/>
      <protection locked="0"/>
    </xf>
    <xf numFmtId="49" fontId="33" fillId="0" borderId="62" xfId="4" applyNumberFormat="1" applyFont="1" applyBorder="1" applyAlignment="1">
      <alignment horizontal="left" vertical="top"/>
    </xf>
    <xf numFmtId="0" fontId="8" fillId="0" borderId="0" xfId="4" applyAlignment="1" applyProtection="1">
      <alignment horizontal="center"/>
      <protection hidden="1"/>
    </xf>
    <xf numFmtId="49" fontId="33" fillId="0" borderId="62" xfId="7" applyNumberFormat="1" applyFont="1" applyBorder="1" applyAlignment="1">
      <alignment horizontal="left" vertical="top"/>
    </xf>
    <xf numFmtId="0" fontId="8" fillId="0" borderId="0" xfId="7" applyAlignment="1" applyProtection="1">
      <alignment horizontal="center"/>
      <protection hidden="1"/>
    </xf>
    <xf numFmtId="0" fontId="4" fillId="0" borderId="23" xfId="12" applyBorder="1" applyAlignment="1">
      <alignment horizontal="right" vertical="center"/>
    </xf>
    <xf numFmtId="0" fontId="63" fillId="0" borderId="60" xfId="12" applyFont="1" applyBorder="1" applyAlignment="1" applyProtection="1">
      <alignment horizontal="left" vertical="center"/>
      <protection locked="0"/>
    </xf>
    <xf numFmtId="165" fontId="63" fillId="0" borderId="60" xfId="12" applyNumberFormat="1" applyFont="1" applyBorder="1" applyAlignment="1" applyProtection="1">
      <alignment horizontal="left" vertical="center"/>
      <protection locked="0"/>
    </xf>
    <xf numFmtId="0" fontId="4" fillId="0" borderId="24" xfId="12" applyBorder="1" applyAlignment="1">
      <alignment horizontal="left" vertical="center"/>
    </xf>
    <xf numFmtId="0" fontId="4" fillId="0" borderId="25" xfId="12" applyBorder="1" applyAlignment="1">
      <alignment horizontal="left" vertical="center"/>
    </xf>
    <xf numFmtId="0" fontId="4" fillId="0" borderId="0" xfId="12"/>
    <xf numFmtId="0" fontId="4" fillId="0" borderId="31" xfId="12" applyBorder="1" applyAlignment="1">
      <alignment horizontal="right" vertical="center"/>
    </xf>
    <xf numFmtId="0" fontId="11" fillId="0" borderId="60" xfId="12" applyFont="1" applyBorder="1" applyAlignment="1">
      <alignment horizontal="right" vertical="center"/>
    </xf>
    <xf numFmtId="10" fontId="67" fillId="0" borderId="60" xfId="12" applyNumberFormat="1" applyFont="1" applyBorder="1" applyAlignment="1" applyProtection="1">
      <alignment horizontal="left" vertical="center"/>
      <protection locked="0"/>
    </xf>
    <xf numFmtId="0" fontId="63" fillId="4" borderId="68" xfId="12" applyFont="1" applyFill="1" applyBorder="1"/>
    <xf numFmtId="164" fontId="4" fillId="0" borderId="49" xfId="12" applyNumberFormat="1" applyBorder="1" applyProtection="1">
      <protection locked="0"/>
    </xf>
    <xf numFmtId="0" fontId="4" fillId="0" borderId="23" xfId="12" applyBorder="1" applyAlignment="1">
      <alignment vertical="top"/>
    </xf>
    <xf numFmtId="0" fontId="4" fillId="0" borderId="24" xfId="12" applyBorder="1"/>
    <xf numFmtId="0" fontId="4" fillId="0" borderId="25" xfId="12" applyBorder="1"/>
    <xf numFmtId="0" fontId="4" fillId="0" borderId="68" xfId="12" applyBorder="1"/>
    <xf numFmtId="164" fontId="4" fillId="0" borderId="17" xfId="12" applyNumberFormat="1" applyBorder="1" applyAlignment="1" applyProtection="1">
      <alignment horizontal="center" vertical="center"/>
      <protection locked="0"/>
    </xf>
    <xf numFmtId="0" fontId="4" fillId="0" borderId="13" xfId="12" applyBorder="1" applyAlignment="1">
      <alignment vertical="top"/>
    </xf>
    <xf numFmtId="0" fontId="4" fillId="0" borderId="0" xfId="12" applyAlignment="1">
      <alignment vertical="top"/>
    </xf>
    <xf numFmtId="0" fontId="4" fillId="0" borderId="42" xfId="12" applyBorder="1" applyAlignment="1">
      <alignment vertical="top"/>
    </xf>
    <xf numFmtId="0" fontId="4" fillId="0" borderId="71" xfId="12" applyBorder="1"/>
    <xf numFmtId="164" fontId="4" fillId="0" borderId="39" xfId="12" applyNumberFormat="1" applyBorder="1" applyAlignment="1" applyProtection="1">
      <alignment horizontal="center" vertical="center"/>
      <protection locked="0"/>
    </xf>
    <xf numFmtId="0" fontId="4" fillId="0" borderId="26" xfId="12" applyBorder="1" applyAlignment="1">
      <alignment vertical="top"/>
    </xf>
    <xf numFmtId="0" fontId="4" fillId="0" borderId="27" xfId="12" applyBorder="1" applyAlignment="1">
      <alignment vertical="top"/>
    </xf>
    <xf numFmtId="0" fontId="4" fillId="0" borderId="28" xfId="12" applyBorder="1" applyAlignment="1">
      <alignment vertical="top"/>
    </xf>
    <xf numFmtId="1" fontId="34" fillId="0" borderId="1" xfId="4" applyNumberFormat="1" applyFont="1" applyBorder="1" applyAlignment="1">
      <alignment horizontal="center" wrapText="1"/>
    </xf>
    <xf numFmtId="10" fontId="28" fillId="0" borderId="16" xfId="0" applyNumberFormat="1" applyFont="1" applyBorder="1" applyAlignment="1">
      <alignment horizontal="center"/>
    </xf>
    <xf numFmtId="10" fontId="0" fillId="0" borderId="16" xfId="0" applyNumberFormat="1" applyBorder="1" applyAlignment="1">
      <alignment horizontal="center"/>
    </xf>
    <xf numFmtId="0" fontId="13" fillId="0" borderId="0" xfId="3" applyFont="1" applyBorder="1" applyAlignment="1" applyProtection="1">
      <protection locked="0"/>
    </xf>
    <xf numFmtId="1" fontId="34" fillId="0" borderId="71" xfId="4" applyNumberFormat="1" applyFont="1" applyBorder="1" applyAlignment="1" applyProtection="1">
      <alignment horizontal="center" vertical="center" wrapText="1"/>
      <protection locked="0"/>
    </xf>
    <xf numFmtId="1" fontId="34" fillId="0" borderId="70" xfId="4" applyNumberFormat="1" applyFont="1" applyBorder="1" applyAlignment="1" applyProtection="1">
      <alignment horizontal="center" vertical="center" wrapText="1"/>
      <protection locked="0"/>
    </xf>
    <xf numFmtId="0" fontId="31" fillId="0" borderId="0" xfId="13" applyFont="1"/>
    <xf numFmtId="0" fontId="31" fillId="0" borderId="0" xfId="13" applyFont="1" applyProtection="1">
      <protection hidden="1"/>
    </xf>
    <xf numFmtId="10" fontId="31" fillId="0" borderId="0" xfId="13" applyNumberFormat="1" applyFont="1" applyProtection="1">
      <protection hidden="1"/>
    </xf>
    <xf numFmtId="0" fontId="8" fillId="0" borderId="0" xfId="13"/>
    <xf numFmtId="0" fontId="8" fillId="0" borderId="0" xfId="13" applyProtection="1">
      <protection hidden="1"/>
    </xf>
    <xf numFmtId="10" fontId="8" fillId="0" borderId="0" xfId="13" applyNumberFormat="1" applyProtection="1">
      <protection hidden="1"/>
    </xf>
    <xf numFmtId="0" fontId="8" fillId="0" borderId="0" xfId="13" applyAlignment="1">
      <alignment horizontal="center" vertical="center"/>
    </xf>
    <xf numFmtId="0" fontId="33" fillId="0" borderId="0" xfId="13" applyFont="1" applyAlignment="1">
      <alignment horizontal="left" vertical="top"/>
    </xf>
    <xf numFmtId="0" fontId="33" fillId="0" borderId="0" xfId="13" applyFont="1" applyAlignment="1" applyProtection="1">
      <alignment horizontal="left" vertical="top"/>
      <protection hidden="1"/>
    </xf>
    <xf numFmtId="10" fontId="33" fillId="0" borderId="0" xfId="13" applyNumberFormat="1" applyFont="1" applyAlignment="1" applyProtection="1">
      <alignment horizontal="left" vertical="top"/>
      <protection hidden="1"/>
    </xf>
    <xf numFmtId="0" fontId="33" fillId="0" borderId="0" xfId="13" applyFont="1" applyAlignment="1">
      <alignment horizontal="left" vertical="center"/>
    </xf>
    <xf numFmtId="0" fontId="33" fillId="0" borderId="0" xfId="13" applyFont="1" applyAlignment="1" applyProtection="1">
      <alignment horizontal="left" vertical="center"/>
      <protection hidden="1"/>
    </xf>
    <xf numFmtId="10" fontId="33" fillId="0" borderId="0" xfId="13" applyNumberFormat="1" applyFont="1" applyAlignment="1" applyProtection="1">
      <alignment horizontal="left" vertical="center"/>
      <protection hidden="1"/>
    </xf>
    <xf numFmtId="0" fontId="31" fillId="0" borderId="0" xfId="13" applyFont="1" applyAlignment="1" applyProtection="1">
      <alignment vertical="center"/>
      <protection hidden="1"/>
    </xf>
    <xf numFmtId="0" fontId="8" fillId="0" borderId="0" xfId="13" applyAlignment="1" applyProtection="1">
      <alignment vertical="center"/>
      <protection hidden="1"/>
    </xf>
    <xf numFmtId="0" fontId="8" fillId="0" borderId="51" xfId="13" applyBorder="1" applyAlignment="1" applyProtection="1">
      <alignment horizontal="right" vertical="center"/>
      <protection hidden="1"/>
    </xf>
    <xf numFmtId="0" fontId="8" fillId="0" borderId="8" xfId="13" applyBorder="1" applyAlignment="1" applyProtection="1">
      <alignment vertical="center"/>
      <protection hidden="1"/>
    </xf>
    <xf numFmtId="0" fontId="8" fillId="5" borderId="0" xfId="13" applyFill="1" applyAlignment="1" applyProtection="1">
      <alignment vertical="center"/>
      <protection hidden="1"/>
    </xf>
    <xf numFmtId="0" fontId="8" fillId="0" borderId="0" xfId="13" applyAlignment="1">
      <alignment vertical="center"/>
    </xf>
    <xf numFmtId="0" fontId="33" fillId="0" borderId="0" xfId="13" applyFont="1" applyAlignment="1">
      <alignment horizontal="center" vertical="center"/>
    </xf>
    <xf numFmtId="10" fontId="31" fillId="0" borderId="0" xfId="13" applyNumberFormat="1" applyFont="1" applyAlignment="1" applyProtection="1">
      <alignment horizontal="left" vertical="center"/>
      <protection hidden="1"/>
    </xf>
    <xf numFmtId="0" fontId="31" fillId="0" borderId="0" xfId="13" applyFont="1" applyAlignment="1" applyProtection="1">
      <alignment horizontal="left" vertical="center"/>
      <protection hidden="1"/>
    </xf>
    <xf numFmtId="9" fontId="8" fillId="0" borderId="0" xfId="13" applyNumberFormat="1" applyAlignment="1" applyProtection="1">
      <alignment vertical="center"/>
      <protection hidden="1"/>
    </xf>
    <xf numFmtId="0" fontId="8" fillId="0" borderId="55" xfId="13" applyBorder="1" applyAlignment="1" applyProtection="1">
      <alignment vertical="center"/>
      <protection hidden="1"/>
    </xf>
    <xf numFmtId="0" fontId="8" fillId="0" borderId="54" xfId="13" applyBorder="1" applyAlignment="1" applyProtection="1">
      <alignment vertical="center"/>
      <protection hidden="1"/>
    </xf>
    <xf numFmtId="0" fontId="8" fillId="0" borderId="53" xfId="13" applyBorder="1" applyAlignment="1" applyProtection="1">
      <alignment vertical="center"/>
      <protection hidden="1"/>
    </xf>
    <xf numFmtId="0" fontId="8" fillId="0" borderId="54" xfId="13" applyBorder="1" applyAlignment="1" applyProtection="1">
      <alignment horizontal="left" vertical="center"/>
      <protection hidden="1"/>
    </xf>
    <xf numFmtId="0" fontId="8" fillId="0" borderId="58" xfId="13" applyBorder="1" applyAlignment="1" applyProtection="1">
      <alignment horizontal="left" vertical="center"/>
      <protection hidden="1"/>
    </xf>
    <xf numFmtId="0" fontId="35" fillId="0" borderId="60" xfId="13" applyFont="1" applyBorder="1" applyAlignment="1">
      <alignment horizontal="center" wrapText="1"/>
    </xf>
    <xf numFmtId="0" fontId="35" fillId="0" borderId="9" xfId="13" applyFont="1" applyBorder="1" applyAlignment="1">
      <alignment horizontal="center" wrapText="1"/>
    </xf>
    <xf numFmtId="0" fontId="35" fillId="0" borderId="4" xfId="13" applyFont="1" applyBorder="1" applyAlignment="1">
      <alignment horizontal="center" wrapText="1"/>
    </xf>
    <xf numFmtId="0" fontId="35" fillId="0" borderId="3" xfId="13" applyFont="1" applyBorder="1" applyAlignment="1">
      <alignment horizontal="center" wrapText="1"/>
    </xf>
    <xf numFmtId="0" fontId="35" fillId="0" borderId="10" xfId="13" applyFont="1" applyBorder="1" applyAlignment="1">
      <alignment horizontal="center" wrapText="1"/>
    </xf>
    <xf numFmtId="0" fontId="8" fillId="0" borderId="0" xfId="13" applyAlignment="1" applyProtection="1">
      <alignment wrapText="1"/>
      <protection hidden="1"/>
    </xf>
    <xf numFmtId="10" fontId="31" fillId="0" borderId="57" xfId="13" applyNumberFormat="1" applyFont="1" applyBorder="1" applyAlignment="1" applyProtection="1">
      <alignment horizontal="center" vertical="center" wrapText="1"/>
      <protection hidden="1"/>
    </xf>
    <xf numFmtId="0" fontId="31" fillId="0" borderId="0" xfId="13" applyFont="1" applyAlignment="1" applyProtection="1">
      <alignment horizontal="center" vertical="center" wrapText="1"/>
      <protection hidden="1"/>
    </xf>
    <xf numFmtId="0" fontId="35" fillId="0" borderId="0" xfId="13" applyFont="1" applyAlignment="1" applyProtection="1">
      <alignment horizontal="center" vertical="center" wrapText="1"/>
      <protection hidden="1"/>
    </xf>
    <xf numFmtId="0" fontId="31" fillId="0" borderId="55" xfId="13" applyFont="1" applyBorder="1" applyAlignment="1" applyProtection="1">
      <alignment horizontal="center" vertical="center" wrapText="1"/>
      <protection hidden="1"/>
    </xf>
    <xf numFmtId="0" fontId="31" fillId="0" borderId="53" xfId="13" applyFont="1" applyBorder="1" applyAlignment="1" applyProtection="1">
      <alignment horizontal="center" vertical="center" wrapText="1"/>
      <protection hidden="1"/>
    </xf>
    <xf numFmtId="0" fontId="31" fillId="0" borderId="54" xfId="13" applyFont="1" applyBorder="1" applyAlignment="1" applyProtection="1">
      <alignment horizontal="center" vertical="center" wrapText="1"/>
      <protection hidden="1"/>
    </xf>
    <xf numFmtId="0" fontId="8" fillId="6" borderId="57" xfId="13" applyFill="1" applyBorder="1" applyAlignment="1" applyProtection="1">
      <alignment wrapText="1"/>
      <protection hidden="1"/>
    </xf>
    <xf numFmtId="0" fontId="8" fillId="6" borderId="51" xfId="13" applyFill="1" applyBorder="1" applyAlignment="1" applyProtection="1">
      <alignment wrapText="1"/>
      <protection hidden="1"/>
    </xf>
    <xf numFmtId="0" fontId="8" fillId="6" borderId="0" xfId="13" applyFill="1" applyAlignment="1" applyProtection="1">
      <alignment wrapText="1"/>
      <protection hidden="1"/>
    </xf>
    <xf numFmtId="0" fontId="8" fillId="5" borderId="57" xfId="13" applyFill="1" applyBorder="1" applyAlignment="1" applyProtection="1">
      <alignment wrapText="1"/>
      <protection hidden="1"/>
    </xf>
    <xf numFmtId="0" fontId="8" fillId="5" borderId="0" xfId="13" applyFill="1" applyAlignment="1" applyProtection="1">
      <alignment wrapText="1"/>
      <protection hidden="1"/>
    </xf>
    <xf numFmtId="0" fontId="8" fillId="5" borderId="51" xfId="13" applyFill="1" applyBorder="1" applyAlignment="1" applyProtection="1">
      <alignment wrapText="1"/>
      <protection hidden="1"/>
    </xf>
    <xf numFmtId="0" fontId="8" fillId="5" borderId="62" xfId="13" applyFill="1" applyBorder="1" applyAlignment="1" applyProtection="1">
      <alignment wrapText="1"/>
      <protection hidden="1"/>
    </xf>
    <xf numFmtId="0" fontId="31" fillId="0" borderId="63" xfId="13" applyFont="1" applyBorder="1"/>
    <xf numFmtId="1" fontId="31" fillId="0" borderId="66" xfId="13" applyNumberFormat="1" applyFont="1" applyBorder="1" applyAlignment="1">
      <alignment horizontal="center" vertical="center" wrapText="1"/>
    </xf>
    <xf numFmtId="1" fontId="31" fillId="0" borderId="8" xfId="13" applyNumberFormat="1" applyFont="1" applyBorder="1" applyAlignment="1">
      <alignment horizontal="center" vertical="center" wrapText="1"/>
    </xf>
    <xf numFmtId="1" fontId="31" fillId="0" borderId="11" xfId="13" applyNumberFormat="1" applyFont="1" applyBorder="1" applyAlignment="1">
      <alignment horizontal="center" vertical="center" wrapText="1"/>
    </xf>
    <xf numFmtId="1" fontId="34" fillId="0" borderId="12" xfId="13" applyNumberFormat="1" applyFont="1" applyBorder="1" applyAlignment="1">
      <alignment horizontal="center" wrapText="1"/>
    </xf>
    <xf numFmtId="1" fontId="34" fillId="0" borderId="11" xfId="13" applyNumberFormat="1" applyFont="1" applyBorder="1" applyAlignment="1">
      <alignment horizontal="center" wrapText="1"/>
    </xf>
    <xf numFmtId="0" fontId="8" fillId="0" borderId="0" xfId="13" applyAlignment="1" applyProtection="1">
      <alignment horizontal="center"/>
      <protection hidden="1"/>
    </xf>
    <xf numFmtId="0" fontId="8" fillId="0" borderId="57" xfId="13" applyBorder="1" applyAlignment="1" applyProtection="1">
      <alignment horizontal="center" vertical="center"/>
      <protection hidden="1"/>
    </xf>
    <xf numFmtId="0" fontId="8" fillId="0" borderId="57" xfId="13" applyBorder="1" applyAlignment="1" applyProtection="1">
      <alignment horizontal="center"/>
      <protection hidden="1"/>
    </xf>
    <xf numFmtId="0" fontId="8" fillId="0" borderId="51" xfId="13" applyBorder="1" applyAlignment="1" applyProtection="1">
      <alignment horizontal="center"/>
      <protection hidden="1"/>
    </xf>
    <xf numFmtId="0" fontId="8" fillId="0" borderId="0" xfId="13" applyAlignment="1" applyProtection="1">
      <alignment horizontal="center" vertical="center"/>
      <protection hidden="1"/>
    </xf>
    <xf numFmtId="0" fontId="8" fillId="0" borderId="62" xfId="13" applyBorder="1" applyAlignment="1" applyProtection="1">
      <alignment horizontal="center"/>
      <protection hidden="1"/>
    </xf>
    <xf numFmtId="1" fontId="8" fillId="0" borderId="0" xfId="13" applyNumberFormat="1" applyAlignment="1" applyProtection="1">
      <alignment horizontal="center"/>
      <protection hidden="1"/>
    </xf>
    <xf numFmtId="0" fontId="36" fillId="0" borderId="0" xfId="13" applyFont="1" applyAlignment="1">
      <alignment horizontal="left" vertical="center"/>
    </xf>
    <xf numFmtId="0" fontId="35" fillId="0" borderId="0" xfId="13" applyFont="1"/>
    <xf numFmtId="0" fontId="31" fillId="0" borderId="63" xfId="13" applyFont="1" applyBorder="1" applyAlignment="1">
      <alignment vertical="center"/>
    </xf>
    <xf numFmtId="1" fontId="31" fillId="0" borderId="67" xfId="13" applyNumberFormat="1" applyFont="1" applyBorder="1" applyAlignment="1">
      <alignment horizontal="center" vertical="center" wrapText="1"/>
    </xf>
    <xf numFmtId="1" fontId="34" fillId="0" borderId="1" xfId="13" applyNumberFormat="1" applyFont="1" applyBorder="1" applyAlignment="1" applyProtection="1">
      <alignment horizontal="center" wrapText="1"/>
      <protection locked="0"/>
    </xf>
    <xf numFmtId="1" fontId="34" fillId="0" borderId="67" xfId="13" applyNumberFormat="1" applyFont="1" applyBorder="1" applyAlignment="1" applyProtection="1">
      <alignment horizontal="center" vertical="center" wrapText="1"/>
      <protection locked="0"/>
    </xf>
    <xf numFmtId="0" fontId="36" fillId="0" borderId="0" xfId="13" applyFont="1" applyAlignment="1">
      <alignment horizontal="center" vertical="center"/>
    </xf>
    <xf numFmtId="0" fontId="35" fillId="0" borderId="0" xfId="13" applyFont="1" applyAlignment="1">
      <alignment horizontal="left" vertical="center"/>
    </xf>
    <xf numFmtId="1" fontId="34" fillId="0" borderId="68" xfId="13" applyNumberFormat="1" applyFont="1" applyBorder="1" applyAlignment="1" applyProtection="1">
      <alignment horizontal="center" vertical="center" wrapText="1"/>
      <protection locked="0"/>
    </xf>
    <xf numFmtId="1" fontId="34" fillId="0" borderId="68" xfId="13" applyNumberFormat="1" applyFont="1" applyBorder="1" applyAlignment="1">
      <alignment horizontal="center" vertical="center" wrapText="1"/>
    </xf>
    <xf numFmtId="1" fontId="34" fillId="0" borderId="67" xfId="13" applyNumberFormat="1" applyFont="1" applyBorder="1" applyAlignment="1">
      <alignment horizontal="center" vertical="center" wrapText="1"/>
    </xf>
    <xf numFmtId="0" fontId="36" fillId="0" borderId="0" xfId="13" applyFont="1" applyAlignment="1">
      <alignment vertical="center"/>
    </xf>
    <xf numFmtId="0" fontId="35" fillId="0" borderId="0" xfId="13" applyFont="1" applyAlignment="1">
      <alignment horizontal="center" vertical="center"/>
    </xf>
    <xf numFmtId="0" fontId="35" fillId="0" borderId="0" xfId="13" applyFont="1" applyAlignment="1">
      <alignment vertical="center"/>
    </xf>
    <xf numFmtId="1" fontId="31" fillId="0" borderId="69" xfId="13" applyNumberFormat="1" applyFont="1" applyBorder="1" applyAlignment="1">
      <alignment horizontal="center" vertical="center" wrapText="1"/>
    </xf>
    <xf numFmtId="1" fontId="31" fillId="0" borderId="70" xfId="13" applyNumberFormat="1" applyFont="1" applyBorder="1" applyAlignment="1">
      <alignment horizontal="center" vertical="center" wrapText="1"/>
    </xf>
    <xf numFmtId="1" fontId="34" fillId="0" borderId="71" xfId="13" applyNumberFormat="1" applyFont="1" applyBorder="1" applyAlignment="1">
      <alignment horizontal="center" vertical="center" wrapText="1"/>
    </xf>
    <xf numFmtId="1" fontId="34" fillId="0" borderId="70" xfId="13" applyNumberFormat="1" applyFont="1" applyBorder="1" applyAlignment="1">
      <alignment horizontal="center" vertical="center" wrapText="1"/>
    </xf>
    <xf numFmtId="49" fontId="33" fillId="0" borderId="62" xfId="13" applyNumberFormat="1" applyFont="1" applyBorder="1" applyAlignment="1">
      <alignment horizontal="left" vertical="top"/>
    </xf>
    <xf numFmtId="0" fontId="33" fillId="0" borderId="68" xfId="13" applyFont="1" applyBorder="1" applyAlignment="1">
      <alignment vertical="top"/>
    </xf>
    <xf numFmtId="0" fontId="33" fillId="0" borderId="16" xfId="13" applyFont="1" applyBorder="1" applyAlignment="1">
      <alignment vertical="top"/>
    </xf>
    <xf numFmtId="0" fontId="33" fillId="0" borderId="75" xfId="13" applyFont="1" applyBorder="1" applyAlignment="1">
      <alignment vertical="top"/>
    </xf>
    <xf numFmtId="0" fontId="37" fillId="0" borderId="0" xfId="13" applyFont="1" applyAlignment="1">
      <alignment horizontal="left" vertical="top"/>
    </xf>
    <xf numFmtId="10" fontId="33" fillId="0" borderId="57" xfId="13" applyNumberFormat="1" applyFont="1" applyBorder="1" applyAlignment="1" applyProtection="1">
      <alignment horizontal="left" vertical="top"/>
      <protection hidden="1"/>
    </xf>
    <xf numFmtId="0" fontId="33" fillId="0" borderId="57" xfId="13" applyFont="1" applyBorder="1" applyAlignment="1" applyProtection="1">
      <alignment horizontal="left" vertical="top"/>
      <protection hidden="1"/>
    </xf>
    <xf numFmtId="0" fontId="33" fillId="0" borderId="51" xfId="13" applyFont="1" applyBorder="1" applyAlignment="1" applyProtection="1">
      <alignment horizontal="left" vertical="top"/>
      <protection hidden="1"/>
    </xf>
    <xf numFmtId="0" fontId="32" fillId="0" borderId="77" xfId="13" quotePrefix="1" applyFont="1" applyBorder="1" applyAlignment="1">
      <alignment horizontal="center" vertical="center"/>
    </xf>
    <xf numFmtId="0" fontId="32" fillId="0" borderId="21" xfId="13" applyFont="1" applyBorder="1" applyAlignment="1" applyProtection="1">
      <alignment horizontal="center" vertical="center"/>
      <protection locked="0"/>
    </xf>
    <xf numFmtId="0" fontId="39" fillId="0" borderId="0" xfId="13" applyFont="1"/>
    <xf numFmtId="0" fontId="39" fillId="0" borderId="0" xfId="13" applyFont="1" applyProtection="1">
      <protection hidden="1"/>
    </xf>
    <xf numFmtId="0" fontId="8" fillId="0" borderId="57" xfId="13" applyBorder="1" applyProtection="1">
      <protection hidden="1"/>
    </xf>
    <xf numFmtId="167" fontId="31" fillId="0" borderId="0" xfId="13" applyNumberFormat="1" applyFont="1" applyProtection="1">
      <protection hidden="1"/>
    </xf>
    <xf numFmtId="0" fontId="31" fillId="0" borderId="57" xfId="13" applyFont="1" applyBorder="1" applyProtection="1">
      <protection hidden="1"/>
    </xf>
    <xf numFmtId="0" fontId="40" fillId="0" borderId="0" xfId="13" applyFont="1" applyProtection="1">
      <protection hidden="1"/>
    </xf>
    <xf numFmtId="0" fontId="8" fillId="0" borderId="0" xfId="13" applyAlignment="1" applyProtection="1">
      <alignment horizontal="right" vertical="center"/>
      <protection hidden="1"/>
    </xf>
    <xf numFmtId="0" fontId="41" fillId="0" borderId="0" xfId="13" applyFont="1" applyAlignment="1" applyProtection="1">
      <alignment horizontal="center" vertical="top" wrapText="1"/>
      <protection hidden="1"/>
    </xf>
    <xf numFmtId="9" fontId="8" fillId="0" borderId="0" xfId="13" applyNumberFormat="1" applyProtection="1">
      <protection hidden="1"/>
    </xf>
    <xf numFmtId="167" fontId="8" fillId="0" borderId="0" xfId="13" applyNumberFormat="1" applyProtection="1">
      <protection hidden="1"/>
    </xf>
    <xf numFmtId="1" fontId="8" fillId="0" borderId="0" xfId="13" applyNumberFormat="1"/>
    <xf numFmtId="0" fontId="8" fillId="0" borderId="0" xfId="13" applyAlignment="1" applyProtection="1">
      <alignment horizontal="right"/>
      <protection hidden="1"/>
    </xf>
    <xf numFmtId="0" fontId="42" fillId="0" borderId="0" xfId="13" applyFont="1" applyAlignment="1" applyProtection="1">
      <alignment horizontal="center" wrapText="1"/>
      <protection hidden="1"/>
    </xf>
    <xf numFmtId="0" fontId="41" fillId="0" borderId="0" xfId="13" applyFont="1" applyAlignment="1" applyProtection="1">
      <alignment horizontal="center" wrapText="1"/>
      <protection hidden="1"/>
    </xf>
    <xf numFmtId="167" fontId="35" fillId="0" borderId="0" xfId="13" applyNumberFormat="1" applyFont="1" applyProtection="1">
      <protection hidden="1"/>
    </xf>
    <xf numFmtId="49" fontId="31" fillId="0" borderId="0" xfId="13" applyNumberFormat="1" applyFont="1" applyProtection="1">
      <protection hidden="1"/>
    </xf>
    <xf numFmtId="0" fontId="31" fillId="0" borderId="0" xfId="14" applyFont="1"/>
    <xf numFmtId="0" fontId="31" fillId="0" borderId="0" xfId="14" applyFont="1" applyProtection="1">
      <protection hidden="1"/>
    </xf>
    <xf numFmtId="10" fontId="31" fillId="0" borderId="0" xfId="14" applyNumberFormat="1" applyFont="1" applyProtection="1">
      <protection hidden="1"/>
    </xf>
    <xf numFmtId="0" fontId="8" fillId="0" borderId="0" xfId="14"/>
    <xf numFmtId="0" fontId="8" fillId="0" borderId="0" xfId="14" applyProtection="1">
      <protection hidden="1"/>
    </xf>
    <xf numFmtId="10" fontId="8" fillId="0" borderId="0" xfId="14" applyNumberFormat="1" applyProtection="1">
      <protection hidden="1"/>
    </xf>
    <xf numFmtId="0" fontId="8" fillId="0" borderId="0" xfId="14" applyAlignment="1">
      <alignment horizontal="center" vertical="center"/>
    </xf>
    <xf numFmtId="0" fontId="33" fillId="0" borderId="0" xfId="14" applyFont="1" applyAlignment="1">
      <alignment horizontal="left" vertical="top"/>
    </xf>
    <xf numFmtId="0" fontId="33" fillId="0" borderId="0" xfId="14" applyFont="1" applyAlignment="1" applyProtection="1">
      <alignment horizontal="left" vertical="top"/>
      <protection hidden="1"/>
    </xf>
    <xf numFmtId="10" fontId="33" fillId="0" borderId="0" xfId="14" applyNumberFormat="1" applyFont="1" applyAlignment="1" applyProtection="1">
      <alignment horizontal="left" vertical="top"/>
      <protection hidden="1"/>
    </xf>
    <xf numFmtId="0" fontId="33" fillId="0" borderId="0" xfId="14" applyFont="1" applyAlignment="1">
      <alignment horizontal="left" vertical="center"/>
    </xf>
    <xf numFmtId="0" fontId="33" fillId="0" borderId="0" xfId="14" applyFont="1" applyAlignment="1" applyProtection="1">
      <alignment horizontal="left" vertical="center"/>
      <protection hidden="1"/>
    </xf>
    <xf numFmtId="10" fontId="33" fillId="0" borderId="0" xfId="14" applyNumberFormat="1" applyFont="1" applyAlignment="1" applyProtection="1">
      <alignment horizontal="left" vertical="center"/>
      <protection hidden="1"/>
    </xf>
    <xf numFmtId="0" fontId="31" fillId="0" borderId="0" xfId="14" applyFont="1" applyAlignment="1" applyProtection="1">
      <alignment vertical="center"/>
      <protection hidden="1"/>
    </xf>
    <xf numFmtId="0" fontId="8" fillId="0" borderId="0" xfId="14" applyAlignment="1" applyProtection="1">
      <alignment vertical="center"/>
      <protection hidden="1"/>
    </xf>
    <xf numFmtId="0" fontId="8" fillId="0" borderId="51" xfId="14" applyBorder="1" applyAlignment="1" applyProtection="1">
      <alignment horizontal="right" vertical="center"/>
      <protection hidden="1"/>
    </xf>
    <xf numFmtId="0" fontId="8" fillId="0" borderId="8" xfId="14" applyBorder="1" applyAlignment="1" applyProtection="1">
      <alignment vertical="center"/>
      <protection hidden="1"/>
    </xf>
    <xf numFmtId="0" fontId="8" fillId="5" borderId="0" xfId="14" applyFill="1" applyAlignment="1" applyProtection="1">
      <alignment vertical="center"/>
      <protection hidden="1"/>
    </xf>
    <xf numFmtId="0" fontId="8" fillId="0" borderId="0" xfId="14" applyAlignment="1">
      <alignment vertical="center"/>
    </xf>
    <xf numFmtId="0" fontId="33" fillId="0" borderId="0" xfId="14" applyFont="1" applyAlignment="1">
      <alignment horizontal="center" vertical="center"/>
    </xf>
    <xf numFmtId="10" fontId="31" fillId="0" borderId="0" xfId="14" applyNumberFormat="1" applyFont="1" applyAlignment="1" applyProtection="1">
      <alignment horizontal="left" vertical="center"/>
      <protection hidden="1"/>
    </xf>
    <xf numFmtId="0" fontId="31" fillId="0" borderId="0" xfId="14" applyFont="1" applyAlignment="1" applyProtection="1">
      <alignment horizontal="left" vertical="center"/>
      <protection hidden="1"/>
    </xf>
    <xf numFmtId="9" fontId="8" fillId="0" borderId="0" xfId="14" applyNumberFormat="1" applyAlignment="1" applyProtection="1">
      <alignment vertical="center"/>
      <protection hidden="1"/>
    </xf>
    <xf numFmtId="0" fontId="8" fillId="0" borderId="55" xfId="14" applyBorder="1" applyAlignment="1" applyProtection="1">
      <alignment vertical="center"/>
      <protection hidden="1"/>
    </xf>
    <xf numFmtId="0" fontId="8" fillId="0" borderId="54" xfId="14" applyBorder="1" applyAlignment="1" applyProtection="1">
      <alignment vertical="center"/>
      <protection hidden="1"/>
    </xf>
    <xf numFmtId="0" fontId="8" fillId="0" borderId="53" xfId="14" applyBorder="1" applyAlignment="1" applyProtection="1">
      <alignment vertical="center"/>
      <protection hidden="1"/>
    </xf>
    <xf numFmtId="0" fontId="8" fillId="0" borderId="54" xfId="14" applyBorder="1" applyAlignment="1" applyProtection="1">
      <alignment horizontal="left" vertical="center"/>
      <protection hidden="1"/>
    </xf>
    <xf numFmtId="0" fontId="8" fillId="0" borderId="58" xfId="14" applyBorder="1" applyAlignment="1" applyProtection="1">
      <alignment horizontal="left" vertical="center"/>
      <protection hidden="1"/>
    </xf>
    <xf numFmtId="0" fontId="35" fillId="0" borderId="60" xfId="14" applyFont="1" applyBorder="1" applyAlignment="1">
      <alignment horizontal="center" wrapText="1"/>
    </xf>
    <xf numFmtId="0" fontId="35" fillId="0" borderId="9" xfId="14" applyFont="1" applyBorder="1" applyAlignment="1">
      <alignment horizontal="center" wrapText="1"/>
    </xf>
    <xf numFmtId="0" fontId="35" fillId="0" borderId="4" xfId="14" applyFont="1" applyBorder="1" applyAlignment="1">
      <alignment horizontal="center" wrapText="1"/>
    </xf>
    <xf numFmtId="0" fontId="35" fillId="0" borderId="3" xfId="14" applyFont="1" applyBorder="1" applyAlignment="1">
      <alignment horizontal="center" wrapText="1"/>
    </xf>
    <xf numFmtId="0" fontId="35" fillId="0" borderId="10" xfId="14" applyFont="1" applyBorder="1" applyAlignment="1">
      <alignment horizontal="center" wrapText="1"/>
    </xf>
    <xf numFmtId="0" fontId="8" fillId="0" borderId="0" xfId="14" applyAlignment="1" applyProtection="1">
      <alignment wrapText="1"/>
      <protection hidden="1"/>
    </xf>
    <xf numFmtId="10" fontId="31" fillId="0" borderId="57" xfId="14" applyNumberFormat="1" applyFont="1" applyBorder="1" applyAlignment="1" applyProtection="1">
      <alignment horizontal="center" vertical="center" wrapText="1"/>
      <protection hidden="1"/>
    </xf>
    <xf numFmtId="0" fontId="31" fillId="0" borderId="0" xfId="14" applyFont="1" applyAlignment="1" applyProtection="1">
      <alignment horizontal="center" vertical="center" wrapText="1"/>
      <protection hidden="1"/>
    </xf>
    <xf numFmtId="0" fontId="35" fillId="0" borderId="0" xfId="14" applyFont="1" applyAlignment="1" applyProtection="1">
      <alignment horizontal="center" vertical="center" wrapText="1"/>
      <protection hidden="1"/>
    </xf>
    <xf numFmtId="0" fontId="31" fillId="0" borderId="55" xfId="14" applyFont="1" applyBorder="1" applyAlignment="1" applyProtection="1">
      <alignment horizontal="center" vertical="center" wrapText="1"/>
      <protection hidden="1"/>
    </xf>
    <xf numFmtId="0" fontId="31" fillId="0" borderId="53" xfId="14" applyFont="1" applyBorder="1" applyAlignment="1" applyProtection="1">
      <alignment horizontal="center" vertical="center" wrapText="1"/>
      <protection hidden="1"/>
    </xf>
    <xf numFmtId="0" fontId="31" fillId="0" borderId="54" xfId="14" applyFont="1" applyBorder="1" applyAlignment="1" applyProtection="1">
      <alignment horizontal="center" vertical="center" wrapText="1"/>
      <protection hidden="1"/>
    </xf>
    <xf numFmtId="0" fontId="8" fillId="6" borderId="57" xfId="14" applyFill="1" applyBorder="1" applyAlignment="1" applyProtection="1">
      <alignment wrapText="1"/>
      <protection hidden="1"/>
    </xf>
    <xf numFmtId="0" fontId="8" fillId="6" borderId="51" xfId="14" applyFill="1" applyBorder="1" applyAlignment="1" applyProtection="1">
      <alignment wrapText="1"/>
      <protection hidden="1"/>
    </xf>
    <xf numFmtId="0" fontId="8" fillId="6" borderId="0" xfId="14" applyFill="1" applyAlignment="1" applyProtection="1">
      <alignment wrapText="1"/>
      <protection hidden="1"/>
    </xf>
    <xf numFmtId="0" fontId="8" fillId="5" borderId="57" xfId="14" applyFill="1" applyBorder="1" applyAlignment="1" applyProtection="1">
      <alignment wrapText="1"/>
      <protection hidden="1"/>
    </xf>
    <xf numFmtId="0" fontId="8" fillId="5" borderId="0" xfId="14" applyFill="1" applyAlignment="1" applyProtection="1">
      <alignment wrapText="1"/>
      <protection hidden="1"/>
    </xf>
    <xf numFmtId="0" fontId="8" fillId="5" borderId="51" xfId="14" applyFill="1" applyBorder="1" applyAlignment="1" applyProtection="1">
      <alignment wrapText="1"/>
      <protection hidden="1"/>
    </xf>
    <xf numFmtId="0" fontId="8" fillId="5" borderId="62" xfId="14" applyFill="1" applyBorder="1" applyAlignment="1" applyProtection="1">
      <alignment wrapText="1"/>
      <protection hidden="1"/>
    </xf>
    <xf numFmtId="0" fontId="31" fillId="0" borderId="63" xfId="14" applyFont="1" applyBorder="1"/>
    <xf numFmtId="1" fontId="31" fillId="0" borderId="66" xfId="14" applyNumberFormat="1" applyFont="1" applyBorder="1" applyAlignment="1">
      <alignment horizontal="center" vertical="center" wrapText="1"/>
    </xf>
    <xf numFmtId="1" fontId="31" fillId="0" borderId="8" xfId="14" applyNumberFormat="1" applyFont="1" applyBorder="1" applyAlignment="1">
      <alignment horizontal="center" vertical="center" wrapText="1"/>
    </xf>
    <xf numFmtId="1" fontId="31" fillId="0" borderId="11" xfId="14" applyNumberFormat="1" applyFont="1" applyBorder="1" applyAlignment="1">
      <alignment horizontal="center" vertical="center" wrapText="1"/>
    </xf>
    <xf numFmtId="1" fontId="34" fillId="0" borderId="12" xfId="14" applyNumberFormat="1" applyFont="1" applyBorder="1" applyAlignment="1">
      <alignment horizontal="center" wrapText="1"/>
    </xf>
    <xf numFmtId="1" fontId="34" fillId="0" borderId="11" xfId="14" applyNumberFormat="1" applyFont="1" applyBorder="1" applyAlignment="1">
      <alignment horizontal="center" wrapText="1"/>
    </xf>
    <xf numFmtId="0" fontId="8" fillId="0" borderId="0" xfId="14" applyAlignment="1" applyProtection="1">
      <alignment horizontal="center"/>
      <protection hidden="1"/>
    </xf>
    <xf numFmtId="0" fontId="8" fillId="0" borderId="57" xfId="14" applyBorder="1" applyAlignment="1" applyProtection="1">
      <alignment horizontal="center" vertical="center"/>
      <protection hidden="1"/>
    </xf>
    <xf numFmtId="0" fontId="8" fillId="0" borderId="57" xfId="14" applyBorder="1" applyAlignment="1" applyProtection="1">
      <alignment horizontal="center"/>
      <protection hidden="1"/>
    </xf>
    <xf numFmtId="0" fontId="8" fillId="0" borderId="51" xfId="14" applyBorder="1" applyAlignment="1" applyProtection="1">
      <alignment horizontal="center"/>
      <protection hidden="1"/>
    </xf>
    <xf numFmtId="0" fontId="8" fillId="0" borderId="0" xfId="14" applyAlignment="1" applyProtection="1">
      <alignment horizontal="center" vertical="center"/>
      <protection hidden="1"/>
    </xf>
    <xf numFmtId="0" fontId="8" fillId="0" borderId="62" xfId="14" applyBorder="1" applyAlignment="1" applyProtection="1">
      <alignment horizontal="center"/>
      <protection hidden="1"/>
    </xf>
    <xf numFmtId="1" fontId="8" fillId="0" borderId="0" xfId="14" applyNumberFormat="1" applyAlignment="1" applyProtection="1">
      <alignment horizontal="center"/>
      <protection hidden="1"/>
    </xf>
    <xf numFmtId="0" fontId="36" fillId="0" borderId="0" xfId="14" applyFont="1" applyAlignment="1">
      <alignment horizontal="left" vertical="center"/>
    </xf>
    <xf numFmtId="0" fontId="35" fillId="0" borderId="0" xfId="14" applyFont="1"/>
    <xf numFmtId="0" fontId="31" fillId="0" borderId="63" xfId="14" applyFont="1" applyBorder="1" applyAlignment="1">
      <alignment vertical="center"/>
    </xf>
    <xf numFmtId="1" fontId="31" fillId="0" borderId="67" xfId="14" applyNumberFormat="1" applyFont="1" applyBorder="1" applyAlignment="1">
      <alignment horizontal="center" vertical="center" wrapText="1"/>
    </xf>
    <xf numFmtId="1" fontId="34" fillId="0" borderId="1" xfId="14" applyNumberFormat="1" applyFont="1" applyBorder="1" applyAlignment="1" applyProtection="1">
      <alignment horizontal="center" wrapText="1"/>
      <protection locked="0"/>
    </xf>
    <xf numFmtId="1" fontId="34" fillId="0" borderId="67" xfId="14" applyNumberFormat="1" applyFont="1" applyBorder="1" applyAlignment="1" applyProtection="1">
      <alignment horizontal="center" vertical="center" wrapText="1"/>
      <protection locked="0"/>
    </xf>
    <xf numFmtId="0" fontId="36" fillId="0" borderId="0" xfId="14" applyFont="1" applyAlignment="1">
      <alignment horizontal="center" vertical="center"/>
    </xf>
    <xf numFmtId="0" fontId="35" fillId="0" borderId="0" xfId="14" applyFont="1" applyAlignment="1">
      <alignment horizontal="left" vertical="center"/>
    </xf>
    <xf numFmtId="1" fontId="34" fillId="0" borderId="68" xfId="14" applyNumberFormat="1" applyFont="1" applyBorder="1" applyAlignment="1" applyProtection="1">
      <alignment horizontal="center" vertical="center" wrapText="1"/>
      <protection locked="0"/>
    </xf>
    <xf numFmtId="1" fontId="34" fillId="0" borderId="68" xfId="14" applyNumberFormat="1" applyFont="1" applyBorder="1" applyAlignment="1">
      <alignment horizontal="center" vertical="center" wrapText="1"/>
    </xf>
    <xf numFmtId="1" fontId="34" fillId="0" borderId="67" xfId="14" applyNumberFormat="1" applyFont="1" applyBorder="1" applyAlignment="1">
      <alignment horizontal="center" vertical="center" wrapText="1"/>
    </xf>
    <xf numFmtId="0" fontId="36" fillId="0" borderId="0" xfId="14" applyFont="1" applyAlignment="1">
      <alignment vertical="center"/>
    </xf>
    <xf numFmtId="0" fontId="35" fillId="0" borderId="0" xfId="14" applyFont="1" applyAlignment="1">
      <alignment horizontal="center" vertical="center"/>
    </xf>
    <xf numFmtId="0" fontId="35" fillId="0" borderId="0" xfId="14" applyFont="1" applyAlignment="1">
      <alignment vertical="center"/>
    </xf>
    <xf numFmtId="1" fontId="31" fillId="0" borderId="69" xfId="14" applyNumberFormat="1" applyFont="1" applyBorder="1" applyAlignment="1">
      <alignment horizontal="center" vertical="center" wrapText="1"/>
    </xf>
    <xf numFmtId="1" fontId="31" fillId="0" borderId="70" xfId="14" applyNumberFormat="1" applyFont="1" applyBorder="1" applyAlignment="1">
      <alignment horizontal="center" vertical="center" wrapText="1"/>
    </xf>
    <xf numFmtId="1" fontId="34" fillId="0" borderId="71" xfId="14" applyNumberFormat="1" applyFont="1" applyBorder="1" applyAlignment="1">
      <alignment horizontal="center" vertical="center" wrapText="1"/>
    </xf>
    <xf numFmtId="1" fontId="34" fillId="0" borderId="70" xfId="14" applyNumberFormat="1" applyFont="1" applyBorder="1" applyAlignment="1">
      <alignment horizontal="center" vertical="center" wrapText="1"/>
    </xf>
    <xf numFmtId="49" fontId="33" fillId="0" borderId="62" xfId="14" applyNumberFormat="1" applyFont="1" applyBorder="1" applyAlignment="1">
      <alignment horizontal="left" vertical="top"/>
    </xf>
    <xf numFmtId="0" fontId="33" fillId="0" borderId="68" xfId="14" applyFont="1" applyBorder="1" applyAlignment="1">
      <alignment vertical="top"/>
    </xf>
    <xf numFmtId="0" fontId="33" fillId="0" borderId="16" xfId="14" applyFont="1" applyBorder="1" applyAlignment="1">
      <alignment vertical="top"/>
    </xf>
    <xf numFmtId="0" fontId="33" fillId="0" borderId="75" xfId="14" applyFont="1" applyBorder="1" applyAlignment="1">
      <alignment vertical="top"/>
    </xf>
    <xf numFmtId="0" fontId="37" fillId="0" borderId="0" xfId="14" applyFont="1" applyAlignment="1">
      <alignment horizontal="left" vertical="top"/>
    </xf>
    <xf numFmtId="10" fontId="33" fillId="0" borderId="57" xfId="14" applyNumberFormat="1" applyFont="1" applyBorder="1" applyAlignment="1" applyProtection="1">
      <alignment horizontal="left" vertical="top"/>
      <protection hidden="1"/>
    </xf>
    <xf numFmtId="0" fontId="33" fillId="0" borderId="57" xfId="14" applyFont="1" applyBorder="1" applyAlignment="1" applyProtection="1">
      <alignment horizontal="left" vertical="top"/>
      <protection hidden="1"/>
    </xf>
    <xf numFmtId="0" fontId="33" fillId="0" borderId="51" xfId="14" applyFont="1" applyBorder="1" applyAlignment="1" applyProtection="1">
      <alignment horizontal="left" vertical="top"/>
      <protection hidden="1"/>
    </xf>
    <xf numFmtId="0" fontId="32" fillId="0" borderId="77" xfId="14" quotePrefix="1" applyFont="1" applyBorder="1" applyAlignment="1">
      <alignment horizontal="center" vertical="center"/>
    </xf>
    <xf numFmtId="0" fontId="32" fillId="0" borderId="21" xfId="14" applyFont="1" applyBorder="1" applyAlignment="1" applyProtection="1">
      <alignment horizontal="center" vertical="center"/>
      <protection locked="0"/>
    </xf>
    <xf numFmtId="0" fontId="39" fillId="0" borderId="0" xfId="14" applyFont="1"/>
    <xf numFmtId="0" fontId="39" fillId="0" borderId="0" xfId="14" applyFont="1" applyProtection="1">
      <protection hidden="1"/>
    </xf>
    <xf numFmtId="0" fontId="8" fillId="0" borderId="57" xfId="14" applyBorder="1" applyProtection="1">
      <protection hidden="1"/>
    </xf>
    <xf numFmtId="167" fontId="31" fillId="0" borderId="0" xfId="14" applyNumberFormat="1" applyFont="1" applyProtection="1">
      <protection hidden="1"/>
    </xf>
    <xf numFmtId="0" fontId="31" fillId="0" borderId="57" xfId="14" applyFont="1" applyBorder="1" applyProtection="1">
      <protection hidden="1"/>
    </xf>
    <xf numFmtId="0" fontId="40" fillId="0" borderId="0" xfId="14" applyFont="1" applyProtection="1">
      <protection hidden="1"/>
    </xf>
    <xf numFmtId="0" fontId="8" fillId="0" borderId="0" xfId="14" applyAlignment="1" applyProtection="1">
      <alignment horizontal="right" vertical="center"/>
      <protection hidden="1"/>
    </xf>
    <xf numFmtId="0" fontId="41" fillId="0" borderId="0" xfId="14" applyFont="1" applyAlignment="1" applyProtection="1">
      <alignment horizontal="center" vertical="top" wrapText="1"/>
      <protection hidden="1"/>
    </xf>
    <xf numFmtId="9" fontId="8" fillId="0" borderId="0" xfId="14" applyNumberFormat="1" applyProtection="1">
      <protection hidden="1"/>
    </xf>
    <xf numFmtId="167" fontId="8" fillId="0" borderId="0" xfId="14" applyNumberFormat="1" applyProtection="1">
      <protection hidden="1"/>
    </xf>
    <xf numFmtId="1" fontId="8" fillId="0" borderId="0" xfId="14" applyNumberFormat="1"/>
    <xf numFmtId="0" fontId="8" fillId="0" borderId="0" xfId="14" applyAlignment="1" applyProtection="1">
      <alignment horizontal="right"/>
      <protection hidden="1"/>
    </xf>
    <xf numFmtId="0" fontId="42" fillId="0" borderId="0" xfId="14" applyFont="1" applyAlignment="1" applyProtection="1">
      <alignment horizontal="center" wrapText="1"/>
      <protection hidden="1"/>
    </xf>
    <xf numFmtId="0" fontId="41" fillId="0" borderId="0" xfId="14" applyFont="1" applyAlignment="1" applyProtection="1">
      <alignment horizontal="center" wrapText="1"/>
      <protection hidden="1"/>
    </xf>
    <xf numFmtId="167" fontId="35" fillId="0" borderId="0" xfId="14" applyNumberFormat="1" applyFont="1" applyProtection="1">
      <protection hidden="1"/>
    </xf>
    <xf numFmtId="49" fontId="31" fillId="0" borderId="0" xfId="14" applyNumberFormat="1" applyFont="1" applyProtection="1">
      <protection hidden="1"/>
    </xf>
    <xf numFmtId="0" fontId="14" fillId="0" borderId="0" xfId="0" applyFont="1" applyAlignment="1">
      <alignment horizontal="left" vertical="center"/>
    </xf>
    <xf numFmtId="0" fontId="9" fillId="0" borderId="0" xfId="0" applyFont="1" applyAlignment="1">
      <alignment horizontal="left"/>
    </xf>
    <xf numFmtId="0" fontId="68" fillId="0" borderId="0" xfId="0" applyFont="1" applyAlignment="1">
      <alignment horizontal="left" vertical="center"/>
    </xf>
    <xf numFmtId="0" fontId="68" fillId="0" borderId="0" xfId="0" applyFont="1" applyAlignment="1">
      <alignment horizontal="left"/>
    </xf>
    <xf numFmtId="0" fontId="0" fillId="0" borderId="0" xfId="0" applyAlignment="1">
      <alignment horizontal="left" vertical="center"/>
    </xf>
    <xf numFmtId="0" fontId="69" fillId="0" borderId="0" xfId="4" applyFont="1" applyAlignment="1">
      <alignment horizontal="center" vertical="top"/>
    </xf>
    <xf numFmtId="0" fontId="70" fillId="0" borderId="0" xfId="4" applyFont="1" applyAlignment="1">
      <alignment horizontal="center" vertical="top"/>
    </xf>
    <xf numFmtId="43" fontId="0" fillId="0" borderId="0" xfId="6" applyFont="1" applyFill="1" applyBorder="1" applyAlignment="1">
      <alignment horizontal="center"/>
    </xf>
    <xf numFmtId="43" fontId="69" fillId="0" borderId="0" xfId="6" applyFont="1" applyFill="1" applyBorder="1" applyAlignment="1">
      <alignment horizontal="center" vertical="top"/>
    </xf>
    <xf numFmtId="43" fontId="70" fillId="0" borderId="0" xfId="6" applyFont="1" applyFill="1" applyBorder="1" applyAlignment="1">
      <alignment horizontal="center" vertical="top"/>
    </xf>
    <xf numFmtId="10" fontId="0" fillId="0" borderId="0" xfId="6" applyNumberFormat="1" applyFont="1"/>
    <xf numFmtId="10" fontId="47" fillId="0" borderId="60" xfId="4" applyNumberFormat="1" applyFont="1" applyBorder="1" applyAlignment="1">
      <alignment horizontal="center" vertical="center"/>
    </xf>
    <xf numFmtId="10" fontId="51" fillId="9" borderId="16" xfId="4" applyNumberFormat="1" applyFont="1" applyFill="1" applyBorder="1" applyAlignment="1" applyProtection="1">
      <alignment horizontal="center" vertical="center"/>
      <protection locked="0"/>
    </xf>
    <xf numFmtId="10" fontId="51" fillId="9" borderId="81" xfId="4" applyNumberFormat="1" applyFont="1" applyFill="1" applyBorder="1" applyAlignment="1" applyProtection="1">
      <alignment horizontal="center" vertical="center"/>
      <protection locked="0"/>
    </xf>
    <xf numFmtId="10" fontId="47" fillId="0" borderId="60" xfId="4" applyNumberFormat="1" applyFont="1" applyBorder="1" applyAlignment="1">
      <alignment horizontal="center"/>
    </xf>
    <xf numFmtId="10" fontId="54" fillId="0" borderId="82" xfId="4" applyNumberFormat="1" applyFont="1" applyBorder="1" applyAlignment="1">
      <alignment horizontal="center" vertical="center"/>
    </xf>
    <xf numFmtId="0" fontId="0" fillId="0" borderId="0" xfId="0" applyAlignment="1">
      <alignment horizontal="left" vertical="top"/>
    </xf>
    <xf numFmtId="0" fontId="31" fillId="0" borderId="0" xfId="17" applyFont="1"/>
    <xf numFmtId="0" fontId="31" fillId="0" borderId="0" xfId="17" applyFont="1" applyProtection="1">
      <protection hidden="1"/>
    </xf>
    <xf numFmtId="10" fontId="31" fillId="0" borderId="0" xfId="17" applyNumberFormat="1" applyFont="1" applyProtection="1">
      <protection hidden="1"/>
    </xf>
    <xf numFmtId="0" fontId="2" fillId="0" borderId="0" xfId="17"/>
    <xf numFmtId="0" fontId="8" fillId="0" borderId="0" xfId="17" applyFont="1"/>
    <xf numFmtId="0" fontId="8" fillId="0" borderId="0" xfId="17" applyFont="1" applyProtection="1">
      <protection hidden="1"/>
    </xf>
    <xf numFmtId="10" fontId="8" fillId="0" borderId="0" xfId="17" applyNumberFormat="1" applyFont="1" applyProtection="1">
      <protection hidden="1"/>
    </xf>
    <xf numFmtId="0" fontId="2" fillId="0" borderId="0" xfId="17" applyProtection="1">
      <protection hidden="1"/>
    </xf>
    <xf numFmtId="0" fontId="8" fillId="0" borderId="0" xfId="17" applyFont="1" applyAlignment="1">
      <alignment horizontal="center" vertical="center"/>
    </xf>
    <xf numFmtId="0" fontId="33" fillId="0" borderId="0" xfId="17" applyFont="1" applyAlignment="1">
      <alignment horizontal="left" vertical="top"/>
    </xf>
    <xf numFmtId="0" fontId="33" fillId="0" borderId="0" xfId="17" applyFont="1" applyAlignment="1" applyProtection="1">
      <alignment horizontal="left" vertical="top"/>
      <protection hidden="1"/>
    </xf>
    <xf numFmtId="10" fontId="33" fillId="0" borderId="0" xfId="17" applyNumberFormat="1" applyFont="1" applyAlignment="1" applyProtection="1">
      <alignment horizontal="left" vertical="top"/>
      <protection hidden="1"/>
    </xf>
    <xf numFmtId="0" fontId="33" fillId="0" borderId="0" xfId="17" applyFont="1" applyAlignment="1">
      <alignment horizontal="left" vertical="center"/>
    </xf>
    <xf numFmtId="0" fontId="33" fillId="0" borderId="0" xfId="17" applyFont="1" applyAlignment="1" applyProtection="1">
      <alignment horizontal="left" vertical="center"/>
      <protection hidden="1"/>
    </xf>
    <xf numFmtId="10" fontId="33" fillId="0" borderId="0" xfId="17" applyNumberFormat="1" applyFont="1" applyAlignment="1" applyProtection="1">
      <alignment horizontal="left" vertical="center"/>
      <protection hidden="1"/>
    </xf>
    <xf numFmtId="0" fontId="31" fillId="0" borderId="0" xfId="17" applyFont="1" applyAlignment="1" applyProtection="1">
      <alignment vertical="center"/>
      <protection hidden="1"/>
    </xf>
    <xf numFmtId="0" fontId="8" fillId="0" borderId="0" xfId="17" applyFont="1" applyAlignment="1" applyProtection="1">
      <alignment vertical="center"/>
      <protection hidden="1"/>
    </xf>
    <xf numFmtId="0" fontId="8" fillId="0" borderId="51" xfId="17" applyFont="1" applyBorder="1" applyAlignment="1" applyProtection="1">
      <alignment horizontal="right" vertical="center"/>
      <protection hidden="1"/>
    </xf>
    <xf numFmtId="0" fontId="8" fillId="0" borderId="8" xfId="17" applyFont="1" applyBorder="1" applyAlignment="1" applyProtection="1">
      <alignment vertical="center"/>
      <protection hidden="1"/>
    </xf>
    <xf numFmtId="0" fontId="8" fillId="5" borderId="0" xfId="17" applyFont="1" applyFill="1" applyAlignment="1" applyProtection="1">
      <alignment vertical="center"/>
      <protection hidden="1"/>
    </xf>
    <xf numFmtId="0" fontId="8" fillId="0" borderId="0" xfId="17" applyFont="1" applyAlignment="1">
      <alignment vertical="center"/>
    </xf>
    <xf numFmtId="0" fontId="33" fillId="0" borderId="0" xfId="17" applyFont="1" applyAlignment="1">
      <alignment horizontal="center" vertical="center"/>
    </xf>
    <xf numFmtId="0" fontId="2" fillId="0" borderId="0" xfId="17" applyAlignment="1" applyProtection="1">
      <alignment vertical="center"/>
      <protection hidden="1"/>
    </xf>
    <xf numFmtId="10" fontId="31" fillId="0" borderId="0" xfId="17" applyNumberFormat="1" applyFont="1" applyAlignment="1" applyProtection="1">
      <alignment horizontal="left" vertical="center"/>
      <protection hidden="1"/>
    </xf>
    <xf numFmtId="0" fontId="31" fillId="0" borderId="0" xfId="17" applyFont="1" applyAlignment="1" applyProtection="1">
      <alignment horizontal="left" vertical="center"/>
      <protection hidden="1"/>
    </xf>
    <xf numFmtId="9" fontId="8" fillId="0" borderId="0" xfId="18" applyFont="1" applyAlignment="1" applyProtection="1">
      <alignment vertical="center"/>
      <protection hidden="1"/>
    </xf>
    <xf numFmtId="9" fontId="8" fillId="0" borderId="0" xfId="17" applyNumberFormat="1" applyFont="1" applyAlignment="1" applyProtection="1">
      <alignment vertical="center"/>
      <protection hidden="1"/>
    </xf>
    <xf numFmtId="0" fontId="8" fillId="0" borderId="55" xfId="17" applyFont="1" applyBorder="1" applyAlignment="1" applyProtection="1">
      <alignment vertical="center"/>
      <protection hidden="1"/>
    </xf>
    <xf numFmtId="0" fontId="8" fillId="0" borderId="54" xfId="17" applyFont="1" applyBorder="1" applyAlignment="1" applyProtection="1">
      <alignment vertical="center"/>
      <protection hidden="1"/>
    </xf>
    <xf numFmtId="0" fontId="8" fillId="0" borderId="53" xfId="17" applyFont="1" applyBorder="1" applyAlignment="1" applyProtection="1">
      <alignment vertical="center"/>
      <protection hidden="1"/>
    </xf>
    <xf numFmtId="0" fontId="8" fillId="0" borderId="54" xfId="17" applyFont="1" applyBorder="1" applyAlignment="1" applyProtection="1">
      <alignment horizontal="left" vertical="center"/>
      <protection hidden="1"/>
    </xf>
    <xf numFmtId="0" fontId="8" fillId="0" borderId="58" xfId="17" applyFont="1" applyBorder="1" applyAlignment="1" applyProtection="1">
      <alignment horizontal="left" vertical="center"/>
      <protection hidden="1"/>
    </xf>
    <xf numFmtId="0" fontId="35" fillId="0" borderId="60" xfId="17" applyFont="1" applyBorder="1" applyAlignment="1">
      <alignment horizontal="center" wrapText="1"/>
    </xf>
    <xf numFmtId="0" fontId="35" fillId="0" borderId="9" xfId="17" applyFont="1" applyBorder="1" applyAlignment="1">
      <alignment horizontal="center" wrapText="1"/>
    </xf>
    <xf numFmtId="0" fontId="35" fillId="0" borderId="4" xfId="17" applyFont="1" applyBorder="1" applyAlignment="1">
      <alignment horizontal="center" wrapText="1"/>
    </xf>
    <xf numFmtId="0" fontId="35" fillId="0" borderId="3" xfId="17" applyFont="1" applyBorder="1" applyAlignment="1">
      <alignment horizontal="center" wrapText="1"/>
    </xf>
    <xf numFmtId="0" fontId="35" fillId="0" borderId="10" xfId="17" applyFont="1" applyBorder="1" applyAlignment="1">
      <alignment horizontal="center" wrapText="1"/>
    </xf>
    <xf numFmtId="0" fontId="8" fillId="0" borderId="0" xfId="17" applyFont="1" applyAlignment="1" applyProtection="1">
      <alignment wrapText="1"/>
      <protection hidden="1"/>
    </xf>
    <xf numFmtId="10" fontId="31" fillId="0" borderId="57" xfId="17" applyNumberFormat="1" applyFont="1" applyBorder="1" applyAlignment="1" applyProtection="1">
      <alignment horizontal="center" vertical="center" wrapText="1"/>
      <protection hidden="1"/>
    </xf>
    <xf numFmtId="0" fontId="31" fillId="0" borderId="0" xfId="17" applyFont="1" applyAlignment="1" applyProtection="1">
      <alignment horizontal="center" vertical="center" wrapText="1"/>
      <protection hidden="1"/>
    </xf>
    <xf numFmtId="0" fontId="35" fillId="0" borderId="0" xfId="17" applyFont="1" applyAlignment="1" applyProtection="1">
      <alignment horizontal="center" vertical="center" wrapText="1"/>
      <protection hidden="1"/>
    </xf>
    <xf numFmtId="0" fontId="31" fillId="0" borderId="55" xfId="17" applyFont="1" applyBorder="1" applyAlignment="1" applyProtection="1">
      <alignment horizontal="center" vertical="center" wrapText="1"/>
      <protection hidden="1"/>
    </xf>
    <xf numFmtId="0" fontId="31" fillId="0" borderId="53" xfId="17" applyFont="1" applyBorder="1" applyAlignment="1" applyProtection="1">
      <alignment horizontal="center" vertical="center" wrapText="1"/>
      <protection hidden="1"/>
    </xf>
    <xf numFmtId="0" fontId="31" fillId="0" borderId="54" xfId="17" applyFont="1" applyBorder="1" applyAlignment="1" applyProtection="1">
      <alignment horizontal="center" vertical="center" wrapText="1"/>
      <protection hidden="1"/>
    </xf>
    <xf numFmtId="0" fontId="8" fillId="6" borderId="57" xfId="17" applyFont="1" applyFill="1" applyBorder="1" applyAlignment="1" applyProtection="1">
      <alignment wrapText="1"/>
      <protection hidden="1"/>
    </xf>
    <xf numFmtId="0" fontId="8" fillId="6" borderId="51" xfId="17" applyFont="1" applyFill="1" applyBorder="1" applyAlignment="1" applyProtection="1">
      <alignment wrapText="1"/>
      <protection hidden="1"/>
    </xf>
    <xf numFmtId="0" fontId="8" fillId="6" borderId="0" xfId="17" applyFont="1" applyFill="1" applyAlignment="1" applyProtection="1">
      <alignment wrapText="1"/>
      <protection hidden="1"/>
    </xf>
    <xf numFmtId="0" fontId="8" fillId="5" borderId="57" xfId="17" applyFont="1" applyFill="1" applyBorder="1" applyAlignment="1" applyProtection="1">
      <alignment wrapText="1"/>
      <protection hidden="1"/>
    </xf>
    <xf numFmtId="0" fontId="8" fillId="5" borderId="0" xfId="17" applyFont="1" applyFill="1" applyAlignment="1" applyProtection="1">
      <alignment wrapText="1"/>
      <protection hidden="1"/>
    </xf>
    <xf numFmtId="0" fontId="8" fillId="5" borderId="51" xfId="17" applyFont="1" applyFill="1" applyBorder="1" applyAlignment="1" applyProtection="1">
      <alignment wrapText="1"/>
      <protection hidden="1"/>
    </xf>
    <xf numFmtId="0" fontId="8" fillId="5" borderId="62" xfId="17" applyFont="1" applyFill="1" applyBorder="1" applyAlignment="1" applyProtection="1">
      <alignment wrapText="1"/>
      <protection hidden="1"/>
    </xf>
    <xf numFmtId="0" fontId="31" fillId="0" borderId="63" xfId="17" applyFont="1" applyBorder="1"/>
    <xf numFmtId="1" fontId="31" fillId="0" borderId="66" xfId="17" applyNumberFormat="1" applyFont="1" applyBorder="1" applyAlignment="1">
      <alignment horizontal="center" vertical="center" wrapText="1"/>
    </xf>
    <xf numFmtId="1" fontId="31" fillId="0" borderId="8" xfId="17" applyNumberFormat="1" applyFont="1" applyBorder="1" applyAlignment="1">
      <alignment horizontal="center" vertical="center" wrapText="1"/>
    </xf>
    <xf numFmtId="1" fontId="31" fillId="0" borderId="11" xfId="17" applyNumberFormat="1" applyFont="1" applyBorder="1" applyAlignment="1">
      <alignment horizontal="center" vertical="center" wrapText="1"/>
    </xf>
    <xf numFmtId="1" fontId="34" fillId="0" borderId="12" xfId="17" applyNumberFormat="1" applyFont="1" applyBorder="1" applyAlignment="1">
      <alignment horizontal="center" wrapText="1"/>
    </xf>
    <xf numFmtId="1" fontId="34" fillId="0" borderId="11" xfId="17" applyNumberFormat="1" applyFont="1" applyBorder="1" applyAlignment="1">
      <alignment horizontal="center" wrapText="1"/>
    </xf>
    <xf numFmtId="0" fontId="8" fillId="0" borderId="0" xfId="17" applyFont="1" applyAlignment="1" applyProtection="1">
      <alignment horizontal="center"/>
      <protection hidden="1"/>
    </xf>
    <xf numFmtId="10" fontId="8" fillId="0" borderId="57" xfId="18" applyNumberFormat="1" applyFont="1" applyBorder="1" applyAlignment="1" applyProtection="1">
      <alignment horizontal="center" vertical="center"/>
      <protection hidden="1"/>
    </xf>
    <xf numFmtId="0" fontId="8" fillId="0" borderId="0" xfId="18" applyNumberFormat="1" applyFont="1" applyBorder="1" applyAlignment="1" applyProtection="1">
      <alignment horizontal="center" vertical="center"/>
      <protection hidden="1"/>
    </xf>
    <xf numFmtId="0" fontId="8" fillId="0" borderId="57" xfId="17" applyFont="1" applyBorder="1" applyAlignment="1" applyProtection="1">
      <alignment horizontal="center" vertical="center"/>
      <protection hidden="1"/>
    </xf>
    <xf numFmtId="167" fontId="8" fillId="0" borderId="0" xfId="18" applyNumberFormat="1" applyFont="1" applyBorder="1" applyAlignment="1" applyProtection="1">
      <alignment horizontal="center" vertical="center"/>
      <protection hidden="1"/>
    </xf>
    <xf numFmtId="0" fontId="8" fillId="0" borderId="57" xfId="18" applyNumberFormat="1" applyFont="1" applyBorder="1" applyAlignment="1" applyProtection="1">
      <alignment horizontal="center" vertical="center"/>
      <protection hidden="1"/>
    </xf>
    <xf numFmtId="0" fontId="8" fillId="0" borderId="57" xfId="17" applyFont="1" applyBorder="1" applyAlignment="1" applyProtection="1">
      <alignment horizontal="center"/>
      <protection hidden="1"/>
    </xf>
    <xf numFmtId="167" fontId="8" fillId="0" borderId="51" xfId="18" applyNumberFormat="1" applyFont="1" applyBorder="1" applyAlignment="1" applyProtection="1">
      <alignment horizontal="center"/>
      <protection hidden="1"/>
    </xf>
    <xf numFmtId="0" fontId="8" fillId="0" borderId="51" xfId="17" applyFont="1" applyBorder="1" applyAlignment="1" applyProtection="1">
      <alignment horizontal="center"/>
      <protection hidden="1"/>
    </xf>
    <xf numFmtId="0" fontId="8" fillId="0" borderId="0" xfId="17" applyFont="1" applyAlignment="1" applyProtection="1">
      <alignment horizontal="center" vertical="center"/>
      <protection hidden="1"/>
    </xf>
    <xf numFmtId="0" fontId="8" fillId="0" borderId="62" xfId="17" applyFont="1" applyBorder="1" applyAlignment="1" applyProtection="1">
      <alignment horizontal="center"/>
      <protection hidden="1"/>
    </xf>
    <xf numFmtId="0" fontId="2" fillId="0" borderId="0" xfId="17" applyAlignment="1" applyProtection="1">
      <alignment horizontal="center"/>
      <protection hidden="1"/>
    </xf>
    <xf numFmtId="1" fontId="2" fillId="0" borderId="0" xfId="17" applyNumberFormat="1" applyAlignment="1" applyProtection="1">
      <alignment horizontal="center"/>
      <protection hidden="1"/>
    </xf>
    <xf numFmtId="0" fontId="36" fillId="0" borderId="0" xfId="17" applyFont="1" applyAlignment="1">
      <alignment horizontal="left" vertical="center"/>
    </xf>
    <xf numFmtId="0" fontId="35" fillId="0" borderId="0" xfId="17" applyFont="1"/>
    <xf numFmtId="0" fontId="31" fillId="0" borderId="63" xfId="17" applyFont="1" applyBorder="1" applyAlignment="1">
      <alignment vertical="center"/>
    </xf>
    <xf numFmtId="1" fontId="31" fillId="0" borderId="67" xfId="17" applyNumberFormat="1" applyFont="1" applyBorder="1" applyAlignment="1">
      <alignment horizontal="center" vertical="center" wrapText="1"/>
    </xf>
    <xf numFmtId="1" fontId="34" fillId="0" borderId="1" xfId="17" applyNumberFormat="1" applyFont="1" applyBorder="1" applyAlignment="1" applyProtection="1">
      <alignment horizontal="center" wrapText="1"/>
      <protection locked="0"/>
    </xf>
    <xf numFmtId="1" fontId="34" fillId="0" borderId="67" xfId="17" applyNumberFormat="1" applyFont="1" applyBorder="1" applyAlignment="1" applyProtection="1">
      <alignment horizontal="center" vertical="center" wrapText="1"/>
      <protection locked="0"/>
    </xf>
    <xf numFmtId="0" fontId="36" fillId="0" borderId="0" xfId="17" applyFont="1" applyAlignment="1">
      <alignment horizontal="center" vertical="center"/>
    </xf>
    <xf numFmtId="0" fontId="35" fillId="0" borderId="0" xfId="17" applyFont="1" applyAlignment="1">
      <alignment horizontal="left" vertical="center"/>
    </xf>
    <xf numFmtId="1" fontId="34" fillId="0" borderId="68" xfId="17" applyNumberFormat="1" applyFont="1" applyBorder="1" applyAlignment="1" applyProtection="1">
      <alignment horizontal="center" vertical="center" wrapText="1"/>
      <protection locked="0"/>
    </xf>
    <xf numFmtId="0" fontId="36" fillId="0" borderId="0" xfId="17" applyFont="1" applyAlignment="1">
      <alignment vertical="center"/>
    </xf>
    <xf numFmtId="0" fontId="35" fillId="0" borderId="0" xfId="17" applyFont="1" applyAlignment="1">
      <alignment horizontal="center" vertical="center"/>
    </xf>
    <xf numFmtId="0" fontId="35" fillId="0" borderId="0" xfId="17" applyFont="1" applyAlignment="1">
      <alignment vertical="center"/>
    </xf>
    <xf numFmtId="1" fontId="34" fillId="0" borderId="68" xfId="17" applyNumberFormat="1" applyFont="1" applyBorder="1" applyAlignment="1">
      <alignment horizontal="center" vertical="center" wrapText="1"/>
    </xf>
    <xf numFmtId="1" fontId="34" fillId="0" borderId="67" xfId="17" applyNumberFormat="1" applyFont="1" applyBorder="1" applyAlignment="1">
      <alignment horizontal="center" vertical="center" wrapText="1"/>
    </xf>
    <xf numFmtId="9" fontId="35" fillId="0" borderId="55" xfId="18" applyFont="1" applyBorder="1" applyAlignment="1" applyProtection="1">
      <alignment horizontal="center" vertical="center"/>
    </xf>
    <xf numFmtId="9" fontId="35" fillId="0" borderId="53" xfId="18" applyFont="1" applyBorder="1" applyAlignment="1" applyProtection="1">
      <alignment horizontal="center" vertical="center"/>
    </xf>
    <xf numFmtId="9" fontId="35" fillId="0" borderId="54" xfId="18" applyFont="1" applyBorder="1" applyAlignment="1" applyProtection="1">
      <alignment horizontal="center" vertical="center"/>
    </xf>
    <xf numFmtId="0" fontId="34" fillId="0" borderId="0" xfId="17" applyFont="1"/>
    <xf numFmtId="9" fontId="35" fillId="0" borderId="57" xfId="18" applyFont="1" applyBorder="1" applyAlignment="1" applyProtection="1">
      <alignment horizontal="center" vertical="center"/>
    </xf>
    <xf numFmtId="9" fontId="35" fillId="0" borderId="0" xfId="18" applyFont="1" applyBorder="1" applyAlignment="1" applyProtection="1">
      <alignment horizontal="center" vertical="center"/>
    </xf>
    <xf numFmtId="9" fontId="35" fillId="0" borderId="51" xfId="18" applyFont="1" applyBorder="1" applyAlignment="1" applyProtection="1">
      <alignment horizontal="center" vertical="center"/>
    </xf>
    <xf numFmtId="0" fontId="39" fillId="0" borderId="0" xfId="17" applyFont="1"/>
    <xf numFmtId="9" fontId="35" fillId="0" borderId="49" xfId="18" applyFont="1" applyBorder="1" applyAlignment="1" applyProtection="1">
      <alignment horizontal="center" vertical="center"/>
    </xf>
    <xf numFmtId="9" fontId="35" fillId="0" borderId="47" xfId="18" applyFont="1" applyBorder="1" applyAlignment="1" applyProtection="1">
      <alignment horizontal="center" vertical="center"/>
    </xf>
    <xf numFmtId="9" fontId="35" fillId="0" borderId="48" xfId="18" applyFont="1" applyBorder="1" applyAlignment="1" applyProtection="1">
      <alignment horizontal="center" vertical="center"/>
    </xf>
    <xf numFmtId="0" fontId="32" fillId="0" borderId="0" xfId="17" applyFont="1"/>
    <xf numFmtId="0" fontId="40" fillId="0" borderId="0" xfId="17" applyFont="1" applyAlignment="1">
      <alignment vertical="center"/>
    </xf>
    <xf numFmtId="1" fontId="31" fillId="0" borderId="69" xfId="17" applyNumberFormat="1" applyFont="1" applyBorder="1" applyAlignment="1">
      <alignment horizontal="center" vertical="center" wrapText="1"/>
    </xf>
    <xf numFmtId="1" fontId="31" fillId="0" borderId="70" xfId="17" applyNumberFormat="1" applyFont="1" applyBorder="1" applyAlignment="1">
      <alignment horizontal="center" vertical="center" wrapText="1"/>
    </xf>
    <xf numFmtId="1" fontId="34" fillId="0" borderId="71" xfId="17" applyNumberFormat="1" applyFont="1" applyBorder="1" applyAlignment="1">
      <alignment horizontal="center" vertical="center" wrapText="1"/>
    </xf>
    <xf numFmtId="1" fontId="34" fillId="0" borderId="70" xfId="17" applyNumberFormat="1" applyFont="1" applyBorder="1" applyAlignment="1">
      <alignment horizontal="center" vertical="center" wrapText="1"/>
    </xf>
    <xf numFmtId="49" fontId="33" fillId="0" borderId="62" xfId="17" applyNumberFormat="1" applyFont="1" applyBorder="1" applyAlignment="1">
      <alignment horizontal="left" vertical="top"/>
    </xf>
    <xf numFmtId="0" fontId="33" fillId="0" borderId="68" xfId="17" applyFont="1" applyBorder="1" applyAlignment="1">
      <alignment vertical="top"/>
    </xf>
    <xf numFmtId="0" fontId="33" fillId="0" borderId="16" xfId="17" applyFont="1" applyBorder="1" applyAlignment="1">
      <alignment vertical="top"/>
    </xf>
    <xf numFmtId="0" fontId="33" fillId="0" borderId="75" xfId="17" applyFont="1" applyBorder="1" applyAlignment="1">
      <alignment vertical="top"/>
    </xf>
    <xf numFmtId="0" fontId="37" fillId="0" borderId="0" xfId="17" applyFont="1" applyAlignment="1">
      <alignment horizontal="left" vertical="top"/>
    </xf>
    <xf numFmtId="10" fontId="33" fillId="0" borderId="57" xfId="17" applyNumberFormat="1" applyFont="1" applyBorder="1" applyAlignment="1" applyProtection="1">
      <alignment horizontal="left" vertical="top"/>
      <protection hidden="1"/>
    </xf>
    <xf numFmtId="0" fontId="33" fillId="0" borderId="57" xfId="17" applyFont="1" applyBorder="1" applyAlignment="1" applyProtection="1">
      <alignment horizontal="left" vertical="top"/>
      <protection hidden="1"/>
    </xf>
    <xf numFmtId="0" fontId="33" fillId="0" borderId="51" xfId="17" applyFont="1" applyBorder="1" applyAlignment="1" applyProtection="1">
      <alignment horizontal="left" vertical="top"/>
      <protection hidden="1"/>
    </xf>
    <xf numFmtId="0" fontId="32" fillId="0" borderId="77" xfId="17" quotePrefix="1" applyFont="1" applyBorder="1" applyAlignment="1">
      <alignment horizontal="center" vertical="center"/>
    </xf>
    <xf numFmtId="0" fontId="32" fillId="0" borderId="21" xfId="17" applyFont="1" applyBorder="1" applyAlignment="1" applyProtection="1">
      <alignment horizontal="center" vertical="center"/>
      <protection locked="0"/>
    </xf>
    <xf numFmtId="0" fontId="39" fillId="0" borderId="0" xfId="17" applyFont="1" applyProtection="1">
      <protection hidden="1"/>
    </xf>
    <xf numFmtId="0" fontId="8" fillId="0" borderId="57" xfId="17" applyFont="1" applyBorder="1" applyProtection="1">
      <protection hidden="1"/>
    </xf>
    <xf numFmtId="167" fontId="31" fillId="0" borderId="0" xfId="17" applyNumberFormat="1" applyFont="1" applyProtection="1">
      <protection hidden="1"/>
    </xf>
    <xf numFmtId="0" fontId="31" fillId="0" borderId="57" xfId="17" applyFont="1" applyBorder="1" applyProtection="1">
      <protection hidden="1"/>
    </xf>
    <xf numFmtId="0" fontId="40" fillId="0" borderId="0" xfId="17" applyFont="1" applyProtection="1">
      <protection hidden="1"/>
    </xf>
    <xf numFmtId="0" fontId="8" fillId="0" borderId="0" xfId="17" applyFont="1" applyProtection="1">
      <protection locked="0"/>
    </xf>
    <xf numFmtId="0" fontId="8" fillId="0" borderId="0" xfId="17" applyFont="1" applyAlignment="1" applyProtection="1">
      <alignment horizontal="right" vertical="center"/>
      <protection hidden="1"/>
    </xf>
    <xf numFmtId="0" fontId="41" fillId="0" borderId="0" xfId="17" applyFont="1" applyAlignment="1" applyProtection="1">
      <alignment horizontal="center" vertical="top" wrapText="1"/>
      <protection hidden="1"/>
    </xf>
    <xf numFmtId="9" fontId="8" fillId="0" borderId="0" xfId="17" applyNumberFormat="1" applyFont="1" applyProtection="1">
      <protection hidden="1"/>
    </xf>
    <xf numFmtId="10" fontId="8" fillId="0" borderId="0" xfId="18" applyNumberFormat="1" applyFont="1" applyProtection="1">
      <protection hidden="1"/>
    </xf>
    <xf numFmtId="167" fontId="8" fillId="0" borderId="0" xfId="17" applyNumberFormat="1" applyFont="1" applyProtection="1">
      <protection hidden="1"/>
    </xf>
    <xf numFmtId="1" fontId="8" fillId="0" borderId="0" xfId="17" applyNumberFormat="1" applyFont="1"/>
    <xf numFmtId="0" fontId="8" fillId="0" borderId="0" xfId="17" applyFont="1" applyAlignment="1" applyProtection="1">
      <alignment horizontal="right"/>
      <protection hidden="1"/>
    </xf>
    <xf numFmtId="0" fontId="42" fillId="0" borderId="0" xfId="17" applyFont="1" applyAlignment="1" applyProtection="1">
      <alignment horizontal="center" wrapText="1"/>
      <protection hidden="1"/>
    </xf>
    <xf numFmtId="9" fontId="2" fillId="0" borderId="0" xfId="17" applyNumberFormat="1" applyProtection="1">
      <protection hidden="1"/>
    </xf>
    <xf numFmtId="10" fontId="2" fillId="0" borderId="0" xfId="17" applyNumberFormat="1" applyProtection="1">
      <protection hidden="1"/>
    </xf>
    <xf numFmtId="0" fontId="41" fillId="0" borderId="0" xfId="17" applyFont="1" applyAlignment="1" applyProtection="1">
      <alignment horizontal="center" wrapText="1"/>
      <protection hidden="1"/>
    </xf>
    <xf numFmtId="0" fontId="2" fillId="0" borderId="0" xfId="17" applyAlignment="1" applyProtection="1">
      <alignment wrapText="1"/>
      <protection hidden="1"/>
    </xf>
    <xf numFmtId="167" fontId="35" fillId="0" borderId="0" xfId="17" applyNumberFormat="1" applyFont="1" applyProtection="1">
      <protection hidden="1"/>
    </xf>
    <xf numFmtId="49" fontId="31" fillId="0" borderId="0" xfId="17" applyNumberFormat="1" applyFont="1" applyProtection="1">
      <protection hidden="1"/>
    </xf>
    <xf numFmtId="1" fontId="8" fillId="0" borderId="0" xfId="17" applyNumberFormat="1" applyFont="1" applyProtection="1">
      <protection hidden="1"/>
    </xf>
    <xf numFmtId="0" fontId="1" fillId="0" borderId="23" xfId="19" applyBorder="1" applyAlignment="1">
      <alignment horizontal="right" vertical="center"/>
    </xf>
    <xf numFmtId="0" fontId="63" fillId="0" borderId="60" xfId="19" applyFont="1" applyBorder="1" applyAlignment="1" applyProtection="1">
      <alignment horizontal="left" vertical="center"/>
      <protection locked="0"/>
    </xf>
    <xf numFmtId="165" fontId="63" fillId="0" borderId="60" xfId="19" applyNumberFormat="1" applyFont="1" applyBorder="1" applyAlignment="1" applyProtection="1">
      <alignment horizontal="left" vertical="center"/>
      <protection locked="0"/>
    </xf>
    <xf numFmtId="0" fontId="1" fillId="0" borderId="24" xfId="19" applyBorder="1" applyAlignment="1">
      <alignment horizontal="left" vertical="center"/>
    </xf>
    <xf numFmtId="0" fontId="1" fillId="0" borderId="25" xfId="19" applyBorder="1" applyAlignment="1">
      <alignment horizontal="left" vertical="center"/>
    </xf>
    <xf numFmtId="0" fontId="1" fillId="0" borderId="0" xfId="19"/>
    <xf numFmtId="0" fontId="1" fillId="0" borderId="23" xfId="19" applyBorder="1" applyAlignment="1">
      <alignment horizontal="left" vertical="center"/>
    </xf>
    <xf numFmtId="0" fontId="1" fillId="0" borderId="32" xfId="19" applyBorder="1" applyAlignment="1">
      <alignment vertical="center"/>
    </xf>
    <xf numFmtId="0" fontId="1" fillId="0" borderId="33" xfId="19" applyBorder="1" applyAlignment="1">
      <alignment vertical="center"/>
    </xf>
    <xf numFmtId="0" fontId="1" fillId="0" borderId="31" xfId="19" applyBorder="1" applyAlignment="1">
      <alignment horizontal="right" vertical="center"/>
    </xf>
    <xf numFmtId="0" fontId="11" fillId="0" borderId="85" xfId="19" applyFont="1" applyBorder="1" applyAlignment="1">
      <alignment horizontal="right" vertical="center"/>
    </xf>
    <xf numFmtId="10" fontId="67" fillId="0" borderId="60" xfId="19" applyNumberFormat="1" applyFont="1" applyBorder="1" applyAlignment="1" applyProtection="1">
      <alignment horizontal="left" vertical="center"/>
      <protection locked="0"/>
    </xf>
    <xf numFmtId="0" fontId="34" fillId="0" borderId="1" xfId="19" applyFont="1" applyBorder="1" applyAlignment="1">
      <alignment horizontal="left"/>
    </xf>
    <xf numFmtId="164" fontId="1" fillId="0" borderId="30" xfId="19" applyNumberFormat="1" applyBorder="1" applyProtection="1">
      <protection locked="0"/>
    </xf>
    <xf numFmtId="0" fontId="1" fillId="0" borderId="0" xfId="19" applyAlignment="1">
      <alignment vertical="top"/>
    </xf>
    <xf numFmtId="0" fontId="1" fillId="0" borderId="42" xfId="19" applyBorder="1" applyAlignment="1">
      <alignment vertical="top"/>
    </xf>
    <xf numFmtId="0" fontId="31" fillId="0" borderId="68" xfId="19" applyFont="1" applyBorder="1" applyAlignment="1">
      <alignment horizontal="left"/>
    </xf>
    <xf numFmtId="164" fontId="1" fillId="0" borderId="16" xfId="19" applyNumberFormat="1" applyBorder="1" applyAlignment="1" applyProtection="1">
      <alignment horizontal="center" vertical="center"/>
      <protection locked="0"/>
    </xf>
    <xf numFmtId="0" fontId="34" fillId="0" borderId="68" xfId="19" applyFont="1" applyBorder="1" applyAlignment="1">
      <alignment horizontal="left"/>
    </xf>
    <xf numFmtId="0" fontId="1" fillId="0" borderId="13" xfId="19" applyBorder="1" applyAlignment="1">
      <alignment vertical="top"/>
    </xf>
    <xf numFmtId="164" fontId="1" fillId="0" borderId="16" xfId="19" applyNumberFormat="1" applyBorder="1" applyAlignment="1">
      <alignment horizontal="center" vertical="center"/>
    </xf>
    <xf numFmtId="0" fontId="31" fillId="0" borderId="71" xfId="19" applyFont="1" applyBorder="1" applyAlignment="1">
      <alignment horizontal="left"/>
    </xf>
    <xf numFmtId="164" fontId="1" fillId="0" borderId="86" xfId="19" applyNumberFormat="1" applyBorder="1" applyAlignment="1">
      <alignment horizontal="center" vertical="center"/>
    </xf>
    <xf numFmtId="0" fontId="1" fillId="0" borderId="27" xfId="19" applyBorder="1" applyAlignment="1">
      <alignment vertical="top"/>
    </xf>
    <xf numFmtId="0" fontId="1" fillId="0" borderId="28" xfId="19" applyBorder="1" applyAlignment="1">
      <alignment vertical="top"/>
    </xf>
    <xf numFmtId="0" fontId="32" fillId="0" borderId="21" xfId="4" applyFont="1" applyBorder="1" applyAlignment="1">
      <alignment horizontal="center" vertical="center"/>
    </xf>
    <xf numFmtId="1" fontId="31" fillId="0" borderId="0" xfId="4" applyNumberFormat="1" applyFont="1" applyAlignment="1">
      <alignment horizontal="center" vertical="center"/>
    </xf>
    <xf numFmtId="0" fontId="31" fillId="0" borderId="0" xfId="4" applyFont="1" applyAlignment="1">
      <alignment horizontal="center" vertical="center"/>
    </xf>
    <xf numFmtId="1" fontId="51" fillId="9" borderId="29" xfId="4" applyNumberFormat="1" applyFont="1" applyFill="1" applyBorder="1" applyAlignment="1">
      <alignment horizontal="center" vertical="center"/>
    </xf>
    <xf numFmtId="1" fontId="51" fillId="9" borderId="16" xfId="4" applyNumberFormat="1" applyFont="1" applyFill="1" applyBorder="1" applyAlignment="1">
      <alignment horizontal="center" vertical="center"/>
    </xf>
    <xf numFmtId="168" fontId="8" fillId="8" borderId="80" xfId="4" applyNumberFormat="1" applyFill="1" applyBorder="1" applyAlignment="1">
      <alignment horizontal="center"/>
    </xf>
    <xf numFmtId="1" fontId="51" fillId="9" borderId="80" xfId="4" applyNumberFormat="1" applyFont="1" applyFill="1" applyBorder="1" applyAlignment="1">
      <alignment horizontal="center" vertical="center"/>
    </xf>
    <xf numFmtId="168" fontId="8" fillId="8" borderId="58" xfId="4" applyNumberFormat="1" applyFill="1" applyBorder="1" applyAlignment="1">
      <alignment horizontal="center"/>
    </xf>
    <xf numFmtId="1" fontId="51" fillId="9" borderId="58" xfId="4" applyNumberFormat="1" applyFont="1" applyFill="1" applyBorder="1" applyAlignment="1">
      <alignment horizontal="center" vertical="center"/>
    </xf>
    <xf numFmtId="168" fontId="32" fillId="0" borderId="16" xfId="4" applyNumberFormat="1" applyFont="1" applyBorder="1" applyAlignment="1">
      <alignment horizontal="center" vertical="center"/>
    </xf>
    <xf numFmtId="1" fontId="32" fillId="0" borderId="16" xfId="4" applyNumberFormat="1" applyFont="1" applyBorder="1" applyAlignment="1">
      <alignment horizontal="center" vertical="center"/>
    </xf>
    <xf numFmtId="164" fontId="52" fillId="0" borderId="0" xfId="4" applyNumberFormat="1" applyFont="1" applyAlignment="1">
      <alignment horizontal="left" vertical="center"/>
    </xf>
    <xf numFmtId="169" fontId="51" fillId="9" borderId="81" xfId="4" applyNumberFormat="1" applyFont="1" applyFill="1" applyBorder="1" applyAlignment="1">
      <alignment horizontal="center" vertical="center"/>
    </xf>
    <xf numFmtId="170" fontId="53" fillId="9" borderId="81" xfId="4" applyNumberFormat="1" applyFont="1" applyFill="1" applyBorder="1" applyAlignment="1">
      <alignment horizontal="center" vertical="center"/>
    </xf>
    <xf numFmtId="1" fontId="8" fillId="0" borderId="0" xfId="4" applyNumberFormat="1" applyAlignment="1">
      <alignment horizontal="center"/>
    </xf>
    <xf numFmtId="0" fontId="25" fillId="3" borderId="31" xfId="0" applyFont="1" applyFill="1" applyBorder="1" applyAlignment="1">
      <alignment horizontal="center" vertical="center"/>
    </xf>
    <xf numFmtId="0" fontId="25" fillId="3" borderId="32" xfId="0" applyFont="1" applyFill="1" applyBorder="1" applyAlignment="1">
      <alignment horizontal="center" vertical="center"/>
    </xf>
    <xf numFmtId="0" fontId="25" fillId="3" borderId="33" xfId="0" applyFont="1" applyFill="1" applyBorder="1" applyAlignment="1">
      <alignment horizontal="center" vertical="center"/>
    </xf>
    <xf numFmtId="0" fontId="17" fillId="4" borderId="10" xfId="0" applyFont="1" applyFill="1" applyBorder="1" applyAlignment="1">
      <alignment horizontal="center" vertical="center" wrapText="1"/>
    </xf>
    <xf numFmtId="0" fontId="17" fillId="4" borderId="9" xfId="0" applyFont="1" applyFill="1" applyBorder="1" applyAlignment="1">
      <alignment horizontal="center" vertical="center" wrapText="1"/>
    </xf>
    <xf numFmtId="0" fontId="22" fillId="0" borderId="35" xfId="0" applyFont="1" applyBorder="1" applyAlignment="1" applyProtection="1">
      <alignment horizontal="center" vertical="top" wrapText="1"/>
      <protection locked="0"/>
    </xf>
    <xf numFmtId="0" fontId="22" fillId="0" borderId="36" xfId="0" applyFont="1" applyBorder="1" applyAlignment="1" applyProtection="1">
      <alignment horizontal="center" vertical="top" wrapText="1"/>
      <protection locked="0"/>
    </xf>
    <xf numFmtId="0" fontId="22" fillId="0" borderId="17" xfId="0" applyFont="1" applyBorder="1" applyAlignment="1" applyProtection="1">
      <alignment horizontal="center" vertical="top" wrapText="1"/>
      <protection locked="0"/>
    </xf>
    <xf numFmtId="0" fontId="22" fillId="0" borderId="8" xfId="0" applyFont="1" applyBorder="1" applyAlignment="1" applyProtection="1">
      <alignment horizontal="center" vertical="top" wrapText="1"/>
      <protection locked="0"/>
    </xf>
    <xf numFmtId="0" fontId="22" fillId="0" borderId="39" xfId="0" applyFont="1" applyBorder="1" applyAlignment="1" applyProtection="1">
      <alignment horizontal="center" vertical="top" wrapText="1"/>
      <protection locked="0"/>
    </xf>
    <xf numFmtId="0" fontId="22" fillId="0" borderId="40" xfId="0" applyFont="1" applyBorder="1" applyAlignment="1" applyProtection="1">
      <alignment horizontal="center" vertical="top" wrapText="1"/>
      <protection locked="0"/>
    </xf>
    <xf numFmtId="0" fontId="24" fillId="0" borderId="39" xfId="0" applyFont="1" applyBorder="1" applyAlignment="1" applyProtection="1">
      <alignment horizontal="center" vertical="top"/>
      <protection locked="0"/>
    </xf>
    <xf numFmtId="0" fontId="24" fillId="0" borderId="40" xfId="0" applyFont="1" applyBorder="1" applyAlignment="1" applyProtection="1">
      <alignment horizontal="center" vertical="top"/>
      <protection locked="0"/>
    </xf>
    <xf numFmtId="0" fontId="22" fillId="0" borderId="39" xfId="0" applyFont="1" applyBorder="1" applyAlignment="1" applyProtection="1">
      <alignment horizontal="center" vertical="top"/>
      <protection locked="0"/>
    </xf>
    <xf numFmtId="0" fontId="22" fillId="0" borderId="40" xfId="0" applyFont="1" applyBorder="1" applyAlignment="1" applyProtection="1">
      <alignment horizontal="center" vertical="top"/>
      <protection locked="0"/>
    </xf>
    <xf numFmtId="0" fontId="24" fillId="0" borderId="17" xfId="0" applyFont="1" applyBorder="1" applyAlignment="1" applyProtection="1">
      <alignment horizontal="center" vertical="top"/>
      <protection locked="0"/>
    </xf>
    <xf numFmtId="0" fontId="24" fillId="0" borderId="8" xfId="0" applyFont="1" applyBorder="1" applyAlignment="1" applyProtection="1">
      <alignment horizontal="center" vertical="top"/>
      <protection locked="0"/>
    </xf>
    <xf numFmtId="0" fontId="22" fillId="0" borderId="17" xfId="0" applyFont="1" applyBorder="1" applyAlignment="1" applyProtection="1">
      <alignment horizontal="center" vertical="top"/>
      <protection locked="0"/>
    </xf>
    <xf numFmtId="0" fontId="22" fillId="0" borderId="8" xfId="0" applyFont="1" applyBorder="1" applyAlignment="1" applyProtection="1">
      <alignment horizontal="center" vertical="top"/>
      <protection locked="0"/>
    </xf>
    <xf numFmtId="0" fontId="17" fillId="0" borderId="29" xfId="0" applyFont="1" applyBorder="1" applyAlignment="1">
      <alignment horizontal="center" vertical="center" wrapText="1"/>
    </xf>
    <xf numFmtId="0" fontId="17" fillId="0" borderId="16" xfId="0" applyFont="1" applyBorder="1" applyAlignment="1">
      <alignment horizontal="center" vertical="center" wrapText="1"/>
    </xf>
    <xf numFmtId="0" fontId="31" fillId="0" borderId="64" xfId="4" applyFont="1" applyBorder="1" applyAlignment="1">
      <alignment horizontal="left" vertical="center" wrapText="1"/>
    </xf>
    <xf numFmtId="0" fontId="31" fillId="0" borderId="65" xfId="4" applyFont="1" applyBorder="1" applyAlignment="1">
      <alignment horizontal="left" vertical="center" wrapText="1"/>
    </xf>
    <xf numFmtId="0" fontId="35" fillId="0" borderId="55" xfId="4" applyFont="1" applyBorder="1" applyAlignment="1">
      <alignment horizontal="left" vertical="top"/>
    </xf>
    <xf numFmtId="0" fontId="35" fillId="0" borderId="53" xfId="4" applyFont="1" applyBorder="1" applyAlignment="1">
      <alignment horizontal="left" vertical="top"/>
    </xf>
    <xf numFmtId="0" fontId="35" fillId="0" borderId="54" xfId="4" applyFont="1" applyBorder="1" applyAlignment="1">
      <alignment horizontal="left" vertical="top"/>
    </xf>
    <xf numFmtId="0" fontId="35" fillId="0" borderId="57" xfId="4" applyFont="1" applyBorder="1" applyAlignment="1">
      <alignment horizontal="left" vertical="top"/>
    </xf>
    <xf numFmtId="0" fontId="35" fillId="0" borderId="0" xfId="4" applyFont="1" applyAlignment="1">
      <alignment horizontal="left" vertical="top"/>
    </xf>
    <xf numFmtId="0" fontId="35" fillId="0" borderId="51" xfId="4" applyFont="1" applyBorder="1" applyAlignment="1">
      <alignment horizontal="left" vertical="top"/>
    </xf>
    <xf numFmtId="0" fontId="35" fillId="0" borderId="49" xfId="4" applyFont="1" applyBorder="1" applyAlignment="1">
      <alignment horizontal="left" vertical="top"/>
    </xf>
    <xf numFmtId="0" fontId="35" fillId="0" borderId="47" xfId="4" applyFont="1" applyBorder="1" applyAlignment="1">
      <alignment horizontal="left" vertical="top"/>
    </xf>
    <xf numFmtId="0" fontId="35" fillId="0" borderId="48" xfId="4" applyFont="1" applyBorder="1" applyAlignment="1">
      <alignment horizontal="left" vertical="top"/>
    </xf>
    <xf numFmtId="49" fontId="33" fillId="0" borderId="15" xfId="4" applyNumberFormat="1" applyFont="1" applyBorder="1" applyAlignment="1">
      <alignment horizontal="left" vertical="top"/>
    </xf>
    <xf numFmtId="49" fontId="33" fillId="0" borderId="0" xfId="4" applyNumberFormat="1" applyFont="1" applyAlignment="1">
      <alignment horizontal="left" vertical="top"/>
    </xf>
    <xf numFmtId="49" fontId="33" fillId="0" borderId="51" xfId="4" applyNumberFormat="1" applyFont="1" applyBorder="1" applyAlignment="1">
      <alignment horizontal="left" vertical="top"/>
    </xf>
    <xf numFmtId="49" fontId="33" fillId="0" borderId="62" xfId="4" applyNumberFormat="1" applyFont="1" applyBorder="1" applyAlignment="1">
      <alignment horizontal="left" vertical="top"/>
    </xf>
    <xf numFmtId="49" fontId="33" fillId="0" borderId="73" xfId="4" applyNumberFormat="1" applyFont="1" applyBorder="1" applyAlignment="1">
      <alignment horizontal="left" vertical="top"/>
    </xf>
    <xf numFmtId="0" fontId="33" fillId="0" borderId="73" xfId="4" applyFont="1" applyBorder="1" applyAlignment="1">
      <alignment horizontal="left" vertical="top"/>
    </xf>
    <xf numFmtId="0" fontId="33" fillId="0" borderId="74" xfId="4" applyFont="1" applyBorder="1" applyAlignment="1">
      <alignment horizontal="left" vertical="top"/>
    </xf>
    <xf numFmtId="0" fontId="37" fillId="0" borderId="16" xfId="4" applyFont="1" applyBorder="1" applyAlignment="1">
      <alignment horizontal="left" vertical="top"/>
    </xf>
    <xf numFmtId="0" fontId="33" fillId="0" borderId="17" xfId="4" applyFont="1" applyBorder="1" applyAlignment="1">
      <alignment horizontal="left" vertical="top"/>
    </xf>
    <xf numFmtId="0" fontId="33" fillId="0" borderId="8" xfId="4" applyFont="1" applyBorder="1" applyAlignment="1">
      <alignment horizontal="left" vertical="top"/>
    </xf>
    <xf numFmtId="9" fontId="32" fillId="0" borderId="18" xfId="5" applyFont="1" applyBorder="1" applyAlignment="1" applyProtection="1">
      <alignment horizontal="center" vertical="center"/>
    </xf>
    <xf numFmtId="9" fontId="32" fillId="0" borderId="19" xfId="5" applyFont="1" applyBorder="1" applyAlignment="1" applyProtection="1">
      <alignment horizontal="center" vertical="center"/>
    </xf>
    <xf numFmtId="9" fontId="32" fillId="0" borderId="76" xfId="5" applyFont="1" applyBorder="1" applyAlignment="1" applyProtection="1">
      <alignment horizontal="center" vertical="center"/>
    </xf>
    <xf numFmtId="0" fontId="33" fillId="0" borderId="6" xfId="4" applyFont="1" applyBorder="1" applyAlignment="1">
      <alignment horizontal="right" vertical="top"/>
    </xf>
    <xf numFmtId="0" fontId="32" fillId="0" borderId="77" xfId="4" applyFont="1" applyBorder="1" applyAlignment="1">
      <alignment horizontal="center" vertical="center"/>
    </xf>
    <xf numFmtId="0" fontId="32" fillId="0" borderId="78" xfId="4" applyFont="1" applyBorder="1" applyAlignment="1">
      <alignment horizontal="center" vertical="center"/>
    </xf>
    <xf numFmtId="0" fontId="32" fillId="0" borderId="20" xfId="4" applyFont="1" applyBorder="1" applyAlignment="1">
      <alignment horizontal="center" vertical="center"/>
    </xf>
    <xf numFmtId="0" fontId="38" fillId="0" borderId="22" xfId="4" applyFont="1" applyBorder="1" applyAlignment="1">
      <alignment horizontal="center" vertical="center"/>
    </xf>
    <xf numFmtId="0" fontId="32" fillId="0" borderId="22" xfId="4" applyFont="1" applyBorder="1" applyAlignment="1">
      <alignment horizontal="center" vertical="center"/>
    </xf>
    <xf numFmtId="0" fontId="32" fillId="0" borderId="79" xfId="4" applyFont="1" applyBorder="1" applyAlignment="1">
      <alignment horizontal="center" vertical="center"/>
    </xf>
    <xf numFmtId="0" fontId="35" fillId="0" borderId="0" xfId="4" applyFont="1" applyAlignment="1">
      <alignment horizontal="center"/>
    </xf>
    <xf numFmtId="0" fontId="35" fillId="0" borderId="0" xfId="4" applyFont="1" applyAlignment="1">
      <alignment horizontal="center" vertical="center" textRotation="90"/>
    </xf>
    <xf numFmtId="0" fontId="32" fillId="0" borderId="49" xfId="4" applyFont="1" applyBorder="1" applyAlignment="1">
      <alignment horizontal="center" vertical="center" wrapText="1"/>
    </xf>
    <xf numFmtId="0" fontId="8" fillId="0" borderId="47" xfId="4" applyBorder="1"/>
    <xf numFmtId="0" fontId="8" fillId="0" borderId="48" xfId="4" applyBorder="1"/>
    <xf numFmtId="0" fontId="31" fillId="0" borderId="49" xfId="4" applyFont="1" applyBorder="1" applyAlignment="1">
      <alignment horizontal="center" vertical="center"/>
    </xf>
    <xf numFmtId="0" fontId="31" fillId="0" borderId="48" xfId="4" applyFont="1" applyBorder="1" applyAlignment="1">
      <alignment horizontal="center" vertical="center"/>
    </xf>
    <xf numFmtId="166" fontId="31" fillId="0" borderId="49" xfId="4" applyNumberFormat="1" applyFont="1" applyBorder="1" applyAlignment="1">
      <alignment horizontal="center" vertical="center"/>
    </xf>
    <xf numFmtId="166" fontId="31" fillId="0" borderId="50" xfId="4" applyNumberFormat="1" applyFont="1" applyBorder="1" applyAlignment="1">
      <alignment horizontal="center" vertical="center"/>
    </xf>
    <xf numFmtId="0" fontId="8" fillId="0" borderId="0" xfId="4" applyAlignment="1" applyProtection="1">
      <alignment horizontal="center" wrapText="1"/>
      <protection hidden="1"/>
    </xf>
    <xf numFmtId="0" fontId="31" fillId="0" borderId="49" xfId="4" applyFont="1" applyBorder="1" applyAlignment="1">
      <alignment horizontal="left" vertical="center"/>
    </xf>
    <xf numFmtId="0" fontId="31" fillId="0" borderId="48" xfId="4" applyFont="1" applyBorder="1" applyAlignment="1">
      <alignment horizontal="left" vertical="center"/>
    </xf>
    <xf numFmtId="164" fontId="31" fillId="0" borderId="49" xfId="4" applyNumberFormat="1" applyFont="1" applyBorder="1" applyAlignment="1">
      <alignment horizontal="center" vertical="center" shrinkToFit="1"/>
    </xf>
    <xf numFmtId="164" fontId="31" fillId="0" borderId="48" xfId="4" applyNumberFormat="1" applyFont="1" applyBorder="1" applyAlignment="1">
      <alignment horizontal="center" vertical="center" shrinkToFit="1"/>
    </xf>
    <xf numFmtId="167" fontId="34" fillId="0" borderId="49" xfId="4" applyNumberFormat="1" applyFont="1" applyBorder="1" applyAlignment="1">
      <alignment horizontal="center" vertical="center"/>
    </xf>
    <xf numFmtId="167" fontId="34" fillId="0" borderId="50" xfId="4" applyNumberFormat="1" applyFont="1" applyBorder="1" applyAlignment="1">
      <alignment horizontal="center" vertical="center"/>
    </xf>
    <xf numFmtId="0" fontId="35" fillId="0" borderId="52" xfId="4" applyFont="1" applyBorder="1" applyAlignment="1">
      <alignment horizontal="center" wrapText="1"/>
    </xf>
    <xf numFmtId="0" fontId="35" fillId="0" borderId="53" xfId="4" applyFont="1" applyBorder="1" applyAlignment="1">
      <alignment horizontal="center" wrapText="1"/>
    </xf>
    <xf numFmtId="0" fontId="35" fillId="0" borderId="59" xfId="4" applyFont="1" applyBorder="1" applyAlignment="1">
      <alignment horizontal="center" wrapText="1"/>
    </xf>
    <xf numFmtId="0" fontId="35" fillId="0" borderId="61" xfId="4" applyFont="1" applyBorder="1" applyAlignment="1">
      <alignment horizontal="center" wrapText="1"/>
    </xf>
    <xf numFmtId="0" fontId="35" fillId="0" borderId="56" xfId="4" applyFont="1" applyBorder="1" applyAlignment="1">
      <alignment horizontal="center" wrapText="1"/>
    </xf>
    <xf numFmtId="0" fontId="31" fillId="0" borderId="64" xfId="4" applyFont="1" applyBorder="1" applyAlignment="1">
      <alignment horizontal="left" wrapText="1"/>
    </xf>
    <xf numFmtId="0" fontId="31" fillId="0" borderId="65" xfId="4" applyFont="1" applyBorder="1" applyAlignment="1">
      <alignment horizontal="left" wrapText="1"/>
    </xf>
    <xf numFmtId="0" fontId="35" fillId="0" borderId="61" xfId="4" applyFont="1" applyBorder="1" applyAlignment="1">
      <alignment horizontal="left" vertical="top" wrapText="1" readingOrder="1"/>
    </xf>
    <xf numFmtId="0" fontId="35" fillId="0" borderId="53" xfId="4" applyFont="1" applyBorder="1" applyAlignment="1">
      <alignment horizontal="left" vertical="top" wrapText="1" readingOrder="1"/>
    </xf>
    <xf numFmtId="0" fontId="35" fillId="0" borderId="56" xfId="4" applyFont="1" applyBorder="1" applyAlignment="1">
      <alignment horizontal="left" vertical="top" wrapText="1" readingOrder="1"/>
    </xf>
    <xf numFmtId="0" fontId="35" fillId="0" borderId="13" xfId="4" applyFont="1" applyBorder="1" applyAlignment="1">
      <alignment horizontal="left" vertical="top" wrapText="1" readingOrder="1"/>
    </xf>
    <xf numFmtId="0" fontId="35" fillId="0" borderId="0" xfId="4" applyFont="1" applyAlignment="1">
      <alignment horizontal="left" vertical="top" wrapText="1" readingOrder="1"/>
    </xf>
    <xf numFmtId="0" fontId="35" fillId="0" borderId="14" xfId="4" applyFont="1" applyBorder="1" applyAlignment="1">
      <alignment horizontal="left" vertical="top" wrapText="1" readingOrder="1"/>
    </xf>
    <xf numFmtId="0" fontId="35" fillId="0" borderId="72" xfId="4" applyFont="1" applyBorder="1" applyAlignment="1">
      <alignment horizontal="left" vertical="top" wrapText="1" readingOrder="1"/>
    </xf>
    <xf numFmtId="0" fontId="35" fillId="0" borderId="47" xfId="4" applyFont="1" applyBorder="1" applyAlignment="1">
      <alignment horizontal="left" vertical="top" wrapText="1" readingOrder="1"/>
    </xf>
    <xf numFmtId="0" fontId="35" fillId="0" borderId="50" xfId="4" applyFont="1" applyBorder="1" applyAlignment="1">
      <alignment horizontal="left" vertical="top" wrapText="1" readingOrder="1"/>
    </xf>
    <xf numFmtId="0" fontId="32" fillId="0" borderId="5" xfId="4" applyFont="1" applyBorder="1" applyAlignment="1">
      <alignment horizontal="center" vertical="center" wrapText="1"/>
    </xf>
    <xf numFmtId="0" fontId="32" fillId="0" borderId="6" xfId="4" applyFont="1" applyBorder="1" applyAlignment="1">
      <alignment horizontal="center" vertical="center" wrapText="1"/>
    </xf>
    <xf numFmtId="0" fontId="32" fillId="0" borderId="44" xfId="4" applyFont="1" applyBorder="1" applyAlignment="1">
      <alignment horizontal="center" vertical="center" wrapText="1"/>
    </xf>
    <xf numFmtId="0" fontId="32" fillId="0" borderId="45" xfId="4" applyFont="1" applyBorder="1" applyAlignment="1">
      <alignment horizontal="center" vertical="center" wrapText="1"/>
    </xf>
    <xf numFmtId="0" fontId="8" fillId="0" borderId="6" xfId="4" applyBorder="1"/>
    <xf numFmtId="0" fontId="8" fillId="0" borderId="44" xfId="4" applyBorder="1"/>
    <xf numFmtId="0" fontId="33" fillId="0" borderId="45" xfId="4" applyFont="1" applyBorder="1" applyAlignment="1">
      <alignment horizontal="left" vertical="top"/>
    </xf>
    <xf numFmtId="0" fontId="33" fillId="0" borderId="44" xfId="4" applyFont="1" applyBorder="1" applyAlignment="1">
      <alignment horizontal="left" vertical="top"/>
    </xf>
    <xf numFmtId="0" fontId="33" fillId="0" borderId="7" xfId="4" applyFont="1" applyBorder="1" applyAlignment="1">
      <alignment horizontal="left" vertical="top"/>
    </xf>
    <xf numFmtId="0" fontId="30" fillId="0" borderId="0" xfId="3" applyFont="1" applyBorder="1" applyAlignment="1" applyProtection="1">
      <alignment horizontal="center" vertical="center"/>
    </xf>
    <xf numFmtId="0" fontId="8" fillId="0" borderId="0" xfId="4" applyAlignment="1" applyProtection="1">
      <alignment horizontal="center"/>
      <protection hidden="1"/>
    </xf>
    <xf numFmtId="0" fontId="33" fillId="0" borderId="52" xfId="4" applyFont="1" applyBorder="1" applyAlignment="1">
      <alignment horizontal="left" vertical="top"/>
    </xf>
    <xf numFmtId="0" fontId="33" fillId="0" borderId="53" xfId="4" applyFont="1" applyBorder="1" applyAlignment="1">
      <alignment horizontal="left" vertical="top"/>
    </xf>
    <xf numFmtId="0" fontId="33" fillId="0" borderId="54" xfId="4" applyFont="1" applyBorder="1" applyAlignment="1">
      <alignment horizontal="left" vertical="top"/>
    </xf>
    <xf numFmtId="0" fontId="33" fillId="0" borderId="55" xfId="4" applyFont="1" applyBorder="1" applyAlignment="1">
      <alignment horizontal="left" vertical="top"/>
    </xf>
    <xf numFmtId="0" fontId="33" fillId="0" borderId="55" xfId="4" applyFont="1" applyBorder="1" applyAlignment="1">
      <alignment horizontal="left" vertical="top" wrapText="1"/>
    </xf>
    <xf numFmtId="0" fontId="33" fillId="0" borderId="54" xfId="4" applyFont="1" applyBorder="1" applyAlignment="1">
      <alignment horizontal="left" vertical="top" wrapText="1"/>
    </xf>
    <xf numFmtId="0" fontId="33" fillId="0" borderId="55" xfId="4" applyFont="1" applyBorder="1" applyAlignment="1">
      <alignment horizontal="left" vertical="top" shrinkToFit="1"/>
    </xf>
    <xf numFmtId="0" fontId="33" fillId="0" borderId="54" xfId="4" applyFont="1" applyBorder="1" applyAlignment="1">
      <alignment horizontal="left" vertical="top" shrinkToFit="1"/>
    </xf>
    <xf numFmtId="0" fontId="33" fillId="0" borderId="56" xfId="4" applyFont="1" applyBorder="1" applyAlignment="1">
      <alignment horizontal="left" vertical="top"/>
    </xf>
    <xf numFmtId="0" fontId="8" fillId="0" borderId="46" xfId="4" applyBorder="1" applyAlignment="1">
      <alignment horizontal="left" vertical="center"/>
    </xf>
    <xf numFmtId="0" fontId="8" fillId="0" borderId="47" xfId="4" applyBorder="1" applyAlignment="1">
      <alignment horizontal="left" vertical="center"/>
    </xf>
    <xf numFmtId="0" fontId="8" fillId="0" borderId="48" xfId="4" applyBorder="1" applyAlignment="1">
      <alignment horizontal="left" vertical="center"/>
    </xf>
    <xf numFmtId="0" fontId="31" fillId="0" borderId="49" xfId="4" applyFont="1" applyBorder="1" applyAlignment="1">
      <alignment vertical="center"/>
    </xf>
    <xf numFmtId="0" fontId="31" fillId="0" borderId="51" xfId="4" applyFont="1" applyBorder="1" applyAlignment="1">
      <alignment vertical="center"/>
    </xf>
    <xf numFmtId="0" fontId="31" fillId="0" borderId="57" xfId="4" applyFont="1" applyBorder="1" applyAlignment="1">
      <alignment vertical="center"/>
    </xf>
    <xf numFmtId="0" fontId="31" fillId="0" borderId="0" xfId="4" applyFont="1" applyAlignment="1">
      <alignment vertical="center"/>
    </xf>
    <xf numFmtId="0" fontId="32" fillId="0" borderId="46" xfId="4" applyFont="1" applyBorder="1" applyAlignment="1">
      <alignment horizontal="center" vertical="center" wrapText="1"/>
    </xf>
    <xf numFmtId="0" fontId="32" fillId="0" borderId="47" xfId="4" applyFont="1" applyBorder="1" applyAlignment="1">
      <alignment horizontal="center" vertical="center" wrapText="1"/>
    </xf>
    <xf numFmtId="0" fontId="32" fillId="0" borderId="48" xfId="4" applyFont="1" applyBorder="1" applyAlignment="1">
      <alignment horizontal="center" vertical="center" wrapText="1"/>
    </xf>
    <xf numFmtId="0" fontId="31" fillId="0" borderId="49" xfId="4" applyFont="1" applyBorder="1" applyAlignment="1" applyProtection="1">
      <alignment horizontal="center" vertical="center"/>
      <protection locked="0"/>
    </xf>
    <xf numFmtId="0" fontId="31" fillId="0" borderId="48" xfId="4" applyFont="1" applyBorder="1" applyAlignment="1" applyProtection="1">
      <alignment horizontal="center" vertical="center"/>
      <protection locked="0"/>
    </xf>
    <xf numFmtId="166" fontId="31" fillId="0" borderId="49" xfId="4" applyNumberFormat="1" applyFont="1" applyBorder="1" applyAlignment="1" applyProtection="1">
      <alignment horizontal="center" vertical="center"/>
      <protection locked="0"/>
    </xf>
    <xf numFmtId="166" fontId="31" fillId="0" borderId="50" xfId="4" applyNumberFormat="1" applyFont="1" applyBorder="1" applyAlignment="1" applyProtection="1">
      <alignment horizontal="center" vertical="center"/>
      <protection locked="0"/>
    </xf>
    <xf numFmtId="0" fontId="8" fillId="0" borderId="46" xfId="4" applyBorder="1" applyAlignment="1" applyProtection="1">
      <alignment horizontal="left" vertical="center"/>
      <protection locked="0"/>
    </xf>
    <xf numFmtId="0" fontId="8" fillId="0" borderId="47" xfId="4" applyBorder="1" applyAlignment="1" applyProtection="1">
      <alignment horizontal="left" vertical="center"/>
      <protection locked="0"/>
    </xf>
    <xf numFmtId="0" fontId="8" fillId="0" borderId="48" xfId="4" applyBorder="1" applyAlignment="1" applyProtection="1">
      <alignment horizontal="left" vertical="center"/>
      <protection locked="0"/>
    </xf>
    <xf numFmtId="0" fontId="31" fillId="0" borderId="49" xfId="4" applyFont="1" applyBorder="1" applyAlignment="1" applyProtection="1">
      <alignment vertical="center"/>
      <protection locked="0"/>
    </xf>
    <xf numFmtId="0" fontId="31" fillId="0" borderId="51" xfId="4" applyFont="1" applyBorder="1" applyAlignment="1" applyProtection="1">
      <alignment vertical="center"/>
      <protection locked="0"/>
    </xf>
    <xf numFmtId="0" fontId="31" fillId="0" borderId="57" xfId="4" applyFont="1" applyBorder="1" applyAlignment="1" applyProtection="1">
      <alignment vertical="center"/>
      <protection locked="0"/>
    </xf>
    <xf numFmtId="0" fontId="31" fillId="0" borderId="0" xfId="4" applyFont="1" applyAlignment="1" applyProtection="1">
      <alignment vertical="center"/>
      <protection locked="0"/>
    </xf>
    <xf numFmtId="0" fontId="31" fillId="0" borderId="49" xfId="4" applyFont="1" applyBorder="1" applyAlignment="1" applyProtection="1">
      <alignment horizontal="left" vertical="center"/>
      <protection locked="0"/>
    </xf>
    <xf numFmtId="0" fontId="31" fillId="0" borderId="48" xfId="4" applyFont="1" applyBorder="1" applyAlignment="1" applyProtection="1">
      <alignment horizontal="left" vertical="center"/>
      <protection locked="0"/>
    </xf>
    <xf numFmtId="164" fontId="31" fillId="0" borderId="49" xfId="4" applyNumberFormat="1" applyFont="1" applyBorder="1" applyAlignment="1" applyProtection="1">
      <alignment horizontal="center" vertical="center" shrinkToFit="1"/>
      <protection locked="0"/>
    </xf>
    <xf numFmtId="164" fontId="31" fillId="0" borderId="48" xfId="4" applyNumberFormat="1" applyFont="1" applyBorder="1" applyAlignment="1" applyProtection="1">
      <alignment horizontal="center" vertical="center" shrinkToFit="1"/>
      <protection locked="0"/>
    </xf>
    <xf numFmtId="0" fontId="35" fillId="0" borderId="61" xfId="4" applyFont="1" applyBorder="1" applyAlignment="1" applyProtection="1">
      <alignment horizontal="left" vertical="top" wrapText="1" readingOrder="1"/>
      <protection locked="0"/>
    </xf>
    <xf numFmtId="0" fontId="35" fillId="0" borderId="53" xfId="4" applyFont="1" applyBorder="1" applyAlignment="1" applyProtection="1">
      <alignment horizontal="left" vertical="top" wrapText="1" readingOrder="1"/>
      <protection locked="0"/>
    </xf>
    <xf numFmtId="0" fontId="35" fillId="0" borderId="56" xfId="4" applyFont="1" applyBorder="1" applyAlignment="1" applyProtection="1">
      <alignment horizontal="left" vertical="top" wrapText="1" readingOrder="1"/>
      <protection locked="0"/>
    </xf>
    <xf numFmtId="0" fontId="35" fillId="0" borderId="13" xfId="4" applyFont="1" applyBorder="1" applyAlignment="1" applyProtection="1">
      <alignment horizontal="left" vertical="top" wrapText="1" readingOrder="1"/>
      <protection locked="0"/>
    </xf>
    <xf numFmtId="0" fontId="35" fillId="0" borderId="0" xfId="4" applyFont="1" applyAlignment="1" applyProtection="1">
      <alignment horizontal="left" vertical="top" wrapText="1" readingOrder="1"/>
      <protection locked="0"/>
    </xf>
    <xf numFmtId="0" fontId="35" fillId="0" borderId="14" xfId="4" applyFont="1" applyBorder="1" applyAlignment="1" applyProtection="1">
      <alignment horizontal="left" vertical="top" wrapText="1" readingOrder="1"/>
      <protection locked="0"/>
    </xf>
    <xf numFmtId="0" fontId="35" fillId="0" borderId="72" xfId="4" applyFont="1" applyBorder="1" applyAlignment="1" applyProtection="1">
      <alignment horizontal="left" vertical="top" wrapText="1" readingOrder="1"/>
      <protection locked="0"/>
    </xf>
    <xf numFmtId="0" fontId="35" fillId="0" borderId="47" xfId="4" applyFont="1" applyBorder="1" applyAlignment="1" applyProtection="1">
      <alignment horizontal="left" vertical="top" wrapText="1" readingOrder="1"/>
      <protection locked="0"/>
    </xf>
    <xf numFmtId="0" fontId="35" fillId="0" borderId="50" xfId="4" applyFont="1" applyBorder="1" applyAlignment="1" applyProtection="1">
      <alignment horizontal="left" vertical="top" wrapText="1" readingOrder="1"/>
      <protection locked="0"/>
    </xf>
    <xf numFmtId="0" fontId="32" fillId="0" borderId="22" xfId="4" applyFont="1" applyBorder="1" applyAlignment="1" applyProtection="1">
      <alignment horizontal="center" vertical="center"/>
      <protection locked="0"/>
    </xf>
    <xf numFmtId="0" fontId="32" fillId="0" borderId="79" xfId="4" applyFont="1" applyBorder="1" applyAlignment="1" applyProtection="1">
      <alignment horizontal="center" vertical="center"/>
      <protection locked="0"/>
    </xf>
    <xf numFmtId="0" fontId="35" fillId="0" borderId="55" xfId="4" applyFont="1" applyBorder="1" applyAlignment="1" applyProtection="1">
      <alignment horizontal="left" vertical="top"/>
      <protection locked="0"/>
    </xf>
    <xf numFmtId="0" fontId="35" fillId="0" borderId="53" xfId="4" applyFont="1" applyBorder="1" applyAlignment="1" applyProtection="1">
      <alignment horizontal="left" vertical="top"/>
      <protection locked="0"/>
    </xf>
    <xf numFmtId="0" fontId="35" fillId="0" borderId="54" xfId="4" applyFont="1" applyBorder="1" applyAlignment="1" applyProtection="1">
      <alignment horizontal="left" vertical="top"/>
      <protection locked="0"/>
    </xf>
    <xf numFmtId="0" fontId="35" fillId="0" borderId="57" xfId="4" applyFont="1" applyBorder="1" applyAlignment="1" applyProtection="1">
      <alignment horizontal="left" vertical="top"/>
      <protection locked="0"/>
    </xf>
    <xf numFmtId="0" fontId="35" fillId="0" borderId="0" xfId="4" applyFont="1" applyAlignment="1" applyProtection="1">
      <alignment horizontal="left" vertical="top"/>
      <protection locked="0"/>
    </xf>
    <xf numFmtId="0" fontId="35" fillId="0" borderId="51" xfId="4" applyFont="1" applyBorder="1" applyAlignment="1" applyProtection="1">
      <alignment horizontal="left" vertical="top"/>
      <protection locked="0"/>
    </xf>
    <xf numFmtId="0" fontId="35" fillId="0" borderId="49" xfId="4" applyFont="1" applyBorder="1" applyAlignment="1" applyProtection="1">
      <alignment horizontal="left" vertical="top"/>
      <protection locked="0"/>
    </xf>
    <xf numFmtId="0" fontId="35" fillId="0" borderId="47" xfId="4" applyFont="1" applyBorder="1" applyAlignment="1" applyProtection="1">
      <alignment horizontal="left" vertical="top"/>
      <protection locked="0"/>
    </xf>
    <xf numFmtId="0" fontId="35" fillId="0" borderId="48" xfId="4" applyFont="1" applyBorder="1" applyAlignment="1" applyProtection="1">
      <alignment horizontal="left" vertical="top"/>
      <protection locked="0"/>
    </xf>
    <xf numFmtId="0" fontId="30" fillId="0" borderId="0" xfId="3" applyFont="1" applyBorder="1" applyAlignment="1" applyProtection="1">
      <alignment horizontal="center" vertical="center"/>
      <protection locked="0"/>
    </xf>
    <xf numFmtId="0" fontId="30" fillId="0" borderId="0" xfId="3" applyFont="1" applyBorder="1" applyAlignment="1" applyProtection="1">
      <alignment horizontal="left" vertical="center"/>
      <protection locked="0"/>
    </xf>
    <xf numFmtId="172" fontId="54" fillId="0" borderId="55" xfId="7" applyNumberFormat="1" applyFont="1" applyBorder="1" applyAlignment="1" applyProtection="1">
      <alignment horizontal="left" vertical="top"/>
      <protection locked="0"/>
    </xf>
    <xf numFmtId="172" fontId="54" fillId="0" borderId="53" xfId="7" applyNumberFormat="1" applyFont="1" applyBorder="1" applyAlignment="1" applyProtection="1">
      <alignment horizontal="left" vertical="top"/>
      <protection locked="0"/>
    </xf>
    <xf numFmtId="172" fontId="54" fillId="0" borderId="54" xfId="7" applyNumberFormat="1" applyFont="1" applyBorder="1" applyAlignment="1" applyProtection="1">
      <alignment horizontal="left" vertical="top"/>
      <protection locked="0"/>
    </xf>
    <xf numFmtId="172" fontId="54" fillId="0" borderId="57" xfId="7" applyNumberFormat="1" applyFont="1" applyBorder="1" applyAlignment="1" applyProtection="1">
      <alignment horizontal="left" vertical="top"/>
      <protection locked="0"/>
    </xf>
    <xf numFmtId="172" fontId="54" fillId="0" borderId="0" xfId="7" applyNumberFormat="1" applyFont="1" applyAlignment="1" applyProtection="1">
      <alignment horizontal="left" vertical="top"/>
      <protection locked="0"/>
    </xf>
    <xf numFmtId="172" fontId="54" fillId="0" borderId="51" xfId="7" applyNumberFormat="1" applyFont="1" applyBorder="1" applyAlignment="1" applyProtection="1">
      <alignment horizontal="left" vertical="top"/>
      <protection locked="0"/>
    </xf>
    <xf numFmtId="172" fontId="54" fillId="0" borderId="49" xfId="7" applyNumberFormat="1" applyFont="1" applyBorder="1" applyAlignment="1" applyProtection="1">
      <alignment horizontal="left" vertical="top"/>
      <protection locked="0"/>
    </xf>
    <xf numFmtId="172" fontId="54" fillId="0" borderId="47" xfId="7" applyNumberFormat="1" applyFont="1" applyBorder="1" applyAlignment="1" applyProtection="1">
      <alignment horizontal="left" vertical="top"/>
      <protection locked="0"/>
    </xf>
    <xf numFmtId="172" fontId="54" fillId="0" borderId="48" xfId="7" applyNumberFormat="1" applyFont="1" applyBorder="1" applyAlignment="1" applyProtection="1">
      <alignment horizontal="left" vertical="top"/>
      <protection locked="0"/>
    </xf>
    <xf numFmtId="0" fontId="49" fillId="0" borderId="0" xfId="7" applyFont="1" applyAlignment="1">
      <alignment horizontal="center" vertical="center"/>
    </xf>
    <xf numFmtId="0" fontId="49" fillId="0" borderId="53" xfId="7" applyFont="1" applyBorder="1" applyAlignment="1" applyProtection="1">
      <alignment horizontal="center" vertical="center"/>
      <protection locked="0"/>
    </xf>
    <xf numFmtId="0" fontId="49" fillId="0" borderId="54" xfId="7" applyFont="1" applyBorder="1" applyAlignment="1" applyProtection="1">
      <alignment horizontal="center" vertical="center"/>
      <protection locked="0"/>
    </xf>
    <xf numFmtId="0" fontId="49" fillId="0" borderId="47" xfId="7" applyFont="1" applyBorder="1" applyAlignment="1" applyProtection="1">
      <alignment horizontal="center" vertical="center"/>
      <protection locked="0"/>
    </xf>
    <xf numFmtId="0" fontId="49" fillId="0" borderId="48" xfId="7" applyFont="1" applyBorder="1" applyAlignment="1" applyProtection="1">
      <alignment horizontal="center" vertical="center"/>
      <protection locked="0"/>
    </xf>
    <xf numFmtId="1" fontId="47" fillId="0" borderId="0" xfId="7" applyNumberFormat="1" applyFont="1" applyAlignment="1">
      <alignment horizontal="center" vertical="center"/>
    </xf>
    <xf numFmtId="1" fontId="47" fillId="0" borderId="51" xfId="7" applyNumberFormat="1" applyFont="1" applyBorder="1" applyAlignment="1">
      <alignment horizontal="center" vertical="center"/>
    </xf>
    <xf numFmtId="1" fontId="8" fillId="0" borderId="17" xfId="7" applyNumberFormat="1" applyBorder="1" applyAlignment="1" applyProtection="1">
      <alignment horizontal="center" vertical="center"/>
      <protection locked="0"/>
    </xf>
    <xf numFmtId="1" fontId="8" fillId="0" borderId="64" xfId="7" applyNumberFormat="1" applyBorder="1" applyAlignment="1" applyProtection="1">
      <alignment horizontal="center" vertical="center"/>
      <protection locked="0"/>
    </xf>
    <xf numFmtId="1" fontId="8" fillId="0" borderId="8" xfId="7" applyNumberFormat="1" applyBorder="1" applyAlignment="1" applyProtection="1">
      <alignment horizontal="center" vertical="center"/>
      <protection locked="0"/>
    </xf>
    <xf numFmtId="165" fontId="8" fillId="0" borderId="17" xfId="7" applyNumberFormat="1" applyBorder="1" applyAlignment="1" applyProtection="1">
      <alignment horizontal="center"/>
      <protection locked="0"/>
    </xf>
    <xf numFmtId="165" fontId="8" fillId="0" borderId="8" xfId="7" applyNumberFormat="1" applyBorder="1" applyAlignment="1" applyProtection="1">
      <alignment horizontal="center"/>
      <protection locked="0"/>
    </xf>
    <xf numFmtId="0" fontId="47" fillId="0" borderId="0" xfId="7" applyFont="1" applyAlignment="1">
      <alignment horizontal="left" vertical="center"/>
    </xf>
    <xf numFmtId="0" fontId="30" fillId="0" borderId="0" xfId="3" applyFont="1" applyBorder="1" applyAlignment="1" applyProtection="1">
      <alignment horizontal="left" vertical="center"/>
    </xf>
    <xf numFmtId="0" fontId="56" fillId="0" borderId="0" xfId="4" applyFont="1" applyAlignment="1">
      <alignment horizontal="center" vertical="center"/>
    </xf>
    <xf numFmtId="1" fontId="8" fillId="0" borderId="17" xfId="7" applyNumberFormat="1" applyBorder="1" applyAlignment="1">
      <alignment horizontal="center" vertical="center"/>
    </xf>
    <xf numFmtId="1" fontId="8" fillId="0" borderId="64" xfId="7" applyNumberFormat="1" applyBorder="1" applyAlignment="1">
      <alignment horizontal="center" vertical="center"/>
    </xf>
    <xf numFmtId="1" fontId="8" fillId="0" borderId="8" xfId="7" applyNumberFormat="1" applyBorder="1" applyAlignment="1">
      <alignment horizontal="center" vertical="center"/>
    </xf>
    <xf numFmtId="165" fontId="8" fillId="0" borderId="17" xfId="7" applyNumberFormat="1" applyBorder="1" applyAlignment="1">
      <alignment horizontal="center"/>
    </xf>
    <xf numFmtId="165" fontId="8" fillId="0" borderId="8" xfId="7" applyNumberFormat="1" applyBorder="1" applyAlignment="1">
      <alignment horizontal="center"/>
    </xf>
    <xf numFmtId="0" fontId="35" fillId="0" borderId="0" xfId="4" applyFont="1" applyAlignment="1">
      <alignment horizontal="center" vertical="center"/>
    </xf>
    <xf numFmtId="0" fontId="47" fillId="0" borderId="0" xfId="4" applyFont="1" applyAlignment="1">
      <alignment horizontal="left" vertical="center"/>
    </xf>
    <xf numFmtId="172" fontId="8" fillId="0" borderId="55" xfId="4" applyNumberFormat="1" applyBorder="1" applyAlignment="1">
      <alignment horizontal="left" vertical="top"/>
    </xf>
    <xf numFmtId="172" fontId="8" fillId="0" borderId="53" xfId="4" applyNumberFormat="1" applyBorder="1" applyAlignment="1">
      <alignment horizontal="left" vertical="top"/>
    </xf>
    <xf numFmtId="172" fontId="8" fillId="0" borderId="54" xfId="4" applyNumberFormat="1" applyBorder="1" applyAlignment="1">
      <alignment horizontal="left" vertical="top"/>
    </xf>
    <xf numFmtId="172" fontId="8" fillId="0" borderId="57" xfId="4" applyNumberFormat="1" applyBorder="1" applyAlignment="1">
      <alignment horizontal="left" vertical="top"/>
    </xf>
    <xf numFmtId="172" fontId="8" fillId="0" borderId="0" xfId="4" applyNumberFormat="1" applyAlignment="1">
      <alignment horizontal="left" vertical="top"/>
    </xf>
    <xf numFmtId="172" fontId="8" fillId="0" borderId="51" xfId="4" applyNumberFormat="1" applyBorder="1" applyAlignment="1">
      <alignment horizontal="left" vertical="top"/>
    </xf>
    <xf numFmtId="172" fontId="8" fillId="0" borderId="49" xfId="4" applyNumberFormat="1" applyBorder="1" applyAlignment="1">
      <alignment horizontal="left" vertical="top"/>
    </xf>
    <xf numFmtId="172" fontId="8" fillId="0" borderId="47" xfId="4" applyNumberFormat="1" applyBorder="1" applyAlignment="1">
      <alignment horizontal="left" vertical="top"/>
    </xf>
    <xf numFmtId="172" fontId="8" fillId="0" borderId="48" xfId="4" applyNumberFormat="1" applyBorder="1" applyAlignment="1">
      <alignment horizontal="left" vertical="top"/>
    </xf>
    <xf numFmtId="0" fontId="49" fillId="0" borderId="53" xfId="7" applyFont="1" applyBorder="1" applyAlignment="1">
      <alignment horizontal="center" vertical="center"/>
    </xf>
    <xf numFmtId="0" fontId="49" fillId="0" borderId="54" xfId="7" applyFont="1" applyBorder="1" applyAlignment="1">
      <alignment horizontal="center" vertical="center"/>
    </xf>
    <xf numFmtId="0" fontId="49" fillId="0" borderId="47" xfId="7" applyFont="1" applyBorder="1" applyAlignment="1">
      <alignment horizontal="center" vertical="center"/>
    </xf>
    <xf numFmtId="0" fontId="49" fillId="0" borderId="48" xfId="7" applyFont="1" applyBorder="1" applyAlignment="1">
      <alignment horizontal="center" vertical="center"/>
    </xf>
    <xf numFmtId="0" fontId="32" fillId="0" borderId="5" xfId="17" applyFont="1" applyBorder="1" applyAlignment="1">
      <alignment horizontal="center" vertical="center" wrapText="1"/>
    </xf>
    <xf numFmtId="0" fontId="32" fillId="0" borderId="6" xfId="17" applyFont="1" applyBorder="1" applyAlignment="1">
      <alignment horizontal="center" vertical="center" wrapText="1"/>
    </xf>
    <xf numFmtId="0" fontId="32" fillId="0" borderId="44" xfId="17" applyFont="1" applyBorder="1" applyAlignment="1">
      <alignment horizontal="center" vertical="center" wrapText="1"/>
    </xf>
    <xf numFmtId="0" fontId="32" fillId="0" borderId="45" xfId="17" applyFont="1" applyBorder="1" applyAlignment="1">
      <alignment horizontal="center" vertical="center" wrapText="1"/>
    </xf>
    <xf numFmtId="0" fontId="8" fillId="0" borderId="6" xfId="17" applyFont="1" applyBorder="1"/>
    <xf numFmtId="0" fontId="8" fillId="0" borderId="44" xfId="17" applyFont="1" applyBorder="1"/>
    <xf numFmtId="0" fontId="33" fillId="0" borderId="45" xfId="17" applyFont="1" applyBorder="1" applyAlignment="1">
      <alignment horizontal="left" vertical="top"/>
    </xf>
    <xf numFmtId="0" fontId="33" fillId="0" borderId="44" xfId="17" applyFont="1" applyBorder="1" applyAlignment="1">
      <alignment horizontal="left" vertical="top"/>
    </xf>
    <xf numFmtId="0" fontId="33" fillId="0" borderId="7" xfId="17" applyFont="1" applyBorder="1" applyAlignment="1">
      <alignment horizontal="left" vertical="top"/>
    </xf>
    <xf numFmtId="0" fontId="32" fillId="0" borderId="46" xfId="17" applyFont="1" applyBorder="1" applyAlignment="1">
      <alignment horizontal="center" vertical="center" wrapText="1"/>
    </xf>
    <xf numFmtId="0" fontId="32" fillId="0" borderId="47" xfId="17" applyFont="1" applyBorder="1" applyAlignment="1">
      <alignment horizontal="center" vertical="center" wrapText="1"/>
    </xf>
    <xf numFmtId="0" fontId="32" fillId="0" borderId="48" xfId="17" applyFont="1" applyBorder="1" applyAlignment="1">
      <alignment horizontal="center" vertical="center" wrapText="1"/>
    </xf>
    <xf numFmtId="0" fontId="32" fillId="0" borderId="49" xfId="17" applyFont="1" applyBorder="1" applyAlignment="1">
      <alignment horizontal="center" vertical="center" wrapText="1"/>
    </xf>
    <xf numFmtId="0" fontId="8" fillId="0" borderId="47" xfId="17" applyFont="1" applyBorder="1"/>
    <xf numFmtId="0" fontId="8" fillId="0" borderId="48" xfId="17" applyFont="1" applyBorder="1"/>
    <xf numFmtId="0" fontId="31" fillId="0" borderId="49" xfId="17" applyFont="1" applyBorder="1" applyAlignment="1" applyProtection="1">
      <alignment horizontal="center" vertical="center"/>
      <protection locked="0"/>
    </xf>
    <xf numFmtId="0" fontId="31" fillId="0" borderId="48" xfId="17" applyFont="1" applyBorder="1" applyAlignment="1" applyProtection="1">
      <alignment horizontal="center" vertical="center"/>
      <protection locked="0"/>
    </xf>
    <xf numFmtId="166" fontId="31" fillId="0" borderId="49" xfId="17" applyNumberFormat="1" applyFont="1" applyBorder="1" applyAlignment="1" applyProtection="1">
      <alignment horizontal="center" vertical="center"/>
      <protection locked="0"/>
    </xf>
    <xf numFmtId="166" fontId="31" fillId="0" borderId="50" xfId="17" applyNumberFormat="1" applyFont="1" applyBorder="1" applyAlignment="1" applyProtection="1">
      <alignment horizontal="center" vertical="center"/>
      <protection locked="0"/>
    </xf>
    <xf numFmtId="0" fontId="8" fillId="0" borderId="0" xfId="17" applyFont="1" applyAlignment="1" applyProtection="1">
      <alignment horizontal="center" wrapText="1"/>
      <protection hidden="1"/>
    </xf>
    <xf numFmtId="0" fontId="2" fillId="0" borderId="0" xfId="17" applyAlignment="1" applyProtection="1">
      <alignment horizontal="center"/>
      <protection hidden="1"/>
    </xf>
    <xf numFmtId="0" fontId="33" fillId="0" borderId="52" xfId="17" applyFont="1" applyBorder="1" applyAlignment="1">
      <alignment horizontal="left" vertical="top"/>
    </xf>
    <xf numFmtId="0" fontId="33" fillId="0" borderId="53" xfId="17" applyFont="1" applyBorder="1" applyAlignment="1">
      <alignment horizontal="left" vertical="top"/>
    </xf>
    <xf numFmtId="0" fontId="33" fillId="0" borderId="54" xfId="17" applyFont="1" applyBorder="1" applyAlignment="1">
      <alignment horizontal="left" vertical="top"/>
    </xf>
    <xf numFmtId="0" fontId="33" fillId="0" borderId="55" xfId="17" applyFont="1" applyBorder="1" applyAlignment="1">
      <alignment horizontal="left" vertical="top"/>
    </xf>
    <xf numFmtId="0" fontId="33" fillId="0" borderId="55" xfId="17" applyFont="1" applyBorder="1" applyAlignment="1">
      <alignment horizontal="left" vertical="top" wrapText="1"/>
    </xf>
    <xf numFmtId="0" fontId="33" fillId="0" borderId="54" xfId="17" applyFont="1" applyBorder="1" applyAlignment="1">
      <alignment horizontal="left" vertical="top" wrapText="1"/>
    </xf>
    <xf numFmtId="0" fontId="33" fillId="0" borderId="55" xfId="17" applyFont="1" applyBorder="1" applyAlignment="1">
      <alignment horizontal="left" vertical="top" shrinkToFit="1"/>
    </xf>
    <xf numFmtId="0" fontId="33" fillId="0" borderId="54" xfId="17" applyFont="1" applyBorder="1" applyAlignment="1">
      <alignment horizontal="left" vertical="top" shrinkToFit="1"/>
    </xf>
    <xf numFmtId="0" fontId="33" fillId="0" borderId="56" xfId="17" applyFont="1" applyBorder="1" applyAlignment="1">
      <alignment horizontal="left" vertical="top"/>
    </xf>
    <xf numFmtId="0" fontId="8" fillId="0" borderId="46" xfId="17" applyFont="1" applyBorder="1" applyAlignment="1" applyProtection="1">
      <alignment horizontal="left" vertical="center"/>
      <protection locked="0"/>
    </xf>
    <xf numFmtId="0" fontId="2" fillId="0" borderId="47" xfId="17" applyBorder="1" applyAlignment="1" applyProtection="1">
      <alignment horizontal="left" vertical="center"/>
      <protection locked="0"/>
    </xf>
    <xf numFmtId="0" fontId="2" fillId="0" borderId="48" xfId="17" applyBorder="1" applyAlignment="1" applyProtection="1">
      <alignment horizontal="left" vertical="center"/>
      <protection locked="0"/>
    </xf>
    <xf numFmtId="0" fontId="31" fillId="0" borderId="49" xfId="17" applyFont="1" applyBorder="1" applyAlignment="1">
      <alignment vertical="center"/>
    </xf>
    <xf numFmtId="0" fontId="31" fillId="0" borderId="51" xfId="17" applyFont="1" applyBorder="1" applyAlignment="1">
      <alignment vertical="center"/>
    </xf>
    <xf numFmtId="0" fontId="31" fillId="0" borderId="57" xfId="17" applyFont="1" applyBorder="1" applyAlignment="1" applyProtection="1">
      <alignment vertical="center"/>
      <protection locked="0"/>
    </xf>
    <xf numFmtId="0" fontId="31" fillId="0" borderId="0" xfId="17" applyFont="1" applyAlignment="1" applyProtection="1">
      <alignment vertical="center"/>
      <protection locked="0"/>
    </xf>
    <xf numFmtId="0" fontId="31" fillId="0" borderId="51" xfId="17" applyFont="1" applyBorder="1" applyAlignment="1" applyProtection="1">
      <alignment vertical="center"/>
      <protection locked="0"/>
    </xf>
    <xf numFmtId="0" fontId="31" fillId="0" borderId="64" xfId="17" applyFont="1" applyBorder="1" applyAlignment="1">
      <alignment horizontal="left" vertical="center" wrapText="1"/>
    </xf>
    <xf numFmtId="0" fontId="31" fillId="0" borderId="65" xfId="17" applyFont="1" applyBorder="1" applyAlignment="1">
      <alignment horizontal="left" vertical="center" wrapText="1"/>
    </xf>
    <xf numFmtId="0" fontId="31" fillId="0" borderId="49" xfId="17" applyFont="1" applyBorder="1" applyAlignment="1">
      <alignment horizontal="left" vertical="center"/>
    </xf>
    <xf numFmtId="0" fontId="31" fillId="0" borderId="48" xfId="17" applyFont="1" applyBorder="1" applyAlignment="1">
      <alignment horizontal="left" vertical="center"/>
    </xf>
    <xf numFmtId="164" fontId="31" fillId="0" borderId="49" xfId="17" applyNumberFormat="1" applyFont="1" applyBorder="1" applyAlignment="1">
      <alignment horizontal="center" vertical="center" shrinkToFit="1"/>
    </xf>
    <xf numFmtId="164" fontId="31" fillId="0" borderId="48" xfId="17" applyNumberFormat="1" applyFont="1" applyBorder="1" applyAlignment="1">
      <alignment horizontal="center" vertical="center" shrinkToFit="1"/>
    </xf>
    <xf numFmtId="167" fontId="34" fillId="0" borderId="49" xfId="17" applyNumberFormat="1" applyFont="1" applyBorder="1" applyAlignment="1">
      <alignment horizontal="center" vertical="center"/>
    </xf>
    <xf numFmtId="167" fontId="34" fillId="0" borderId="50" xfId="17" applyNumberFormat="1" applyFont="1" applyBorder="1" applyAlignment="1">
      <alignment horizontal="center" vertical="center"/>
    </xf>
    <xf numFmtId="0" fontId="35" fillId="0" borderId="52" xfId="17" applyFont="1" applyBorder="1" applyAlignment="1">
      <alignment horizontal="center" wrapText="1"/>
    </xf>
    <xf numFmtId="0" fontId="35" fillId="0" borderId="53" xfId="17" applyFont="1" applyBorder="1" applyAlignment="1">
      <alignment horizontal="center" wrapText="1"/>
    </xf>
    <xf numFmtId="0" fontId="35" fillId="0" borderId="59" xfId="17" applyFont="1" applyBorder="1" applyAlignment="1">
      <alignment horizontal="center" wrapText="1"/>
    </xf>
    <xf numFmtId="0" fontId="35" fillId="0" borderId="61" xfId="17" applyFont="1" applyBorder="1" applyAlignment="1">
      <alignment horizontal="center" wrapText="1"/>
    </xf>
    <xf numFmtId="0" fontId="35" fillId="0" borderId="56" xfId="17" applyFont="1" applyBorder="1" applyAlignment="1">
      <alignment horizontal="center" wrapText="1"/>
    </xf>
    <xf numFmtId="0" fontId="31" fillId="0" borderId="64" xfId="17" applyFont="1" applyBorder="1" applyAlignment="1">
      <alignment horizontal="left" wrapText="1"/>
    </xf>
    <xf numFmtId="0" fontId="31" fillId="0" borderId="65" xfId="17" applyFont="1" applyBorder="1" applyAlignment="1">
      <alignment horizontal="left" wrapText="1"/>
    </xf>
    <xf numFmtId="0" fontId="35" fillId="0" borderId="61" xfId="17" applyFont="1" applyBorder="1" applyAlignment="1" applyProtection="1">
      <alignment horizontal="left" vertical="top" wrapText="1" readingOrder="1"/>
      <protection locked="0"/>
    </xf>
    <xf numFmtId="0" fontId="35" fillId="0" borderId="53" xfId="17" applyFont="1" applyBorder="1" applyAlignment="1" applyProtection="1">
      <alignment horizontal="left" vertical="top" wrapText="1" readingOrder="1"/>
      <protection locked="0"/>
    </xf>
    <xf numFmtId="0" fontId="35" fillId="0" borderId="56" xfId="17" applyFont="1" applyBorder="1" applyAlignment="1" applyProtection="1">
      <alignment horizontal="left" vertical="top" wrapText="1" readingOrder="1"/>
      <protection locked="0"/>
    </xf>
    <xf numFmtId="0" fontId="35" fillId="0" borderId="13" xfId="17" applyFont="1" applyBorder="1" applyAlignment="1" applyProtection="1">
      <alignment horizontal="left" vertical="top" wrapText="1" readingOrder="1"/>
      <protection locked="0"/>
    </xf>
    <xf numFmtId="0" fontId="35" fillId="0" borderId="0" xfId="17" applyFont="1" applyAlignment="1" applyProtection="1">
      <alignment horizontal="left" vertical="top" wrapText="1" readingOrder="1"/>
      <protection locked="0"/>
    </xf>
    <xf numFmtId="0" fontId="35" fillId="0" borderId="14" xfId="17" applyFont="1" applyBorder="1" applyAlignment="1" applyProtection="1">
      <alignment horizontal="left" vertical="top" wrapText="1" readingOrder="1"/>
      <protection locked="0"/>
    </xf>
    <xf numFmtId="0" fontId="35" fillId="0" borderId="72" xfId="17" applyFont="1" applyBorder="1" applyAlignment="1" applyProtection="1">
      <alignment horizontal="left" vertical="top" wrapText="1" readingOrder="1"/>
      <protection locked="0"/>
    </xf>
    <xf numFmtId="0" fontId="35" fillId="0" borderId="47" xfId="17" applyFont="1" applyBorder="1" applyAlignment="1" applyProtection="1">
      <alignment horizontal="left" vertical="top" wrapText="1" readingOrder="1"/>
      <protection locked="0"/>
    </xf>
    <xf numFmtId="0" fontId="35" fillId="0" borderId="50" xfId="17" applyFont="1" applyBorder="1" applyAlignment="1" applyProtection="1">
      <alignment horizontal="left" vertical="top" wrapText="1" readingOrder="1"/>
      <protection locked="0"/>
    </xf>
    <xf numFmtId="0" fontId="35" fillId="0" borderId="0" xfId="17" applyFont="1" applyAlignment="1">
      <alignment horizontal="center"/>
    </xf>
    <xf numFmtId="0" fontId="35" fillId="0" borderId="0" xfId="17" applyFont="1" applyAlignment="1">
      <alignment horizontal="center" vertical="center" textRotation="90"/>
    </xf>
    <xf numFmtId="0" fontId="35" fillId="0" borderId="55" xfId="17" applyFont="1" applyBorder="1" applyAlignment="1" applyProtection="1">
      <alignment horizontal="left" vertical="top"/>
      <protection locked="0"/>
    </xf>
    <xf numFmtId="0" fontId="35" fillId="0" borderId="53" xfId="17" applyFont="1" applyBorder="1" applyAlignment="1" applyProtection="1">
      <alignment horizontal="left" vertical="top"/>
      <protection locked="0"/>
    </xf>
    <xf numFmtId="0" fontId="35" fillId="0" borderId="54" xfId="17" applyFont="1" applyBorder="1" applyAlignment="1" applyProtection="1">
      <alignment horizontal="left" vertical="top"/>
      <protection locked="0"/>
    </xf>
    <xf numFmtId="0" fontId="35" fillId="0" borderId="57" xfId="17" applyFont="1" applyBorder="1" applyAlignment="1" applyProtection="1">
      <alignment horizontal="left" vertical="top"/>
      <protection locked="0"/>
    </xf>
    <xf numFmtId="0" fontId="35" fillId="0" borderId="0" xfId="17" applyFont="1" applyAlignment="1" applyProtection="1">
      <alignment horizontal="left" vertical="top"/>
      <protection locked="0"/>
    </xf>
    <xf numFmtId="0" fontId="35" fillId="0" borderId="51" xfId="17" applyFont="1" applyBorder="1" applyAlignment="1" applyProtection="1">
      <alignment horizontal="left" vertical="top"/>
      <protection locked="0"/>
    </xf>
    <xf numFmtId="0" fontId="35" fillId="0" borderId="49" xfId="17" applyFont="1" applyBorder="1" applyAlignment="1" applyProtection="1">
      <alignment horizontal="left" vertical="top"/>
      <protection locked="0"/>
    </xf>
    <xf numFmtId="0" fontId="35" fillId="0" borderId="47" xfId="17" applyFont="1" applyBorder="1" applyAlignment="1" applyProtection="1">
      <alignment horizontal="left" vertical="top"/>
      <protection locked="0"/>
    </xf>
    <xf numFmtId="0" fontId="35" fillId="0" borderId="48" xfId="17" applyFont="1" applyBorder="1" applyAlignment="1" applyProtection="1">
      <alignment horizontal="left" vertical="top"/>
      <protection locked="0"/>
    </xf>
    <xf numFmtId="49" fontId="33" fillId="0" borderId="15" xfId="17" applyNumberFormat="1" applyFont="1" applyBorder="1" applyAlignment="1">
      <alignment horizontal="left" vertical="top"/>
    </xf>
    <xf numFmtId="49" fontId="33" fillId="0" borderId="0" xfId="17" applyNumberFormat="1" applyFont="1" applyAlignment="1">
      <alignment horizontal="left" vertical="top"/>
    </xf>
    <xf numFmtId="49" fontId="33" fillId="0" borderId="51" xfId="17" applyNumberFormat="1" applyFont="1" applyBorder="1" applyAlignment="1">
      <alignment horizontal="left" vertical="top"/>
    </xf>
    <xf numFmtId="49" fontId="33" fillId="0" borderId="62" xfId="17" applyNumberFormat="1" applyFont="1" applyBorder="1" applyAlignment="1">
      <alignment horizontal="left" vertical="top"/>
    </xf>
    <xf numFmtId="49" fontId="33" fillId="0" borderId="73" xfId="17" applyNumberFormat="1" applyFont="1" applyBorder="1" applyAlignment="1">
      <alignment horizontal="left" vertical="top"/>
    </xf>
    <xf numFmtId="0" fontId="33" fillId="0" borderId="73" xfId="17" applyFont="1" applyBorder="1" applyAlignment="1">
      <alignment horizontal="left" vertical="top"/>
    </xf>
    <xf numFmtId="0" fontId="33" fillId="0" borderId="74" xfId="17" applyFont="1" applyBorder="1" applyAlignment="1">
      <alignment horizontal="left" vertical="top"/>
    </xf>
    <xf numFmtId="0" fontId="37" fillId="0" borderId="16" xfId="17" applyFont="1" applyBorder="1" applyAlignment="1">
      <alignment horizontal="left" vertical="top"/>
    </xf>
    <xf numFmtId="0" fontId="33" fillId="0" borderId="17" xfId="17" applyFont="1" applyBorder="1" applyAlignment="1">
      <alignment horizontal="left" vertical="top"/>
    </xf>
    <xf numFmtId="0" fontId="33" fillId="0" borderId="8" xfId="17" applyFont="1" applyBorder="1" applyAlignment="1">
      <alignment horizontal="left" vertical="top"/>
    </xf>
    <xf numFmtId="9" fontId="32" fillId="0" borderId="18" xfId="18" applyFont="1" applyBorder="1" applyAlignment="1" applyProtection="1">
      <alignment horizontal="center" vertical="center"/>
    </xf>
    <xf numFmtId="9" fontId="32" fillId="0" borderId="19" xfId="18" applyFont="1" applyBorder="1" applyAlignment="1" applyProtection="1">
      <alignment horizontal="center" vertical="center"/>
    </xf>
    <xf numFmtId="9" fontId="32" fillId="0" borderId="76" xfId="18" applyFont="1" applyBorder="1" applyAlignment="1" applyProtection="1">
      <alignment horizontal="center" vertical="center"/>
    </xf>
    <xf numFmtId="0" fontId="33" fillId="0" borderId="6" xfId="17" applyFont="1" applyBorder="1" applyAlignment="1">
      <alignment horizontal="right" vertical="top"/>
    </xf>
    <xf numFmtId="0" fontId="32" fillId="0" borderId="77" xfId="17" applyFont="1" applyBorder="1" applyAlignment="1">
      <alignment horizontal="center" vertical="center"/>
    </xf>
    <xf numFmtId="0" fontId="32" fillId="0" borderId="78" xfId="17" applyFont="1" applyBorder="1" applyAlignment="1">
      <alignment horizontal="center" vertical="center"/>
    </xf>
    <xf numFmtId="0" fontId="32" fillId="0" borderId="20" xfId="17" applyFont="1" applyBorder="1" applyAlignment="1">
      <alignment horizontal="center" vertical="center"/>
    </xf>
    <xf numFmtId="0" fontId="38" fillId="0" borderId="22" xfId="17" applyFont="1" applyBorder="1" applyAlignment="1">
      <alignment horizontal="center" vertical="center"/>
    </xf>
    <xf numFmtId="0" fontId="32" fillId="0" borderId="22" xfId="17" applyFont="1" applyBorder="1" applyAlignment="1">
      <alignment horizontal="center" vertical="center"/>
    </xf>
    <xf numFmtId="0" fontId="32" fillId="0" borderId="79" xfId="17" applyFont="1" applyBorder="1" applyAlignment="1">
      <alignment horizontal="center" vertical="center"/>
    </xf>
    <xf numFmtId="0" fontId="8" fillId="0" borderId="16" xfId="4" applyBorder="1" applyAlignment="1" applyProtection="1">
      <alignment horizontal="left" vertical="top"/>
      <protection locked="0"/>
    </xf>
    <xf numFmtId="1" fontId="8" fillId="0" borderId="16" xfId="7" applyNumberFormat="1" applyBorder="1" applyAlignment="1" applyProtection="1">
      <alignment horizontal="center" vertical="center"/>
      <protection locked="0"/>
    </xf>
    <xf numFmtId="1" fontId="45" fillId="0" borderId="0" xfId="4" applyNumberFormat="1" applyFont="1" applyAlignment="1">
      <alignment horizontal="center" vertical="center"/>
    </xf>
    <xf numFmtId="0" fontId="30" fillId="0" borderId="0" xfId="3" applyFont="1" applyBorder="1" applyAlignment="1" applyProtection="1">
      <alignment horizontal="center"/>
      <protection locked="0"/>
    </xf>
    <xf numFmtId="172" fontId="64" fillId="0" borderId="16" xfId="4" applyNumberFormat="1" applyFont="1" applyBorder="1" applyAlignment="1" applyProtection="1">
      <alignment horizontal="left" vertical="top"/>
      <protection locked="0"/>
    </xf>
    <xf numFmtId="0" fontId="35" fillId="0" borderId="55" xfId="13" applyFont="1" applyBorder="1" applyAlignment="1" applyProtection="1">
      <alignment horizontal="left" vertical="top"/>
      <protection locked="0"/>
    </xf>
    <xf numFmtId="0" fontId="35" fillId="0" borderId="53" xfId="13" applyFont="1" applyBorder="1" applyAlignment="1" applyProtection="1">
      <alignment horizontal="left" vertical="top"/>
      <protection locked="0"/>
    </xf>
    <xf numFmtId="0" fontId="35" fillId="0" borderId="54" xfId="13" applyFont="1" applyBorder="1" applyAlignment="1" applyProtection="1">
      <alignment horizontal="left" vertical="top"/>
      <protection locked="0"/>
    </xf>
    <xf numFmtId="0" fontId="35" fillId="0" borderId="57" xfId="13" applyFont="1" applyBorder="1" applyAlignment="1" applyProtection="1">
      <alignment horizontal="left" vertical="top"/>
      <protection locked="0"/>
    </xf>
    <xf numFmtId="0" fontId="35" fillId="0" borderId="0" xfId="13" applyFont="1" applyAlignment="1" applyProtection="1">
      <alignment horizontal="left" vertical="top"/>
      <protection locked="0"/>
    </xf>
    <xf numFmtId="0" fontId="35" fillId="0" borderId="51" xfId="13" applyFont="1" applyBorder="1" applyAlignment="1" applyProtection="1">
      <alignment horizontal="left" vertical="top"/>
      <protection locked="0"/>
    </xf>
    <xf numFmtId="0" fontId="35" fillId="0" borderId="49" xfId="13" applyFont="1" applyBorder="1" applyAlignment="1" applyProtection="1">
      <alignment horizontal="left" vertical="top"/>
      <protection locked="0"/>
    </xf>
    <xf numFmtId="0" fontId="35" fillId="0" borderId="47" xfId="13" applyFont="1" applyBorder="1" applyAlignment="1" applyProtection="1">
      <alignment horizontal="left" vertical="top"/>
      <protection locked="0"/>
    </xf>
    <xf numFmtId="0" fontId="35" fillId="0" borderId="48" xfId="13" applyFont="1" applyBorder="1" applyAlignment="1" applyProtection="1">
      <alignment horizontal="left" vertical="top"/>
      <protection locked="0"/>
    </xf>
    <xf numFmtId="49" fontId="33" fillId="0" borderId="15" xfId="13" applyNumberFormat="1" applyFont="1" applyBorder="1" applyAlignment="1">
      <alignment horizontal="left" vertical="top"/>
    </xf>
    <xf numFmtId="49" fontId="33" fillId="0" borderId="0" xfId="13" applyNumberFormat="1" applyFont="1" applyAlignment="1">
      <alignment horizontal="left" vertical="top"/>
    </xf>
    <xf numFmtId="49" fontId="33" fillId="0" borderId="51" xfId="13" applyNumberFormat="1" applyFont="1" applyBorder="1" applyAlignment="1">
      <alignment horizontal="left" vertical="top"/>
    </xf>
    <xf numFmtId="49" fontId="33" fillId="0" borderId="62" xfId="13" applyNumberFormat="1" applyFont="1" applyBorder="1" applyAlignment="1">
      <alignment horizontal="left" vertical="top"/>
    </xf>
    <xf numFmtId="49" fontId="33" fillId="0" borderId="73" xfId="13" applyNumberFormat="1" applyFont="1" applyBorder="1" applyAlignment="1">
      <alignment horizontal="left" vertical="top"/>
    </xf>
    <xf numFmtId="0" fontId="33" fillId="0" borderId="73" xfId="13" applyFont="1" applyBorder="1" applyAlignment="1">
      <alignment horizontal="left" vertical="top"/>
    </xf>
    <xf numFmtId="0" fontId="33" fillId="0" borderId="74" xfId="13" applyFont="1" applyBorder="1" applyAlignment="1">
      <alignment horizontal="left" vertical="top"/>
    </xf>
    <xf numFmtId="0" fontId="37" fillId="0" borderId="16" xfId="13" applyFont="1" applyBorder="1" applyAlignment="1">
      <alignment horizontal="left" vertical="top"/>
    </xf>
    <xf numFmtId="0" fontId="33" fillId="0" borderId="17" xfId="13" applyFont="1" applyBorder="1" applyAlignment="1">
      <alignment horizontal="left" vertical="top"/>
    </xf>
    <xf numFmtId="0" fontId="33" fillId="0" borderId="8" xfId="13" applyFont="1" applyBorder="1" applyAlignment="1">
      <alignment horizontal="left" vertical="top"/>
    </xf>
    <xf numFmtId="0" fontId="33" fillId="0" borderId="6" xfId="13" applyFont="1" applyBorder="1" applyAlignment="1">
      <alignment horizontal="right" vertical="top"/>
    </xf>
    <xf numFmtId="0" fontId="32" fillId="0" borderId="77" xfId="13" applyFont="1" applyBorder="1" applyAlignment="1">
      <alignment horizontal="center" vertical="center"/>
    </xf>
    <xf numFmtId="0" fontId="32" fillId="0" borderId="78" xfId="13" applyFont="1" applyBorder="1" applyAlignment="1">
      <alignment horizontal="center" vertical="center"/>
    </xf>
    <xf numFmtId="0" fontId="32" fillId="0" borderId="20" xfId="13" applyFont="1" applyBorder="1" applyAlignment="1">
      <alignment horizontal="center" vertical="center"/>
    </xf>
    <xf numFmtId="0" fontId="38" fillId="0" borderId="22" xfId="13" applyFont="1" applyBorder="1" applyAlignment="1">
      <alignment horizontal="center" vertical="center"/>
    </xf>
    <xf numFmtId="0" fontId="32" fillId="0" borderId="22" xfId="13" applyFont="1" applyBorder="1" applyAlignment="1" applyProtection="1">
      <alignment horizontal="center" vertical="center"/>
      <protection locked="0"/>
    </xf>
    <xf numFmtId="0" fontId="32" fillId="0" borderId="79" xfId="13" applyFont="1" applyBorder="1" applyAlignment="1" applyProtection="1">
      <alignment horizontal="center" vertical="center"/>
      <protection locked="0"/>
    </xf>
    <xf numFmtId="0" fontId="31" fillId="0" borderId="64" xfId="13" applyFont="1" applyBorder="1" applyAlignment="1">
      <alignment horizontal="left" vertical="center" wrapText="1"/>
    </xf>
    <xf numFmtId="0" fontId="31" fillId="0" borderId="65" xfId="13" applyFont="1" applyBorder="1" applyAlignment="1">
      <alignment horizontal="left" vertical="center" wrapText="1"/>
    </xf>
    <xf numFmtId="0" fontId="35" fillId="0" borderId="0" xfId="13" applyFont="1" applyAlignment="1">
      <alignment horizontal="center"/>
    </xf>
    <xf numFmtId="0" fontId="35" fillId="0" borderId="0" xfId="13" applyFont="1" applyAlignment="1">
      <alignment horizontal="center" vertical="center" textRotation="90"/>
    </xf>
    <xf numFmtId="0" fontId="31" fillId="0" borderId="64" xfId="13" applyFont="1" applyBorder="1" applyAlignment="1">
      <alignment horizontal="left" wrapText="1"/>
    </xf>
    <xf numFmtId="0" fontId="31" fillId="0" borderId="65" xfId="13" applyFont="1" applyBorder="1" applyAlignment="1">
      <alignment horizontal="left" wrapText="1"/>
    </xf>
    <xf numFmtId="0" fontId="35" fillId="0" borderId="61" xfId="13" applyFont="1" applyBorder="1" applyAlignment="1" applyProtection="1">
      <alignment horizontal="left" vertical="top" wrapText="1" readingOrder="1"/>
      <protection locked="0"/>
    </xf>
    <xf numFmtId="0" fontId="35" fillId="0" borderId="53" xfId="13" applyFont="1" applyBorder="1" applyAlignment="1" applyProtection="1">
      <alignment horizontal="left" vertical="top" wrapText="1" readingOrder="1"/>
      <protection locked="0"/>
    </xf>
    <xf numFmtId="0" fontId="35" fillId="0" borderId="56" xfId="13" applyFont="1" applyBorder="1" applyAlignment="1" applyProtection="1">
      <alignment horizontal="left" vertical="top" wrapText="1" readingOrder="1"/>
      <protection locked="0"/>
    </xf>
    <xf numFmtId="0" fontId="35" fillId="0" borderId="13" xfId="13" applyFont="1" applyBorder="1" applyAlignment="1" applyProtection="1">
      <alignment horizontal="left" vertical="top" wrapText="1" readingOrder="1"/>
      <protection locked="0"/>
    </xf>
    <xf numFmtId="0" fontId="35" fillId="0" borderId="0" xfId="13" applyFont="1" applyAlignment="1" applyProtection="1">
      <alignment horizontal="left" vertical="top" wrapText="1" readingOrder="1"/>
      <protection locked="0"/>
    </xf>
    <xf numFmtId="0" fontId="35" fillId="0" borderId="14" xfId="13" applyFont="1" applyBorder="1" applyAlignment="1" applyProtection="1">
      <alignment horizontal="left" vertical="top" wrapText="1" readingOrder="1"/>
      <protection locked="0"/>
    </xf>
    <xf numFmtId="0" fontId="35" fillId="0" borderId="72" xfId="13" applyFont="1" applyBorder="1" applyAlignment="1" applyProtection="1">
      <alignment horizontal="left" vertical="top" wrapText="1" readingOrder="1"/>
      <protection locked="0"/>
    </xf>
    <xf numFmtId="0" fontId="35" fillId="0" borderId="47" xfId="13" applyFont="1" applyBorder="1" applyAlignment="1" applyProtection="1">
      <alignment horizontal="left" vertical="top" wrapText="1" readingOrder="1"/>
      <protection locked="0"/>
    </xf>
    <xf numFmtId="0" fontId="35" fillId="0" borderId="50" xfId="13" applyFont="1" applyBorder="1" applyAlignment="1" applyProtection="1">
      <alignment horizontal="left" vertical="top" wrapText="1" readingOrder="1"/>
      <protection locked="0"/>
    </xf>
    <xf numFmtId="0" fontId="31" fillId="0" borderId="49" xfId="13" applyFont="1" applyBorder="1" applyAlignment="1" applyProtection="1">
      <alignment vertical="center"/>
      <protection locked="0"/>
    </xf>
    <xf numFmtId="0" fontId="31" fillId="0" borderId="51" xfId="13" applyFont="1" applyBorder="1" applyAlignment="1" applyProtection="1">
      <alignment vertical="center"/>
      <protection locked="0"/>
    </xf>
    <xf numFmtId="0" fontId="31" fillId="0" borderId="57" xfId="13" applyFont="1" applyBorder="1" applyAlignment="1" applyProtection="1">
      <alignment vertical="center"/>
      <protection locked="0"/>
    </xf>
    <xf numFmtId="0" fontId="31" fillId="0" borderId="0" xfId="13" applyFont="1" applyAlignment="1" applyProtection="1">
      <alignment vertical="center"/>
      <protection locked="0"/>
    </xf>
    <xf numFmtId="0" fontId="31" fillId="0" borderId="49" xfId="13" applyFont="1" applyBorder="1" applyAlignment="1" applyProtection="1">
      <alignment horizontal="left" vertical="center"/>
      <protection locked="0"/>
    </xf>
    <xf numFmtId="0" fontId="31" fillId="0" borderId="48" xfId="13" applyFont="1" applyBorder="1" applyAlignment="1" applyProtection="1">
      <alignment horizontal="left" vertical="center"/>
      <protection locked="0"/>
    </xf>
    <xf numFmtId="164" fontId="31" fillId="0" borderId="49" xfId="13" applyNumberFormat="1" applyFont="1" applyBorder="1" applyAlignment="1" applyProtection="1">
      <alignment horizontal="center" vertical="center" shrinkToFit="1"/>
      <protection locked="0"/>
    </xf>
    <xf numFmtId="164" fontId="31" fillId="0" borderId="48" xfId="13" applyNumberFormat="1" applyFont="1" applyBorder="1" applyAlignment="1" applyProtection="1">
      <alignment horizontal="center" vertical="center" shrinkToFit="1"/>
      <protection locked="0"/>
    </xf>
    <xf numFmtId="167" fontId="34" fillId="0" borderId="49" xfId="13" applyNumberFormat="1" applyFont="1" applyBorder="1" applyAlignment="1">
      <alignment horizontal="center" vertical="center"/>
    </xf>
    <xf numFmtId="167" fontId="34" fillId="0" borderId="50" xfId="13" applyNumberFormat="1" applyFont="1" applyBorder="1" applyAlignment="1">
      <alignment horizontal="center" vertical="center"/>
    </xf>
    <xf numFmtId="0" fontId="32" fillId="0" borderId="5" xfId="13" applyFont="1" applyBorder="1" applyAlignment="1">
      <alignment horizontal="center" vertical="center" wrapText="1"/>
    </xf>
    <xf numFmtId="0" fontId="32" fillId="0" borderId="6" xfId="13" applyFont="1" applyBorder="1" applyAlignment="1">
      <alignment horizontal="center" vertical="center" wrapText="1"/>
    </xf>
    <xf numFmtId="0" fontId="32" fillId="0" borderId="44" xfId="13" applyFont="1" applyBorder="1" applyAlignment="1">
      <alignment horizontal="center" vertical="center" wrapText="1"/>
    </xf>
    <xf numFmtId="0" fontId="32" fillId="0" borderId="45" xfId="13" applyFont="1" applyBorder="1" applyAlignment="1">
      <alignment horizontal="center" vertical="center" wrapText="1"/>
    </xf>
    <xf numFmtId="0" fontId="8" fillId="0" borderId="6" xfId="13" applyBorder="1"/>
    <xf numFmtId="0" fontId="8" fillId="0" borderId="44" xfId="13" applyBorder="1"/>
    <xf numFmtId="0" fontId="33" fillId="0" borderId="45" xfId="13" applyFont="1" applyBorder="1" applyAlignment="1">
      <alignment horizontal="left" vertical="top"/>
    </xf>
    <xf numFmtId="0" fontId="33" fillId="0" borderId="44" xfId="13" applyFont="1" applyBorder="1" applyAlignment="1">
      <alignment horizontal="left" vertical="top"/>
    </xf>
    <xf numFmtId="0" fontId="33" fillId="0" borderId="7" xfId="13" applyFont="1" applyBorder="1" applyAlignment="1">
      <alignment horizontal="left" vertical="top"/>
    </xf>
    <xf numFmtId="0" fontId="35" fillId="0" borderId="52" xfId="13" applyFont="1" applyBorder="1" applyAlignment="1">
      <alignment horizontal="center" wrapText="1"/>
    </xf>
    <xf numFmtId="0" fontId="35" fillId="0" borderId="53" xfId="13" applyFont="1" applyBorder="1" applyAlignment="1">
      <alignment horizontal="center" wrapText="1"/>
    </xf>
    <xf numFmtId="0" fontId="35" fillId="0" borderId="59" xfId="13" applyFont="1" applyBorder="1" applyAlignment="1">
      <alignment horizontal="center" wrapText="1"/>
    </xf>
    <xf numFmtId="0" fontId="35" fillId="0" borderId="61" xfId="13" applyFont="1" applyBorder="1" applyAlignment="1">
      <alignment horizontal="center" wrapText="1"/>
    </xf>
    <xf numFmtId="0" fontId="35" fillId="0" borderId="56" xfId="13" applyFont="1" applyBorder="1" applyAlignment="1">
      <alignment horizontal="center" wrapText="1"/>
    </xf>
    <xf numFmtId="0" fontId="8" fillId="0" borderId="0" xfId="13" applyAlignment="1" applyProtection="1">
      <alignment horizontal="center" wrapText="1"/>
      <protection hidden="1"/>
    </xf>
    <xf numFmtId="0" fontId="8" fillId="0" borderId="0" xfId="13" applyAlignment="1" applyProtection="1">
      <alignment horizontal="center"/>
      <protection hidden="1"/>
    </xf>
    <xf numFmtId="0" fontId="33" fillId="0" borderId="55" xfId="13" applyFont="1" applyBorder="1" applyAlignment="1">
      <alignment horizontal="left" vertical="top"/>
    </xf>
    <xf numFmtId="0" fontId="33" fillId="0" borderId="56" xfId="13" applyFont="1" applyBorder="1" applyAlignment="1">
      <alignment horizontal="left" vertical="top"/>
    </xf>
    <xf numFmtId="0" fontId="8" fillId="0" borderId="46" xfId="13" applyBorder="1" applyAlignment="1" applyProtection="1">
      <alignment horizontal="left" vertical="center"/>
      <protection locked="0"/>
    </xf>
    <xf numFmtId="0" fontId="8" fillId="0" borderId="47" xfId="13" applyBorder="1" applyAlignment="1" applyProtection="1">
      <alignment horizontal="left" vertical="center"/>
      <protection locked="0"/>
    </xf>
    <xf numFmtId="0" fontId="8" fillId="0" borderId="48" xfId="13" applyBorder="1" applyAlignment="1" applyProtection="1">
      <alignment horizontal="left" vertical="center"/>
      <protection locked="0"/>
    </xf>
    <xf numFmtId="0" fontId="32" fillId="0" borderId="46" xfId="13" applyFont="1" applyBorder="1" applyAlignment="1">
      <alignment horizontal="center" vertical="center" wrapText="1"/>
    </xf>
    <xf numFmtId="0" fontId="32" fillId="0" borderId="47" xfId="13" applyFont="1" applyBorder="1" applyAlignment="1">
      <alignment horizontal="center" vertical="center" wrapText="1"/>
    </xf>
    <xf numFmtId="0" fontId="32" fillId="0" borderId="48" xfId="13" applyFont="1" applyBorder="1" applyAlignment="1">
      <alignment horizontal="center" vertical="center" wrapText="1"/>
    </xf>
    <xf numFmtId="0" fontId="32" fillId="0" borderId="49" xfId="13" applyFont="1" applyBorder="1" applyAlignment="1">
      <alignment horizontal="center" vertical="center" wrapText="1"/>
    </xf>
    <xf numFmtId="0" fontId="8" fillId="0" borderId="47" xfId="13" applyBorder="1"/>
    <xf numFmtId="0" fontId="8" fillId="0" borderId="48" xfId="13" applyBorder="1"/>
    <xf numFmtId="0" fontId="31" fillId="0" borderId="49" xfId="13" applyFont="1" applyBorder="1" applyAlignment="1" applyProtection="1">
      <alignment horizontal="center" vertical="center"/>
      <protection locked="0"/>
    </xf>
    <xf numFmtId="0" fontId="31" fillId="0" borderId="48" xfId="13" applyFont="1" applyBorder="1" applyAlignment="1" applyProtection="1">
      <alignment horizontal="center" vertical="center"/>
      <protection locked="0"/>
    </xf>
    <xf numFmtId="166" fontId="31" fillId="0" borderId="49" xfId="13" applyNumberFormat="1" applyFont="1" applyBorder="1" applyAlignment="1" applyProtection="1">
      <alignment horizontal="center" vertical="center"/>
      <protection locked="0"/>
    </xf>
    <xf numFmtId="166" fontId="31" fillId="0" borderId="50" xfId="13" applyNumberFormat="1" applyFont="1" applyBorder="1" applyAlignment="1" applyProtection="1">
      <alignment horizontal="center" vertical="center"/>
      <protection locked="0"/>
    </xf>
    <xf numFmtId="0" fontId="33" fillId="0" borderId="52" xfId="13" applyFont="1" applyBorder="1" applyAlignment="1">
      <alignment horizontal="left" vertical="top"/>
    </xf>
    <xf numFmtId="0" fontId="33" fillId="0" borderId="53" xfId="13" applyFont="1" applyBorder="1" applyAlignment="1">
      <alignment horizontal="left" vertical="top"/>
    </xf>
    <xf numFmtId="0" fontId="33" fillId="0" borderId="54" xfId="13" applyFont="1" applyBorder="1" applyAlignment="1">
      <alignment horizontal="left" vertical="top"/>
    </xf>
    <xf numFmtId="0" fontId="33" fillId="0" borderId="55" xfId="13" applyFont="1" applyBorder="1" applyAlignment="1">
      <alignment horizontal="left" vertical="top" wrapText="1"/>
    </xf>
    <xf numFmtId="0" fontId="33" fillId="0" borderId="54" xfId="13" applyFont="1" applyBorder="1" applyAlignment="1">
      <alignment horizontal="left" vertical="top" wrapText="1"/>
    </xf>
    <xf numFmtId="0" fontId="33" fillId="0" borderId="55" xfId="13" applyFont="1" applyBorder="1" applyAlignment="1">
      <alignment horizontal="left" vertical="top" shrinkToFit="1"/>
    </xf>
    <xf numFmtId="0" fontId="33" fillId="0" borderId="54" xfId="13" applyFont="1" applyBorder="1" applyAlignment="1">
      <alignment horizontal="left" vertical="top" shrinkToFit="1"/>
    </xf>
    <xf numFmtId="0" fontId="13" fillId="0" borderId="0" xfId="3" applyFont="1" applyBorder="1" applyAlignment="1" applyProtection="1">
      <alignment horizontal="center"/>
    </xf>
    <xf numFmtId="0" fontId="4" fillId="0" borderId="23" xfId="12" applyBorder="1" applyAlignment="1" applyProtection="1">
      <alignment horizontal="center" vertical="top"/>
      <protection locked="0"/>
    </xf>
    <xf numFmtId="0" fontId="4" fillId="0" borderId="24" xfId="12" applyBorder="1" applyAlignment="1" applyProtection="1">
      <alignment horizontal="center" vertical="top"/>
      <protection locked="0"/>
    </xf>
    <xf numFmtId="0" fontId="4" fillId="0" borderId="25" xfId="12" applyBorder="1" applyAlignment="1" applyProtection="1">
      <alignment horizontal="center" vertical="top"/>
      <protection locked="0"/>
    </xf>
    <xf numFmtId="0" fontId="4" fillId="0" borderId="26" xfId="12" applyBorder="1" applyAlignment="1" applyProtection="1">
      <alignment horizontal="center" vertical="top"/>
      <protection locked="0"/>
    </xf>
    <xf numFmtId="0" fontId="4" fillId="0" borderId="27" xfId="12" applyBorder="1" applyAlignment="1" applyProtection="1">
      <alignment horizontal="center" vertical="top"/>
      <protection locked="0"/>
    </xf>
    <xf numFmtId="0" fontId="4" fillId="0" borderId="28" xfId="12" applyBorder="1" applyAlignment="1" applyProtection="1">
      <alignment horizontal="center" vertical="top"/>
      <protection locked="0"/>
    </xf>
    <xf numFmtId="0" fontId="66" fillId="0" borderId="43" xfId="12" applyFont="1" applyBorder="1" applyAlignment="1">
      <alignment horizontal="center" vertical="center" wrapText="1"/>
    </xf>
    <xf numFmtId="0" fontId="66" fillId="0" borderId="83" xfId="12" applyFont="1" applyBorder="1" applyAlignment="1">
      <alignment horizontal="center" vertical="center" wrapText="1"/>
    </xf>
    <xf numFmtId="0" fontId="66" fillId="0" borderId="84" xfId="12" applyFont="1" applyBorder="1" applyAlignment="1">
      <alignment horizontal="center" vertical="center" wrapText="1"/>
    </xf>
    <xf numFmtId="0" fontId="67" fillId="0" borderId="31" xfId="12" applyFont="1" applyBorder="1" applyAlignment="1" applyProtection="1">
      <alignment horizontal="left" vertical="center"/>
      <protection locked="0"/>
    </xf>
    <xf numFmtId="0" fontId="67" fillId="0" borderId="32" xfId="12" applyFont="1" applyBorder="1" applyAlignment="1" applyProtection="1">
      <alignment horizontal="left" vertical="center"/>
      <protection locked="0"/>
    </xf>
    <xf numFmtId="0" fontId="67" fillId="0" borderId="33" xfId="12" applyFont="1" applyBorder="1" applyAlignment="1" applyProtection="1">
      <alignment horizontal="left" vertical="center"/>
      <protection locked="0"/>
    </xf>
    <xf numFmtId="0" fontId="4" fillId="0" borderId="23" xfId="12" applyBorder="1" applyAlignment="1">
      <alignment horizontal="center" vertical="top"/>
    </xf>
    <xf numFmtId="0" fontId="4" fillId="0" borderId="24" xfId="12" applyBorder="1" applyAlignment="1">
      <alignment horizontal="center" vertical="top"/>
    </xf>
    <xf numFmtId="0" fontId="4" fillId="0" borderId="25" xfId="12" applyBorder="1" applyAlignment="1">
      <alignment horizontal="center" vertical="top"/>
    </xf>
    <xf numFmtId="0" fontId="4" fillId="0" borderId="13" xfId="12" applyBorder="1" applyAlignment="1">
      <alignment horizontal="center" vertical="top"/>
    </xf>
    <xf numFmtId="0" fontId="4" fillId="0" borderId="0" xfId="12" applyAlignment="1">
      <alignment horizontal="center" vertical="top"/>
    </xf>
    <xf numFmtId="0" fontId="4" fillId="0" borderId="42" xfId="12" applyBorder="1" applyAlignment="1">
      <alignment horizontal="center" vertical="top"/>
    </xf>
    <xf numFmtId="0" fontId="4" fillId="0" borderId="26" xfId="12" applyBorder="1" applyAlignment="1">
      <alignment horizontal="center" vertical="top"/>
    </xf>
    <xf numFmtId="0" fontId="4" fillId="0" borderId="27" xfId="12" applyBorder="1" applyAlignment="1">
      <alignment horizontal="center" vertical="top"/>
    </xf>
    <xf numFmtId="0" fontId="4" fillId="0" borderId="28" xfId="12" applyBorder="1" applyAlignment="1">
      <alignment horizontal="center" vertical="top"/>
    </xf>
    <xf numFmtId="0" fontId="1" fillId="0" borderId="23" xfId="19" applyBorder="1" applyAlignment="1" applyProtection="1">
      <alignment horizontal="center" vertical="top"/>
      <protection locked="0"/>
    </xf>
    <xf numFmtId="0" fontId="1" fillId="0" borderId="24" xfId="19" applyBorder="1" applyAlignment="1" applyProtection="1">
      <alignment horizontal="center" vertical="top"/>
      <protection locked="0"/>
    </xf>
    <xf numFmtId="0" fontId="1" fillId="0" borderId="25" xfId="19" applyBorder="1" applyAlignment="1" applyProtection="1">
      <alignment horizontal="center" vertical="top"/>
      <protection locked="0"/>
    </xf>
    <xf numFmtId="0" fontId="1" fillId="0" borderId="26" xfId="19" applyBorder="1" applyAlignment="1" applyProtection="1">
      <alignment horizontal="center" vertical="top"/>
      <protection locked="0"/>
    </xf>
    <xf numFmtId="0" fontId="1" fillId="0" borderId="27" xfId="19" applyBorder="1" applyAlignment="1" applyProtection="1">
      <alignment horizontal="center" vertical="top"/>
      <protection locked="0"/>
    </xf>
    <xf numFmtId="0" fontId="1" fillId="0" borderId="28" xfId="19" applyBorder="1" applyAlignment="1" applyProtection="1">
      <alignment horizontal="center" vertical="top"/>
      <protection locked="0"/>
    </xf>
    <xf numFmtId="0" fontId="9" fillId="0" borderId="43" xfId="19" applyFont="1" applyBorder="1" applyAlignment="1">
      <alignment horizontal="center" vertical="center" wrapText="1"/>
    </xf>
    <xf numFmtId="0" fontId="9" fillId="0" borderId="83" xfId="19" applyFont="1" applyBorder="1" applyAlignment="1">
      <alignment horizontal="center" vertical="center" wrapText="1"/>
    </xf>
    <xf numFmtId="0" fontId="9" fillId="0" borderId="84" xfId="19" applyFont="1" applyBorder="1" applyAlignment="1">
      <alignment horizontal="center" vertical="center" wrapText="1"/>
    </xf>
    <xf numFmtId="0" fontId="63" fillId="0" borderId="31" xfId="19" applyFont="1" applyBorder="1" applyAlignment="1" applyProtection="1">
      <alignment horizontal="center" vertical="center"/>
      <protection locked="0"/>
    </xf>
    <xf numFmtId="0" fontId="63" fillId="0" borderId="32" xfId="19" applyFont="1" applyBorder="1" applyAlignment="1" applyProtection="1">
      <alignment horizontal="center" vertical="center"/>
      <protection locked="0"/>
    </xf>
    <xf numFmtId="0" fontId="63" fillId="0" borderId="33" xfId="19" applyFont="1" applyBorder="1" applyAlignment="1" applyProtection="1">
      <alignment horizontal="center" vertical="center"/>
      <protection locked="0"/>
    </xf>
    <xf numFmtId="0" fontId="67" fillId="0" borderId="31" xfId="19" applyFont="1" applyBorder="1" applyAlignment="1" applyProtection="1">
      <alignment horizontal="left" vertical="center"/>
      <protection locked="0"/>
    </xf>
    <xf numFmtId="0" fontId="67" fillId="0" borderId="32" xfId="19" applyFont="1" applyBorder="1" applyAlignment="1" applyProtection="1">
      <alignment horizontal="left" vertical="center"/>
      <protection locked="0"/>
    </xf>
    <xf numFmtId="0" fontId="67" fillId="0" borderId="33" xfId="19" applyFont="1" applyBorder="1" applyAlignment="1" applyProtection="1">
      <alignment horizontal="left" vertical="center"/>
      <protection locked="0"/>
    </xf>
    <xf numFmtId="0" fontId="1" fillId="0" borderId="13" xfId="19" applyBorder="1" applyAlignment="1" applyProtection="1">
      <alignment horizontal="center" vertical="top"/>
      <protection locked="0"/>
    </xf>
    <xf numFmtId="0" fontId="1" fillId="0" borderId="0" xfId="19" applyAlignment="1" applyProtection="1">
      <alignment horizontal="center" vertical="top"/>
      <protection locked="0"/>
    </xf>
    <xf numFmtId="0" fontId="1" fillId="0" borderId="42" xfId="19" applyBorder="1" applyAlignment="1" applyProtection="1">
      <alignment horizontal="center" vertical="top"/>
      <protection locked="0"/>
    </xf>
    <xf numFmtId="0" fontId="1" fillId="0" borderId="0" xfId="19" applyAlignment="1">
      <alignment horizontal="center" vertical="top"/>
    </xf>
    <xf numFmtId="0" fontId="32" fillId="0" borderId="22" xfId="17" applyFont="1" applyBorder="1" applyAlignment="1" applyProtection="1">
      <alignment horizontal="center" vertical="center"/>
      <protection locked="0"/>
    </xf>
    <xf numFmtId="0" fontId="32" fillId="0" borderId="79" xfId="17" applyFont="1" applyBorder="1" applyAlignment="1" applyProtection="1">
      <alignment horizontal="center" vertical="center"/>
      <protection locked="0"/>
    </xf>
    <xf numFmtId="0" fontId="35" fillId="0" borderId="55" xfId="14" applyFont="1" applyBorder="1" applyAlignment="1" applyProtection="1">
      <alignment horizontal="left" vertical="top"/>
      <protection locked="0"/>
    </xf>
    <xf numFmtId="0" fontId="35" fillId="0" borderId="53" xfId="14" applyFont="1" applyBorder="1" applyAlignment="1" applyProtection="1">
      <alignment horizontal="left" vertical="top"/>
      <protection locked="0"/>
    </xf>
    <xf numFmtId="0" fontId="35" fillId="0" borderId="54" xfId="14" applyFont="1" applyBorder="1" applyAlignment="1" applyProtection="1">
      <alignment horizontal="left" vertical="top"/>
      <protection locked="0"/>
    </xf>
    <xf numFmtId="0" fontId="35" fillId="0" borderId="57" xfId="14" applyFont="1" applyBorder="1" applyAlignment="1" applyProtection="1">
      <alignment horizontal="left" vertical="top"/>
      <protection locked="0"/>
    </xf>
    <xf numFmtId="0" fontId="35" fillId="0" borderId="0" xfId="14" applyFont="1" applyAlignment="1" applyProtection="1">
      <alignment horizontal="left" vertical="top"/>
      <protection locked="0"/>
    </xf>
    <xf numFmtId="0" fontId="35" fillId="0" borderId="51" xfId="14" applyFont="1" applyBorder="1" applyAlignment="1" applyProtection="1">
      <alignment horizontal="left" vertical="top"/>
      <protection locked="0"/>
    </xf>
    <xf numFmtId="0" fontId="35" fillId="0" borderId="49" xfId="14" applyFont="1" applyBorder="1" applyAlignment="1" applyProtection="1">
      <alignment horizontal="left" vertical="top"/>
      <protection locked="0"/>
    </xf>
    <xf numFmtId="0" fontId="35" fillId="0" borderId="47" xfId="14" applyFont="1" applyBorder="1" applyAlignment="1" applyProtection="1">
      <alignment horizontal="left" vertical="top"/>
      <protection locked="0"/>
    </xf>
    <xf numFmtId="0" fontId="35" fillId="0" borderId="48" xfId="14" applyFont="1" applyBorder="1" applyAlignment="1" applyProtection="1">
      <alignment horizontal="left" vertical="top"/>
      <protection locked="0"/>
    </xf>
    <xf numFmtId="49" fontId="33" fillId="0" borderId="15" xfId="14" applyNumberFormat="1" applyFont="1" applyBorder="1" applyAlignment="1">
      <alignment horizontal="left" vertical="top"/>
    </xf>
    <xf numFmtId="49" fontId="33" fillId="0" borderId="0" xfId="14" applyNumberFormat="1" applyFont="1" applyAlignment="1">
      <alignment horizontal="left" vertical="top"/>
    </xf>
    <xf numFmtId="49" fontId="33" fillId="0" borderId="51" xfId="14" applyNumberFormat="1" applyFont="1" applyBorder="1" applyAlignment="1">
      <alignment horizontal="left" vertical="top"/>
    </xf>
    <xf numFmtId="49" fontId="33" fillId="0" borderId="62" xfId="14" applyNumberFormat="1" applyFont="1" applyBorder="1" applyAlignment="1">
      <alignment horizontal="left" vertical="top"/>
    </xf>
    <xf numFmtId="49" fontId="33" fillId="0" borderId="73" xfId="14" applyNumberFormat="1" applyFont="1" applyBorder="1" applyAlignment="1">
      <alignment horizontal="left" vertical="top"/>
    </xf>
    <xf numFmtId="0" fontId="33" fillId="0" borderId="73" xfId="14" applyFont="1" applyBorder="1" applyAlignment="1">
      <alignment horizontal="left" vertical="top"/>
    </xf>
    <xf numFmtId="0" fontId="33" fillId="0" borderId="74" xfId="14" applyFont="1" applyBorder="1" applyAlignment="1">
      <alignment horizontal="left" vertical="top"/>
    </xf>
    <xf numFmtId="0" fontId="37" fillId="0" borderId="16" xfId="14" applyFont="1" applyBorder="1" applyAlignment="1">
      <alignment horizontal="left" vertical="top"/>
    </xf>
    <xf numFmtId="0" fontId="33" fillId="0" borderId="17" xfId="14" applyFont="1" applyBorder="1" applyAlignment="1">
      <alignment horizontal="left" vertical="top"/>
    </xf>
    <xf numFmtId="0" fontId="33" fillId="0" borderId="8" xfId="14" applyFont="1" applyBorder="1" applyAlignment="1">
      <alignment horizontal="left" vertical="top"/>
    </xf>
    <xf numFmtId="0" fontId="33" fillId="0" borderId="6" xfId="14" applyFont="1" applyBorder="1" applyAlignment="1">
      <alignment horizontal="right" vertical="top"/>
    </xf>
    <xf numFmtId="0" fontId="32" fillId="0" borderId="77" xfId="14" applyFont="1" applyBorder="1" applyAlignment="1">
      <alignment horizontal="center" vertical="center"/>
    </xf>
    <xf numFmtId="0" fontId="32" fillId="0" borderId="78" xfId="14" applyFont="1" applyBorder="1" applyAlignment="1">
      <alignment horizontal="center" vertical="center"/>
    </xf>
    <xf numFmtId="0" fontId="32" fillId="0" borderId="20" xfId="14" applyFont="1" applyBorder="1" applyAlignment="1">
      <alignment horizontal="center" vertical="center"/>
    </xf>
    <xf numFmtId="0" fontId="38" fillId="0" borderId="22" xfId="14" applyFont="1" applyBorder="1" applyAlignment="1">
      <alignment horizontal="center" vertical="center"/>
    </xf>
    <xf numFmtId="0" fontId="32" fillId="0" borderId="22" xfId="14" applyFont="1" applyBorder="1" applyAlignment="1" applyProtection="1">
      <alignment horizontal="center" vertical="center"/>
      <protection locked="0"/>
    </xf>
    <xf numFmtId="0" fontId="32" fillId="0" borderId="79" xfId="14" applyFont="1" applyBorder="1" applyAlignment="1" applyProtection="1">
      <alignment horizontal="center" vertical="center"/>
      <protection locked="0"/>
    </xf>
    <xf numFmtId="0" fontId="31" fillId="0" borderId="64" xfId="14" applyFont="1" applyBorder="1" applyAlignment="1">
      <alignment horizontal="left" vertical="center" wrapText="1"/>
    </xf>
    <xf numFmtId="0" fontId="31" fillId="0" borderId="65" xfId="14" applyFont="1" applyBorder="1" applyAlignment="1">
      <alignment horizontal="left" vertical="center" wrapText="1"/>
    </xf>
    <xf numFmtId="0" fontId="35" fillId="0" borderId="0" xfId="14" applyFont="1" applyAlignment="1">
      <alignment horizontal="center"/>
    </xf>
    <xf numFmtId="0" fontId="35" fillId="0" borderId="0" xfId="14" applyFont="1" applyAlignment="1">
      <alignment horizontal="center" vertical="center" textRotation="90"/>
    </xf>
    <xf numFmtId="0" fontId="31" fillId="0" borderId="64" xfId="14" applyFont="1" applyBorder="1" applyAlignment="1">
      <alignment horizontal="left" wrapText="1"/>
    </xf>
    <xf numFmtId="0" fontId="31" fillId="0" borderId="65" xfId="14" applyFont="1" applyBorder="1" applyAlignment="1">
      <alignment horizontal="left" wrapText="1"/>
    </xf>
    <xf numFmtId="0" fontId="35" fillId="0" borderId="61" xfId="14" applyFont="1" applyBorder="1" applyAlignment="1" applyProtection="1">
      <alignment horizontal="left" vertical="top" wrapText="1" readingOrder="1"/>
      <protection locked="0"/>
    </xf>
    <xf numFmtId="0" fontId="35" fillId="0" borderId="53" xfId="14" applyFont="1" applyBorder="1" applyAlignment="1" applyProtection="1">
      <alignment horizontal="left" vertical="top" wrapText="1" readingOrder="1"/>
      <protection locked="0"/>
    </xf>
    <xf numFmtId="0" fontId="35" fillId="0" borderId="56" xfId="14" applyFont="1" applyBorder="1" applyAlignment="1" applyProtection="1">
      <alignment horizontal="left" vertical="top" wrapText="1" readingOrder="1"/>
      <protection locked="0"/>
    </xf>
    <xf numFmtId="0" fontId="35" fillId="0" borderId="13" xfId="14" applyFont="1" applyBorder="1" applyAlignment="1" applyProtection="1">
      <alignment horizontal="left" vertical="top" wrapText="1" readingOrder="1"/>
      <protection locked="0"/>
    </xf>
    <xf numFmtId="0" fontId="35" fillId="0" borderId="0" xfId="14" applyFont="1" applyAlignment="1" applyProtection="1">
      <alignment horizontal="left" vertical="top" wrapText="1" readingOrder="1"/>
      <protection locked="0"/>
    </xf>
    <xf numFmtId="0" fontId="35" fillId="0" borderId="14" xfId="14" applyFont="1" applyBorder="1" applyAlignment="1" applyProtection="1">
      <alignment horizontal="left" vertical="top" wrapText="1" readingOrder="1"/>
      <protection locked="0"/>
    </xf>
    <xf numFmtId="0" fontId="35" fillId="0" borderId="72" xfId="14" applyFont="1" applyBorder="1" applyAlignment="1" applyProtection="1">
      <alignment horizontal="left" vertical="top" wrapText="1" readingOrder="1"/>
      <protection locked="0"/>
    </xf>
    <xf numFmtId="0" fontId="35" fillId="0" borderId="47" xfId="14" applyFont="1" applyBorder="1" applyAlignment="1" applyProtection="1">
      <alignment horizontal="left" vertical="top" wrapText="1" readingOrder="1"/>
      <protection locked="0"/>
    </xf>
    <xf numFmtId="0" fontId="35" fillId="0" borderId="50" xfId="14" applyFont="1" applyBorder="1" applyAlignment="1" applyProtection="1">
      <alignment horizontal="left" vertical="top" wrapText="1" readingOrder="1"/>
      <protection locked="0"/>
    </xf>
    <xf numFmtId="0" fontId="31" fillId="0" borderId="49" xfId="14" applyFont="1" applyBorder="1" applyAlignment="1" applyProtection="1">
      <alignment vertical="center"/>
      <protection locked="0"/>
    </xf>
    <xf numFmtId="0" fontId="31" fillId="0" borderId="51" xfId="14" applyFont="1" applyBorder="1" applyAlignment="1" applyProtection="1">
      <alignment vertical="center"/>
      <protection locked="0"/>
    </xf>
    <xf numFmtId="0" fontId="31" fillId="0" borderId="57" xfId="14" applyFont="1" applyBorder="1" applyAlignment="1" applyProtection="1">
      <alignment vertical="center"/>
      <protection locked="0"/>
    </xf>
    <xf numFmtId="0" fontId="31" fillId="0" borderId="0" xfId="14" applyFont="1" applyAlignment="1" applyProtection="1">
      <alignment vertical="center"/>
      <protection locked="0"/>
    </xf>
    <xf numFmtId="0" fontId="31" fillId="0" borderId="49" xfId="14" applyFont="1" applyBorder="1" applyAlignment="1" applyProtection="1">
      <alignment horizontal="left" vertical="center"/>
      <protection locked="0"/>
    </xf>
    <xf numFmtId="0" fontId="31" fillId="0" borderId="48" xfId="14" applyFont="1" applyBorder="1" applyAlignment="1" applyProtection="1">
      <alignment horizontal="left" vertical="center"/>
      <protection locked="0"/>
    </xf>
    <xf numFmtId="164" fontId="31" fillId="0" borderId="49" xfId="14" applyNumberFormat="1" applyFont="1" applyBorder="1" applyAlignment="1" applyProtection="1">
      <alignment horizontal="center" vertical="center" shrinkToFit="1"/>
      <protection locked="0"/>
    </xf>
    <xf numFmtId="164" fontId="31" fillId="0" borderId="48" xfId="14" applyNumberFormat="1" applyFont="1" applyBorder="1" applyAlignment="1" applyProtection="1">
      <alignment horizontal="center" vertical="center" shrinkToFit="1"/>
      <protection locked="0"/>
    </xf>
    <xf numFmtId="167" fontId="34" fillId="0" borderId="49" xfId="14" applyNumberFormat="1" applyFont="1" applyBorder="1" applyAlignment="1">
      <alignment horizontal="center" vertical="center"/>
    </xf>
    <xf numFmtId="167" fontId="34" fillId="0" borderId="50" xfId="14" applyNumberFormat="1" applyFont="1" applyBorder="1" applyAlignment="1">
      <alignment horizontal="center" vertical="center"/>
    </xf>
    <xf numFmtId="0" fontId="32" fillId="0" borderId="5" xfId="14" applyFont="1" applyBorder="1" applyAlignment="1">
      <alignment horizontal="center" vertical="center" wrapText="1"/>
    </xf>
    <xf numFmtId="0" fontId="32" fillId="0" borderId="6" xfId="14" applyFont="1" applyBorder="1" applyAlignment="1">
      <alignment horizontal="center" vertical="center" wrapText="1"/>
    </xf>
    <xf numFmtId="0" fontId="32" fillId="0" borderId="44" xfId="14" applyFont="1" applyBorder="1" applyAlignment="1">
      <alignment horizontal="center" vertical="center" wrapText="1"/>
    </xf>
    <xf numFmtId="0" fontId="32" fillId="0" borderId="45" xfId="14" applyFont="1" applyBorder="1" applyAlignment="1">
      <alignment horizontal="center" vertical="center" wrapText="1"/>
    </xf>
    <xf numFmtId="0" fontId="8" fillId="0" borderId="6" xfId="14" applyBorder="1"/>
    <xf numFmtId="0" fontId="8" fillId="0" borderId="44" xfId="14" applyBorder="1"/>
    <xf numFmtId="0" fontId="33" fillId="0" borderId="45" xfId="14" applyFont="1" applyBorder="1" applyAlignment="1">
      <alignment horizontal="left" vertical="top"/>
    </xf>
    <xf numFmtId="0" fontId="33" fillId="0" borderId="44" xfId="14" applyFont="1" applyBorder="1" applyAlignment="1">
      <alignment horizontal="left" vertical="top"/>
    </xf>
    <xf numFmtId="0" fontId="33" fillId="0" borderId="7" xfId="14" applyFont="1" applyBorder="1" applyAlignment="1">
      <alignment horizontal="left" vertical="top"/>
    </xf>
    <xf numFmtId="0" fontId="35" fillId="0" borderId="52" xfId="14" applyFont="1" applyBorder="1" applyAlignment="1">
      <alignment horizontal="center" wrapText="1"/>
    </xf>
    <xf numFmtId="0" fontId="35" fillId="0" borderId="53" xfId="14" applyFont="1" applyBorder="1" applyAlignment="1">
      <alignment horizontal="center" wrapText="1"/>
    </xf>
    <xf numFmtId="0" fontId="35" fillId="0" borderId="59" xfId="14" applyFont="1" applyBorder="1" applyAlignment="1">
      <alignment horizontal="center" wrapText="1"/>
    </xf>
    <xf numFmtId="0" fontId="35" fillId="0" borderId="61" xfId="14" applyFont="1" applyBorder="1" applyAlignment="1">
      <alignment horizontal="center" wrapText="1"/>
    </xf>
    <xf numFmtId="0" fontId="35" fillId="0" borderId="56" xfId="14" applyFont="1" applyBorder="1" applyAlignment="1">
      <alignment horizontal="center" wrapText="1"/>
    </xf>
    <xf numFmtId="0" fontId="8" fillId="0" borderId="0" xfId="14" applyAlignment="1" applyProtection="1">
      <alignment horizontal="center" wrapText="1"/>
      <protection hidden="1"/>
    </xf>
    <xf numFmtId="0" fontId="8" fillId="0" borderId="0" xfId="14" applyAlignment="1" applyProtection="1">
      <alignment horizontal="center"/>
      <protection hidden="1"/>
    </xf>
    <xf numFmtId="0" fontId="33" fillId="0" borderId="55" xfId="14" applyFont="1" applyBorder="1" applyAlignment="1">
      <alignment horizontal="left" vertical="top"/>
    </xf>
    <xf numFmtId="0" fontId="33" fillId="0" borderId="56" xfId="14" applyFont="1" applyBorder="1" applyAlignment="1">
      <alignment horizontal="left" vertical="top"/>
    </xf>
    <xf numFmtId="0" fontId="8" fillId="0" borderId="46" xfId="14" applyBorder="1" applyAlignment="1" applyProtection="1">
      <alignment horizontal="left" vertical="center"/>
      <protection locked="0"/>
    </xf>
    <xf numFmtId="0" fontId="8" fillId="0" borderId="47" xfId="14" applyBorder="1" applyAlignment="1" applyProtection="1">
      <alignment horizontal="left" vertical="center"/>
      <protection locked="0"/>
    </xf>
    <xf numFmtId="0" fontId="8" fillId="0" borderId="48" xfId="14" applyBorder="1" applyAlignment="1" applyProtection="1">
      <alignment horizontal="left" vertical="center"/>
      <protection locked="0"/>
    </xf>
    <xf numFmtId="0" fontId="32" fillId="0" borderId="46" xfId="14" applyFont="1" applyBorder="1" applyAlignment="1">
      <alignment horizontal="center" vertical="center" wrapText="1"/>
    </xf>
    <xf numFmtId="0" fontId="32" fillId="0" borderId="47" xfId="14" applyFont="1" applyBorder="1" applyAlignment="1">
      <alignment horizontal="center" vertical="center" wrapText="1"/>
    </xf>
    <xf numFmtId="0" fontId="32" fillId="0" borderId="48" xfId="14" applyFont="1" applyBorder="1" applyAlignment="1">
      <alignment horizontal="center" vertical="center" wrapText="1"/>
    </xf>
    <xf numFmtId="0" fontId="32" fillId="0" borderId="49" xfId="14" applyFont="1" applyBorder="1" applyAlignment="1">
      <alignment horizontal="center" vertical="center" wrapText="1"/>
    </xf>
    <xf numFmtId="0" fontId="8" fillId="0" borderId="47" xfId="14" applyBorder="1"/>
    <xf numFmtId="0" fontId="8" fillId="0" borderId="48" xfId="14" applyBorder="1"/>
    <xf numFmtId="0" fontId="31" fillId="0" borderId="49" xfId="14" applyFont="1" applyBorder="1" applyAlignment="1" applyProtection="1">
      <alignment horizontal="center" vertical="center"/>
      <protection locked="0"/>
    </xf>
    <xf numFmtId="0" fontId="31" fillId="0" borderId="48" xfId="14" applyFont="1" applyBorder="1" applyAlignment="1" applyProtection="1">
      <alignment horizontal="center" vertical="center"/>
      <protection locked="0"/>
    </xf>
    <xf numFmtId="166" fontId="31" fillId="0" borderId="49" xfId="14" applyNumberFormat="1" applyFont="1" applyBorder="1" applyAlignment="1" applyProtection="1">
      <alignment horizontal="center" vertical="center"/>
      <protection locked="0"/>
    </xf>
    <xf numFmtId="166" fontId="31" fillId="0" borderId="50" xfId="14" applyNumberFormat="1" applyFont="1" applyBorder="1" applyAlignment="1" applyProtection="1">
      <alignment horizontal="center" vertical="center"/>
      <protection locked="0"/>
    </xf>
    <xf numFmtId="0" fontId="33" fillId="0" borderId="52" xfId="14" applyFont="1" applyBorder="1" applyAlignment="1">
      <alignment horizontal="left" vertical="top"/>
    </xf>
    <xf numFmtId="0" fontId="33" fillId="0" borderId="53" xfId="14" applyFont="1" applyBorder="1" applyAlignment="1">
      <alignment horizontal="left" vertical="top"/>
    </xf>
    <xf numFmtId="0" fontId="33" fillId="0" borderId="54" xfId="14" applyFont="1" applyBorder="1" applyAlignment="1">
      <alignment horizontal="left" vertical="top"/>
    </xf>
    <xf numFmtId="0" fontId="33" fillId="0" borderId="55" xfId="14" applyFont="1" applyBorder="1" applyAlignment="1">
      <alignment horizontal="left" vertical="top" wrapText="1"/>
    </xf>
    <xf numFmtId="0" fontId="33" fillId="0" borderId="54" xfId="14" applyFont="1" applyBorder="1" applyAlignment="1">
      <alignment horizontal="left" vertical="top" wrapText="1"/>
    </xf>
    <xf numFmtId="0" fontId="33" fillId="0" borderId="55" xfId="14" applyFont="1" applyBorder="1" applyAlignment="1">
      <alignment horizontal="left" vertical="top" shrinkToFit="1"/>
    </xf>
    <xf numFmtId="0" fontId="33" fillId="0" borderId="54" xfId="14" applyFont="1" applyBorder="1" applyAlignment="1">
      <alignment horizontal="left" vertical="top" shrinkToFit="1"/>
    </xf>
    <xf numFmtId="0" fontId="32" fillId="0" borderId="5" xfId="7" applyFont="1" applyBorder="1" applyAlignment="1">
      <alignment horizontal="center" vertical="center" wrapText="1"/>
    </xf>
    <xf numFmtId="0" fontId="32" fillId="0" borderId="6" xfId="7" applyFont="1" applyBorder="1" applyAlignment="1">
      <alignment horizontal="center" vertical="center" wrapText="1"/>
    </xf>
    <xf numFmtId="0" fontId="32" fillId="0" borderId="44" xfId="7" applyFont="1" applyBorder="1" applyAlignment="1">
      <alignment horizontal="center" vertical="center" wrapText="1"/>
    </xf>
    <xf numFmtId="0" fontId="32" fillId="0" borderId="45" xfId="7" applyFont="1" applyBorder="1" applyAlignment="1">
      <alignment horizontal="center" vertical="center" wrapText="1"/>
    </xf>
    <xf numFmtId="0" fontId="8" fillId="0" borderId="6" xfId="7" applyBorder="1"/>
    <xf numFmtId="0" fontId="8" fillId="0" borderId="44" xfId="7" applyBorder="1"/>
    <xf numFmtId="0" fontId="33" fillId="0" borderId="45" xfId="7" applyFont="1" applyBorder="1" applyAlignment="1">
      <alignment horizontal="left" vertical="top"/>
    </xf>
    <xf numFmtId="0" fontId="33" fillId="0" borderId="44" xfId="7" applyFont="1" applyBorder="1" applyAlignment="1">
      <alignment horizontal="left" vertical="top"/>
    </xf>
    <xf numFmtId="0" fontId="33" fillId="0" borderId="7" xfId="7" applyFont="1" applyBorder="1" applyAlignment="1">
      <alignment horizontal="left" vertical="top"/>
    </xf>
    <xf numFmtId="0" fontId="32" fillId="0" borderId="46" xfId="7" applyFont="1" applyBorder="1" applyAlignment="1">
      <alignment horizontal="center" vertical="center" wrapText="1"/>
    </xf>
    <xf numFmtId="0" fontId="32" fillId="0" borderId="47" xfId="7" applyFont="1" applyBorder="1" applyAlignment="1">
      <alignment horizontal="center" vertical="center" wrapText="1"/>
    </xf>
    <xf numFmtId="0" fontId="32" fillId="0" borderId="48" xfId="7" applyFont="1" applyBorder="1" applyAlignment="1">
      <alignment horizontal="center" vertical="center" wrapText="1"/>
    </xf>
    <xf numFmtId="0" fontId="32" fillId="0" borderId="49" xfId="7" applyFont="1" applyBorder="1" applyAlignment="1">
      <alignment horizontal="center" vertical="center" wrapText="1"/>
    </xf>
    <xf numFmtId="0" fontId="8" fillId="0" borderId="47" xfId="7" applyBorder="1"/>
    <xf numFmtId="0" fontId="8" fillId="0" borderId="48" xfId="7" applyBorder="1"/>
    <xf numFmtId="0" fontId="31" fillId="0" borderId="49" xfId="7" applyFont="1" applyBorder="1" applyAlignment="1" applyProtection="1">
      <alignment horizontal="center" vertical="center"/>
      <protection locked="0"/>
    </xf>
    <xf numFmtId="0" fontId="31" fillId="0" borderId="48" xfId="7" applyFont="1" applyBorder="1" applyAlignment="1" applyProtection="1">
      <alignment horizontal="center" vertical="center"/>
      <protection locked="0"/>
    </xf>
    <xf numFmtId="166" fontId="31" fillId="0" borderId="49" xfId="7" applyNumberFormat="1" applyFont="1" applyBorder="1" applyAlignment="1" applyProtection="1">
      <alignment horizontal="center" vertical="center"/>
      <protection locked="0"/>
    </xf>
    <xf numFmtId="166" fontId="31" fillId="0" borderId="50" xfId="7" applyNumberFormat="1" applyFont="1" applyBorder="1" applyAlignment="1" applyProtection="1">
      <alignment horizontal="center" vertical="center"/>
      <protection locked="0"/>
    </xf>
    <xf numFmtId="0" fontId="8" fillId="0" borderId="0" xfId="7" applyAlignment="1" applyProtection="1">
      <alignment horizontal="center" wrapText="1"/>
      <protection hidden="1"/>
    </xf>
    <xf numFmtId="0" fontId="8" fillId="0" borderId="0" xfId="7" applyAlignment="1" applyProtection="1">
      <alignment horizontal="center"/>
      <protection hidden="1"/>
    </xf>
    <xf numFmtId="0" fontId="33" fillId="0" borderId="52" xfId="7" applyFont="1" applyBorder="1" applyAlignment="1">
      <alignment horizontal="left" vertical="top"/>
    </xf>
    <xf numFmtId="0" fontId="33" fillId="0" borderId="53" xfId="7" applyFont="1" applyBorder="1" applyAlignment="1">
      <alignment horizontal="left" vertical="top"/>
    </xf>
    <xf numFmtId="0" fontId="33" fillId="0" borderId="54" xfId="7" applyFont="1" applyBorder="1" applyAlignment="1">
      <alignment horizontal="left" vertical="top"/>
    </xf>
    <xf numFmtId="0" fontId="33" fillId="0" borderId="55" xfId="7" applyFont="1" applyBorder="1" applyAlignment="1">
      <alignment horizontal="left" vertical="top"/>
    </xf>
    <xf numFmtId="0" fontId="33" fillId="0" borderId="55" xfId="7" applyFont="1" applyBorder="1" applyAlignment="1">
      <alignment horizontal="left" vertical="top" wrapText="1"/>
    </xf>
    <xf numFmtId="0" fontId="33" fillId="0" borderId="54" xfId="7" applyFont="1" applyBorder="1" applyAlignment="1">
      <alignment horizontal="left" vertical="top" wrapText="1"/>
    </xf>
    <xf numFmtId="0" fontId="33" fillId="0" borderId="55" xfId="7" applyFont="1" applyBorder="1" applyAlignment="1">
      <alignment horizontal="left" vertical="top" shrinkToFit="1"/>
    </xf>
    <xf numFmtId="0" fontId="33" fillId="0" borderId="54" xfId="7" applyFont="1" applyBorder="1" applyAlignment="1">
      <alignment horizontal="left" vertical="top" shrinkToFit="1"/>
    </xf>
    <xf numFmtId="0" fontId="33" fillId="0" borderId="56" xfId="7" applyFont="1" applyBorder="1" applyAlignment="1">
      <alignment horizontal="left" vertical="top"/>
    </xf>
    <xf numFmtId="0" fontId="8" fillId="0" borderId="46" xfId="7" applyBorder="1" applyAlignment="1" applyProtection="1">
      <alignment horizontal="left" vertical="center"/>
      <protection locked="0"/>
    </xf>
    <xf numFmtId="0" fontId="8" fillId="0" borderId="47" xfId="7" applyBorder="1" applyAlignment="1" applyProtection="1">
      <alignment horizontal="left" vertical="center"/>
      <protection locked="0"/>
    </xf>
    <xf numFmtId="0" fontId="8" fillId="0" borderId="48" xfId="7" applyBorder="1" applyAlignment="1" applyProtection="1">
      <alignment horizontal="left" vertical="center"/>
      <protection locked="0"/>
    </xf>
    <xf numFmtId="0" fontId="31" fillId="0" borderId="49" xfId="7" applyFont="1" applyBorder="1" applyAlignment="1">
      <alignment vertical="center"/>
    </xf>
    <xf numFmtId="0" fontId="31" fillId="0" borderId="51" xfId="7" applyFont="1" applyBorder="1" applyAlignment="1">
      <alignment vertical="center"/>
    </xf>
    <xf numFmtId="0" fontId="31" fillId="0" borderId="57" xfId="7" applyFont="1" applyBorder="1" applyAlignment="1" applyProtection="1">
      <alignment vertical="center"/>
      <protection locked="0"/>
    </xf>
    <xf numFmtId="0" fontId="31" fillId="0" borderId="0" xfId="7" applyFont="1" applyAlignment="1" applyProtection="1">
      <alignment vertical="center"/>
      <protection locked="0"/>
    </xf>
    <xf numFmtId="0" fontId="31" fillId="0" borderId="51" xfId="7" applyFont="1" applyBorder="1" applyAlignment="1" applyProtection="1">
      <alignment vertical="center"/>
      <protection locked="0"/>
    </xf>
    <xf numFmtId="0" fontId="31" fillId="0" borderId="49" xfId="7" applyFont="1" applyBorder="1" applyAlignment="1">
      <alignment horizontal="left" vertical="center"/>
    </xf>
    <xf numFmtId="0" fontId="31" fillId="0" borderId="48" xfId="7" applyFont="1" applyBorder="1" applyAlignment="1">
      <alignment horizontal="left" vertical="center"/>
    </xf>
    <xf numFmtId="164" fontId="31" fillId="0" borderId="49" xfId="7" applyNumberFormat="1" applyFont="1" applyBorder="1" applyAlignment="1">
      <alignment horizontal="center" vertical="center" shrinkToFit="1"/>
    </xf>
    <xf numFmtId="164" fontId="31" fillId="0" borderId="48" xfId="7" applyNumberFormat="1" applyFont="1" applyBorder="1" applyAlignment="1">
      <alignment horizontal="center" vertical="center" shrinkToFit="1"/>
    </xf>
    <xf numFmtId="167" fontId="34" fillId="0" borderId="49" xfId="7" applyNumberFormat="1" applyFont="1" applyBorder="1" applyAlignment="1">
      <alignment horizontal="center" vertical="center"/>
    </xf>
    <xf numFmtId="167" fontId="34" fillId="0" borderId="50" xfId="7" applyNumberFormat="1" applyFont="1" applyBorder="1" applyAlignment="1">
      <alignment horizontal="center" vertical="center"/>
    </xf>
    <xf numFmtId="0" fontId="31" fillId="0" borderId="64" xfId="7" applyFont="1" applyBorder="1" applyAlignment="1">
      <alignment horizontal="left" vertical="center" wrapText="1"/>
    </xf>
    <xf numFmtId="0" fontId="31" fillId="0" borderId="65" xfId="7" applyFont="1" applyBorder="1" applyAlignment="1">
      <alignment horizontal="left" vertical="center" wrapText="1"/>
    </xf>
    <xf numFmtId="0" fontId="35" fillId="0" borderId="52" xfId="7" applyFont="1" applyBorder="1" applyAlignment="1">
      <alignment horizontal="center" wrapText="1"/>
    </xf>
    <xf numFmtId="0" fontId="35" fillId="0" borderId="53" xfId="7" applyFont="1" applyBorder="1" applyAlignment="1">
      <alignment horizontal="center" wrapText="1"/>
    </xf>
    <xf numFmtId="0" fontId="35" fillId="0" borderId="59" xfId="7" applyFont="1" applyBorder="1" applyAlignment="1">
      <alignment horizontal="center" wrapText="1"/>
    </xf>
    <xf numFmtId="0" fontId="35" fillId="0" borderId="61" xfId="7" applyFont="1" applyBorder="1" applyAlignment="1">
      <alignment horizontal="center" wrapText="1"/>
    </xf>
    <xf numFmtId="0" fontId="35" fillId="0" borderId="56" xfId="7" applyFont="1" applyBorder="1" applyAlignment="1">
      <alignment horizontal="center" wrapText="1"/>
    </xf>
    <xf numFmtId="0" fontId="31" fillId="0" borderId="64" xfId="7" applyFont="1" applyBorder="1" applyAlignment="1">
      <alignment horizontal="left" wrapText="1"/>
    </xf>
    <xf numFmtId="0" fontId="31" fillId="0" borderId="65" xfId="7" applyFont="1" applyBorder="1" applyAlignment="1">
      <alignment horizontal="left" wrapText="1"/>
    </xf>
    <xf numFmtId="0" fontId="35" fillId="0" borderId="0" xfId="7" applyFont="1" applyAlignment="1">
      <alignment horizontal="center"/>
    </xf>
    <xf numFmtId="0" fontId="35" fillId="0" borderId="0" xfId="7" applyFont="1" applyAlignment="1">
      <alignment horizontal="center" vertical="center" textRotation="90"/>
    </xf>
    <xf numFmtId="0" fontId="35" fillId="0" borderId="61" xfId="7" applyFont="1" applyBorder="1" applyAlignment="1" applyProtection="1">
      <alignment horizontal="left" vertical="top" wrapText="1" readingOrder="1"/>
      <protection locked="0"/>
    </xf>
    <xf numFmtId="0" fontId="35" fillId="0" borderId="53" xfId="7" applyFont="1" applyBorder="1" applyAlignment="1" applyProtection="1">
      <alignment horizontal="left" vertical="top" wrapText="1" readingOrder="1"/>
      <protection locked="0"/>
    </xf>
    <xf numFmtId="0" fontId="35" fillId="0" borderId="56" xfId="7" applyFont="1" applyBorder="1" applyAlignment="1" applyProtection="1">
      <alignment horizontal="left" vertical="top" wrapText="1" readingOrder="1"/>
      <protection locked="0"/>
    </xf>
    <xf numFmtId="0" fontId="35" fillId="0" borderId="13" xfId="7" applyFont="1" applyBorder="1" applyAlignment="1" applyProtection="1">
      <alignment horizontal="left" vertical="top" wrapText="1" readingOrder="1"/>
      <protection locked="0"/>
    </xf>
    <xf numFmtId="0" fontId="35" fillId="0" borderId="0" xfId="7" applyFont="1" applyAlignment="1" applyProtection="1">
      <alignment horizontal="left" vertical="top" wrapText="1" readingOrder="1"/>
      <protection locked="0"/>
    </xf>
    <xf numFmtId="0" fontId="35" fillId="0" borderId="14" xfId="7" applyFont="1" applyBorder="1" applyAlignment="1" applyProtection="1">
      <alignment horizontal="left" vertical="top" wrapText="1" readingOrder="1"/>
      <protection locked="0"/>
    </xf>
    <xf numFmtId="0" fontId="35" fillId="0" borderId="72" xfId="7" applyFont="1" applyBorder="1" applyAlignment="1" applyProtection="1">
      <alignment horizontal="left" vertical="top" wrapText="1" readingOrder="1"/>
      <protection locked="0"/>
    </xf>
    <xf numFmtId="0" fontId="35" fillId="0" borderId="47" xfId="7" applyFont="1" applyBorder="1" applyAlignment="1" applyProtection="1">
      <alignment horizontal="left" vertical="top" wrapText="1" readingOrder="1"/>
      <protection locked="0"/>
    </xf>
    <xf numFmtId="0" fontId="35" fillId="0" borderId="50" xfId="7" applyFont="1" applyBorder="1" applyAlignment="1" applyProtection="1">
      <alignment horizontal="left" vertical="top" wrapText="1" readingOrder="1"/>
      <protection locked="0"/>
    </xf>
    <xf numFmtId="0" fontId="35" fillId="0" borderId="55" xfId="7" applyFont="1" applyBorder="1" applyAlignment="1" applyProtection="1">
      <alignment horizontal="left" vertical="top"/>
      <protection locked="0"/>
    </xf>
    <xf numFmtId="0" fontId="35" fillId="0" borderId="53" xfId="7" applyFont="1" applyBorder="1" applyAlignment="1" applyProtection="1">
      <alignment horizontal="left" vertical="top"/>
      <protection locked="0"/>
    </xf>
    <xf numFmtId="0" fontId="35" fillId="0" borderId="54" xfId="7" applyFont="1" applyBorder="1" applyAlignment="1" applyProtection="1">
      <alignment horizontal="left" vertical="top"/>
      <protection locked="0"/>
    </xf>
    <xf numFmtId="0" fontId="35" fillId="0" borderId="57" xfId="7" applyFont="1" applyBorder="1" applyAlignment="1" applyProtection="1">
      <alignment horizontal="left" vertical="top"/>
      <protection locked="0"/>
    </xf>
    <xf numFmtId="0" fontId="35" fillId="0" borderId="0" xfId="7" applyFont="1" applyAlignment="1" applyProtection="1">
      <alignment horizontal="left" vertical="top"/>
      <protection locked="0"/>
    </xf>
    <xf numFmtId="0" fontId="35" fillId="0" borderId="51" xfId="7" applyFont="1" applyBorder="1" applyAlignment="1" applyProtection="1">
      <alignment horizontal="left" vertical="top"/>
      <protection locked="0"/>
    </xf>
    <xf numFmtId="0" fontId="35" fillId="0" borderId="49" xfId="7" applyFont="1" applyBorder="1" applyAlignment="1" applyProtection="1">
      <alignment horizontal="left" vertical="top"/>
      <protection locked="0"/>
    </xf>
    <xf numFmtId="0" fontId="35" fillId="0" borderId="47" xfId="7" applyFont="1" applyBorder="1" applyAlignment="1" applyProtection="1">
      <alignment horizontal="left" vertical="top"/>
      <protection locked="0"/>
    </xf>
    <xf numFmtId="0" fontId="35" fillId="0" borderId="48" xfId="7" applyFont="1" applyBorder="1" applyAlignment="1" applyProtection="1">
      <alignment horizontal="left" vertical="top"/>
      <protection locked="0"/>
    </xf>
    <xf numFmtId="49" fontId="33" fillId="0" borderId="15" xfId="7" applyNumberFormat="1" applyFont="1" applyBorder="1" applyAlignment="1">
      <alignment horizontal="left" vertical="top"/>
    </xf>
    <xf numFmtId="49" fontId="33" fillId="0" borderId="0" xfId="7" applyNumberFormat="1" applyFont="1" applyAlignment="1">
      <alignment horizontal="left" vertical="top"/>
    </xf>
    <xf numFmtId="49" fontId="33" fillId="0" borderId="51" xfId="7" applyNumberFormat="1" applyFont="1" applyBorder="1" applyAlignment="1">
      <alignment horizontal="left" vertical="top"/>
    </xf>
    <xf numFmtId="49" fontId="33" fillId="0" borderId="62" xfId="7" applyNumberFormat="1" applyFont="1" applyBorder="1" applyAlignment="1">
      <alignment horizontal="left" vertical="top"/>
    </xf>
    <xf numFmtId="49" fontId="33" fillId="0" borderId="73" xfId="7" applyNumberFormat="1" applyFont="1" applyBorder="1" applyAlignment="1">
      <alignment horizontal="left" vertical="top"/>
    </xf>
    <xf numFmtId="0" fontId="33" fillId="0" borderId="73" xfId="7" applyFont="1" applyBorder="1" applyAlignment="1">
      <alignment horizontal="left" vertical="top"/>
    </xf>
    <xf numFmtId="0" fontId="33" fillId="0" borderId="74" xfId="7" applyFont="1" applyBorder="1" applyAlignment="1">
      <alignment horizontal="left" vertical="top"/>
    </xf>
    <xf numFmtId="0" fontId="37" fillId="0" borderId="16" xfId="7" applyFont="1" applyBorder="1" applyAlignment="1">
      <alignment horizontal="left" vertical="top"/>
    </xf>
    <xf numFmtId="0" fontId="33" fillId="0" borderId="17" xfId="7" applyFont="1" applyBorder="1" applyAlignment="1">
      <alignment horizontal="left" vertical="top"/>
    </xf>
    <xf numFmtId="0" fontId="33" fillId="0" borderId="8" xfId="7" applyFont="1" applyBorder="1" applyAlignment="1">
      <alignment horizontal="left" vertical="top"/>
    </xf>
    <xf numFmtId="0" fontId="33" fillId="0" borderId="6" xfId="7" applyFont="1" applyBorder="1" applyAlignment="1">
      <alignment horizontal="right" vertical="top"/>
    </xf>
    <xf numFmtId="0" fontId="32" fillId="0" borderId="77" xfId="7" applyFont="1" applyBorder="1" applyAlignment="1">
      <alignment horizontal="center" vertical="center"/>
    </xf>
    <xf numFmtId="0" fontId="32" fillId="0" borderId="78" xfId="7" applyFont="1" applyBorder="1" applyAlignment="1">
      <alignment horizontal="center" vertical="center"/>
    </xf>
    <xf numFmtId="0" fontId="32" fillId="0" borderId="20" xfId="7" applyFont="1" applyBorder="1" applyAlignment="1">
      <alignment horizontal="center" vertical="center"/>
    </xf>
    <xf numFmtId="0" fontId="38" fillId="0" borderId="22" xfId="7" applyFont="1" applyBorder="1" applyAlignment="1">
      <alignment horizontal="center" vertical="center"/>
    </xf>
    <xf numFmtId="0" fontId="32" fillId="0" borderId="22" xfId="7" applyFont="1" applyBorder="1" applyAlignment="1" applyProtection="1">
      <alignment horizontal="center" vertical="center"/>
      <protection locked="0"/>
    </xf>
    <xf numFmtId="0" fontId="32" fillId="0" borderId="79" xfId="7" applyFont="1" applyBorder="1" applyAlignment="1" applyProtection="1">
      <alignment horizontal="center" vertical="center"/>
      <protection locked="0"/>
    </xf>
  </cellXfs>
  <cellStyles count="20">
    <cellStyle name="Comma" xfId="6" builtinId="3"/>
    <cellStyle name="Hyperlink" xfId="3" builtinId="8"/>
    <cellStyle name="Hyperlink 3" xfId="11" xr:uid="{AAF2CCD4-27D2-4F62-B05F-A1E1E15F2363}"/>
    <cellStyle name="Normal" xfId="0" builtinId="0" customBuiltin="1"/>
    <cellStyle name="Normal 11" xfId="7" xr:uid="{A6D80C08-C7F2-405A-B76D-2F41869EDC62}"/>
    <cellStyle name="Normal 12" xfId="13" xr:uid="{82A10D53-2AFE-41F0-9762-B5DD64FA1E67}"/>
    <cellStyle name="Normal 13" xfId="14" xr:uid="{C19BBBD6-B4E5-45BC-B7E9-E8FFCD37B8B8}"/>
    <cellStyle name="Normal 2" xfId="4" xr:uid="{9A76DC85-A02E-4B5A-AE75-6A85DF3D43E1}"/>
    <cellStyle name="Normal 2 11" xfId="1" xr:uid="{DC6B5F69-E625-4F63-98AD-544688292D90}"/>
    <cellStyle name="Normal 3" xfId="8" xr:uid="{9F6FBFF6-E2F2-4D48-B033-460904BD6E88}"/>
    <cellStyle name="Normal 4" xfId="9" xr:uid="{3CFAEDFB-F420-475F-894E-22D627CB4E81}"/>
    <cellStyle name="Normal 5" xfId="10" xr:uid="{A71A1BF9-DEE5-45E4-B4E1-2E0AF9B7973C}"/>
    <cellStyle name="Normal 52" xfId="2" xr:uid="{71FE1EBB-4236-4415-9A55-545928341ADB}"/>
    <cellStyle name="Normal 6" xfId="12" xr:uid="{C21BA87A-BCB5-4298-A06C-8F8941F774BD}"/>
    <cellStyle name="Normal 6 2" xfId="19" xr:uid="{1EDCB8E8-919F-4128-90ED-1070A3061CF7}"/>
    <cellStyle name="Normal 7" xfId="15" xr:uid="{32A7D9E9-1F46-4047-868B-0D6DE140D619}"/>
    <cellStyle name="Normal 8" xfId="17" xr:uid="{E870F39D-EDEC-41FF-92F6-60CEE60B6D3F}"/>
    <cellStyle name="Percent 2" xfId="5" xr:uid="{8011F3E4-B0A5-476D-8C8E-DBC65B57C7E5}"/>
    <cellStyle name="Percent 3" xfId="16" xr:uid="{F89F6641-1019-4F38-ACC5-473C74948C52}"/>
    <cellStyle name="Percent 4" xfId="18" xr:uid="{7D73F451-6C7D-4E31-8122-2F0825D079A5}"/>
  </cellStyles>
  <dxfs count="428">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ill>
        <patternFill>
          <bgColor rgb="FFFFFF00"/>
        </patternFill>
      </fill>
    </dxf>
    <dxf>
      <font>
        <color theme="0"/>
      </font>
    </dxf>
    <dxf>
      <font>
        <b/>
        <i/>
      </font>
      <fill>
        <patternFill patternType="solid">
          <fgColor auto="1"/>
        </patternFill>
      </fill>
    </dxf>
    <dxf>
      <fill>
        <patternFill>
          <bgColor rgb="FFFFFF00"/>
        </patternFill>
      </fill>
    </dxf>
    <dxf>
      <fill>
        <patternFill>
          <bgColor rgb="FFFFFF00"/>
        </patternFill>
      </fill>
    </dxf>
    <dxf>
      <font>
        <color theme="0"/>
      </font>
    </dxf>
    <dxf>
      <font>
        <color theme="1"/>
      </font>
      <fill>
        <patternFill patternType="none">
          <bgColor auto="1"/>
        </patternFill>
      </fill>
    </dxf>
    <dxf>
      <font>
        <color rgb="FFEBEBEB"/>
      </font>
      <fill>
        <patternFill>
          <bgColor rgb="FFEBEBEB"/>
        </patternFill>
      </fill>
    </dxf>
    <dxf>
      <font>
        <color theme="0" tint="-0.24994659260841701"/>
      </font>
      <fill>
        <patternFill>
          <bgColor theme="0" tint="-0.24994659260841701"/>
        </patternFill>
      </fill>
    </dxf>
    <dxf>
      <fill>
        <patternFill>
          <bgColor rgb="FFFFFF00"/>
        </patternFill>
      </fill>
    </dxf>
    <dxf>
      <font>
        <color theme="0"/>
      </font>
    </dxf>
    <dxf>
      <fill>
        <patternFill>
          <bgColor rgb="FFFF0000"/>
        </patternFill>
      </fill>
    </dxf>
    <dxf>
      <fill>
        <patternFill>
          <bgColor rgb="FFEBEBEB"/>
        </patternFill>
      </fill>
    </dxf>
    <dxf>
      <font>
        <b/>
        <i val="0"/>
      </font>
      <fill>
        <patternFill>
          <bgColor theme="0" tint="-0.24994659260841701"/>
        </patternFill>
      </fill>
    </dxf>
    <dxf>
      <font>
        <strike val="0"/>
        <color theme="0"/>
      </font>
    </dxf>
    <dxf>
      <font>
        <strike val="0"/>
        <color theme="0"/>
      </font>
    </dxf>
    <dxf>
      <font>
        <strike val="0"/>
        <color theme="0"/>
      </font>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1.xml"/><Relationship Id="rId50"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2.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457200</xdr:colOff>
          <xdr:row>14</xdr:row>
          <xdr:rowOff>190500</xdr:rowOff>
        </xdr:from>
        <xdr:to>
          <xdr:col>7</xdr:col>
          <xdr:colOff>1781175</xdr:colOff>
          <xdr:row>16</xdr:row>
          <xdr:rowOff>57150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sng" strike="noStrike" baseline="0">
                  <a:solidFill>
                    <a:srgbClr val="FF0000"/>
                  </a:solidFill>
                  <a:latin typeface="Times New Roman"/>
                  <a:cs typeface="Times New Roman"/>
                </a:rPr>
                <a:t>Sort Date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466725</xdr:colOff>
          <xdr:row>6</xdr:row>
          <xdr:rowOff>161925</xdr:rowOff>
        </xdr:from>
        <xdr:to>
          <xdr:col>6</xdr:col>
          <xdr:colOff>314325</xdr:colOff>
          <xdr:row>10</xdr:row>
          <xdr:rowOff>85725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5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Just Update Summaries and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552450</xdr:colOff>
          <xdr:row>2</xdr:row>
          <xdr:rowOff>95250</xdr:rowOff>
        </xdr:from>
        <xdr:to>
          <xdr:col>11</xdr:col>
          <xdr:colOff>400050</xdr:colOff>
          <xdr:row>6</xdr:row>
          <xdr:rowOff>19050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500-000002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Unlock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561975</xdr:colOff>
          <xdr:row>6</xdr:row>
          <xdr:rowOff>152400</xdr:rowOff>
        </xdr:from>
        <xdr:to>
          <xdr:col>11</xdr:col>
          <xdr:colOff>409575</xdr:colOff>
          <xdr:row>10</xdr:row>
          <xdr:rowOff>76200</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500-000003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Lock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485775</xdr:colOff>
          <xdr:row>2</xdr:row>
          <xdr:rowOff>76200</xdr:rowOff>
        </xdr:from>
        <xdr:to>
          <xdr:col>6</xdr:col>
          <xdr:colOff>333375</xdr:colOff>
          <xdr:row>6</xdr:row>
          <xdr:rowOff>0</xdr:rowOff>
        </xdr:to>
        <xdr:sp macro="" textlink="">
          <xdr:nvSpPr>
            <xdr:cNvPr id="23557" name="Button 5" hidden="1">
              <a:extLst>
                <a:ext uri="{63B3BB69-23CF-44E3-9099-C40C66FF867C}">
                  <a14:compatExt spid="_x0000_s23557"/>
                </a:ext>
                <a:ext uri="{FF2B5EF4-FFF2-40B4-BE49-F238E27FC236}">
                  <a16:creationId xmlns:a16="http://schemas.microsoft.com/office/drawing/2014/main" id="{00000000-0008-0000-0500-000005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Sort Grade Sheets and Update Everything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352425</xdr:colOff>
          <xdr:row>6</xdr:row>
          <xdr:rowOff>133350</xdr:rowOff>
        </xdr:from>
        <xdr:to>
          <xdr:col>16</xdr:col>
          <xdr:colOff>200025</xdr:colOff>
          <xdr:row>10</xdr:row>
          <xdr:rowOff>57150</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0500-000006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Delete Grade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2</xdr:row>
          <xdr:rowOff>85725</xdr:rowOff>
        </xdr:from>
        <xdr:to>
          <xdr:col>16</xdr:col>
          <xdr:colOff>190500</xdr:colOff>
          <xdr:row>6</xdr:row>
          <xdr:rowOff>9525</xdr:rowOff>
        </xdr:to>
        <xdr:sp macro="" textlink="">
          <xdr:nvSpPr>
            <xdr:cNvPr id="23559" name="Button 7" hidden="1">
              <a:extLst>
                <a:ext uri="{63B3BB69-23CF-44E3-9099-C40C66FF867C}">
                  <a14:compatExt spid="_x0000_s23559"/>
                </a:ext>
                <a:ext uri="{FF2B5EF4-FFF2-40B4-BE49-F238E27FC236}">
                  <a16:creationId xmlns:a16="http://schemas.microsoft.com/office/drawing/2014/main" id="{00000000-0008-0000-0500-000007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Import Grade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10</xdr:row>
          <xdr:rowOff>180975</xdr:rowOff>
        </xdr:from>
        <xdr:to>
          <xdr:col>16</xdr:col>
          <xdr:colOff>190500</xdr:colOff>
          <xdr:row>14</xdr:row>
          <xdr:rowOff>104775</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500-00000F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Add Macro Buttons </a:t>
              </a:r>
            </a:p>
            <a:p>
              <a:pPr algn="ctr" rtl="0">
                <a:defRPr sz="1000"/>
              </a:pPr>
              <a:r>
                <a:rPr lang="en-US" sz="1600" b="1" i="0" u="none" strike="noStrike" baseline="0">
                  <a:solidFill>
                    <a:srgbClr val="000000"/>
                  </a:solidFill>
                  <a:latin typeface="Times New Roman"/>
                  <a:cs typeface="Times New Roman"/>
                </a:rPr>
                <a:t>(Evil Designed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19</xdr:row>
          <xdr:rowOff>95250</xdr:rowOff>
        </xdr:from>
        <xdr:to>
          <xdr:col>16</xdr:col>
          <xdr:colOff>190500</xdr:colOff>
          <xdr:row>23</xdr:row>
          <xdr:rowOff>19050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500-000010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Delete Macro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352425</xdr:colOff>
          <xdr:row>15</xdr:row>
          <xdr:rowOff>0</xdr:rowOff>
        </xdr:from>
        <xdr:to>
          <xdr:col>16</xdr:col>
          <xdr:colOff>200025</xdr:colOff>
          <xdr:row>18</xdr:row>
          <xdr:rowOff>114300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500-00001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Add IP Sign Button </a:t>
              </a:r>
            </a:p>
            <a:p>
              <a:pPr algn="ctr" rtl="0">
                <a:defRPr sz="1000"/>
              </a:pPr>
              <a:r>
                <a:rPr lang="en-US" sz="1600" b="1" i="0" u="none" strike="noStrike" baseline="0">
                  <a:solidFill>
                    <a:srgbClr val="000000"/>
                  </a:solidFill>
                  <a:latin typeface="Times New Roman"/>
                  <a:cs typeface="Times New Roman"/>
                </a:rPr>
                <a:t>(All Grade Sheets)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8AB7BCAE-AB45-48D1-BBC1-FA67FA097670}"/>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53E8B0F7-30F3-4C45-AD38-347B4E6BC476}"/>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130051" name="IP_Signature" hidden="1">
              <a:extLst>
                <a:ext uri="{63B3BB69-23CF-44E3-9099-C40C66FF867C}">
                  <a14:compatExt spid="_x0000_s130051"/>
                </a:ext>
                <a:ext uri="{FF2B5EF4-FFF2-40B4-BE49-F238E27FC236}">
                  <a16:creationId xmlns:a16="http://schemas.microsoft.com/office/drawing/2014/main" id="{00000000-0008-0000-0C00-000003F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130052" name="CCG_Click" hidden="1">
              <a:extLst>
                <a:ext uri="{63B3BB69-23CF-44E3-9099-C40C66FF867C}">
                  <a14:compatExt spid="_x0000_s130052"/>
                </a:ext>
                <a:ext uri="{FF2B5EF4-FFF2-40B4-BE49-F238E27FC236}">
                  <a16:creationId xmlns:a16="http://schemas.microsoft.com/office/drawing/2014/main" id="{00000000-0008-0000-0C00-000004F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130053" name="MCG_Click" hidden="1">
              <a:extLst>
                <a:ext uri="{63B3BB69-23CF-44E3-9099-C40C66FF867C}">
                  <a14:compatExt spid="_x0000_s130053"/>
                </a:ext>
                <a:ext uri="{FF2B5EF4-FFF2-40B4-BE49-F238E27FC236}">
                  <a16:creationId xmlns:a16="http://schemas.microsoft.com/office/drawing/2014/main" id="{00000000-0008-0000-0C00-000005F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130054" name="DCG_Click" hidden="1">
              <a:extLst>
                <a:ext uri="{63B3BB69-23CF-44E3-9099-C40C66FF867C}">
                  <a14:compatExt spid="_x0000_s130054"/>
                </a:ext>
                <a:ext uri="{FF2B5EF4-FFF2-40B4-BE49-F238E27FC236}">
                  <a16:creationId xmlns:a16="http://schemas.microsoft.com/office/drawing/2014/main" id="{00000000-0008-0000-0C00-000006F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130055" name="PMC_Click" hidden="1">
              <a:extLst>
                <a:ext uri="{63B3BB69-23CF-44E3-9099-C40C66FF867C}">
                  <a14:compatExt spid="_x0000_s130055"/>
                </a:ext>
                <a:ext uri="{FF2B5EF4-FFF2-40B4-BE49-F238E27FC236}">
                  <a16:creationId xmlns:a16="http://schemas.microsoft.com/office/drawing/2014/main" id="{00000000-0008-0000-0C00-000007F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30</xdr:row>
          <xdr:rowOff>0</xdr:rowOff>
        </xdr:from>
        <xdr:to>
          <xdr:col>12</xdr:col>
          <xdr:colOff>0</xdr:colOff>
          <xdr:row>32</xdr:row>
          <xdr:rowOff>0</xdr:rowOff>
        </xdr:to>
        <xdr:sp macro="" textlink="">
          <xdr:nvSpPr>
            <xdr:cNvPr id="44033" name="IP_Signature" hidden="1">
              <a:extLst>
                <a:ext uri="{63B3BB69-23CF-44E3-9099-C40C66FF867C}">
                  <a14:compatExt spid="_x0000_s44033"/>
                </a:ext>
                <a:ext uri="{FF2B5EF4-FFF2-40B4-BE49-F238E27FC236}">
                  <a16:creationId xmlns:a16="http://schemas.microsoft.com/office/drawing/2014/main" id="{00000000-0008-0000-0D00-000001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B552B949-EEA0-4C0F-8B8D-13188BD2041E}"/>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23770FA4-413F-40DF-AB92-5756C226E005}"/>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305154" name="IP_Signature" hidden="1">
              <a:extLst>
                <a:ext uri="{63B3BB69-23CF-44E3-9099-C40C66FF867C}">
                  <a14:compatExt spid="_x0000_s305154"/>
                </a:ext>
                <a:ext uri="{FF2B5EF4-FFF2-40B4-BE49-F238E27FC236}">
                  <a16:creationId xmlns:a16="http://schemas.microsoft.com/office/drawing/2014/main" id="{00000000-0008-0000-1000-000002A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305155" name="CCG_Click" hidden="1">
              <a:extLst>
                <a:ext uri="{63B3BB69-23CF-44E3-9099-C40C66FF867C}">
                  <a14:compatExt spid="_x0000_s305155"/>
                </a:ext>
                <a:ext uri="{FF2B5EF4-FFF2-40B4-BE49-F238E27FC236}">
                  <a16:creationId xmlns:a16="http://schemas.microsoft.com/office/drawing/2014/main" id="{00000000-0008-0000-1000-000003A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305156" name="MCG_Click" hidden="1">
              <a:extLst>
                <a:ext uri="{63B3BB69-23CF-44E3-9099-C40C66FF867C}">
                  <a14:compatExt spid="_x0000_s305156"/>
                </a:ext>
                <a:ext uri="{FF2B5EF4-FFF2-40B4-BE49-F238E27FC236}">
                  <a16:creationId xmlns:a16="http://schemas.microsoft.com/office/drawing/2014/main" id="{00000000-0008-0000-1000-000004A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305157" name="DCG_Click" hidden="1">
              <a:extLst>
                <a:ext uri="{63B3BB69-23CF-44E3-9099-C40C66FF867C}">
                  <a14:compatExt spid="_x0000_s305157"/>
                </a:ext>
                <a:ext uri="{FF2B5EF4-FFF2-40B4-BE49-F238E27FC236}">
                  <a16:creationId xmlns:a16="http://schemas.microsoft.com/office/drawing/2014/main" id="{00000000-0008-0000-1000-000005A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305158" name="PMC_Click" hidden="1">
              <a:extLst>
                <a:ext uri="{63B3BB69-23CF-44E3-9099-C40C66FF867C}">
                  <a14:compatExt spid="_x0000_s305158"/>
                </a:ext>
                <a:ext uri="{FF2B5EF4-FFF2-40B4-BE49-F238E27FC236}">
                  <a16:creationId xmlns:a16="http://schemas.microsoft.com/office/drawing/2014/main" id="{00000000-0008-0000-1000-000006A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E5AFB974-D51E-4AAE-8B67-691A36EB9448}"/>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9.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1D31AB9B-FB12-4578-B042-A78FB57ABBEE}"/>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235523" name="IP_Signature" hidden="1">
              <a:extLst>
                <a:ext uri="{63B3BB69-23CF-44E3-9099-C40C66FF867C}">
                  <a14:compatExt spid="_x0000_s235523"/>
                </a:ext>
                <a:ext uri="{FF2B5EF4-FFF2-40B4-BE49-F238E27FC236}">
                  <a16:creationId xmlns:a16="http://schemas.microsoft.com/office/drawing/2014/main" id="{00000000-0008-0000-1200-0000039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235524" name="CCG_Click" hidden="1">
              <a:extLst>
                <a:ext uri="{63B3BB69-23CF-44E3-9099-C40C66FF867C}">
                  <a14:compatExt spid="_x0000_s235524"/>
                </a:ext>
                <a:ext uri="{FF2B5EF4-FFF2-40B4-BE49-F238E27FC236}">
                  <a16:creationId xmlns:a16="http://schemas.microsoft.com/office/drawing/2014/main" id="{00000000-0008-0000-1200-0000049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235525" name="MCG_Click" hidden="1">
              <a:extLst>
                <a:ext uri="{63B3BB69-23CF-44E3-9099-C40C66FF867C}">
                  <a14:compatExt spid="_x0000_s235525"/>
                </a:ext>
                <a:ext uri="{FF2B5EF4-FFF2-40B4-BE49-F238E27FC236}">
                  <a16:creationId xmlns:a16="http://schemas.microsoft.com/office/drawing/2014/main" id="{00000000-0008-0000-1200-0000059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235526" name="DCG_Click" hidden="1">
              <a:extLst>
                <a:ext uri="{63B3BB69-23CF-44E3-9099-C40C66FF867C}">
                  <a14:compatExt spid="_x0000_s235526"/>
                </a:ext>
                <a:ext uri="{FF2B5EF4-FFF2-40B4-BE49-F238E27FC236}">
                  <a16:creationId xmlns:a16="http://schemas.microsoft.com/office/drawing/2014/main" id="{00000000-0008-0000-1200-0000069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235527" name="PMC_Click" hidden="1">
              <a:extLst>
                <a:ext uri="{63B3BB69-23CF-44E3-9099-C40C66FF867C}">
                  <a14:compatExt spid="_x0000_s235527"/>
                </a:ext>
                <a:ext uri="{FF2B5EF4-FFF2-40B4-BE49-F238E27FC236}">
                  <a16:creationId xmlns:a16="http://schemas.microsoft.com/office/drawing/2014/main" id="{00000000-0008-0000-1200-0000079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41</xdr:row>
          <xdr:rowOff>0</xdr:rowOff>
        </xdr:from>
        <xdr:to>
          <xdr:col>12</xdr:col>
          <xdr:colOff>0</xdr:colOff>
          <xdr:row>42</xdr:row>
          <xdr:rowOff>0</xdr:rowOff>
        </xdr:to>
        <xdr:sp macro="" textlink="">
          <xdr:nvSpPr>
            <xdr:cNvPr id="307202" name="IP_Signature" hidden="1">
              <a:extLst>
                <a:ext uri="{63B3BB69-23CF-44E3-9099-C40C66FF867C}">
                  <a14:compatExt spid="_x0000_s307202"/>
                </a:ext>
                <a:ext uri="{FF2B5EF4-FFF2-40B4-BE49-F238E27FC236}">
                  <a16:creationId xmlns:a16="http://schemas.microsoft.com/office/drawing/2014/main" id="{00000000-0008-0000-1300-000002B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43</xdr:row>
          <xdr:rowOff>190500</xdr:rowOff>
        </xdr:to>
        <xdr:sp macro="" textlink="">
          <xdr:nvSpPr>
            <xdr:cNvPr id="307203" name="CCG_Click" hidden="1">
              <a:extLst>
                <a:ext uri="{63B3BB69-23CF-44E3-9099-C40C66FF867C}">
                  <a14:compatExt spid="_x0000_s307203"/>
                </a:ext>
                <a:ext uri="{FF2B5EF4-FFF2-40B4-BE49-F238E27FC236}">
                  <a16:creationId xmlns:a16="http://schemas.microsoft.com/office/drawing/2014/main" id="{00000000-0008-0000-1300-000003B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43</xdr:row>
          <xdr:rowOff>190500</xdr:rowOff>
        </xdr:to>
        <xdr:sp macro="" textlink="">
          <xdr:nvSpPr>
            <xdr:cNvPr id="307204" name="MCG_Click" hidden="1">
              <a:extLst>
                <a:ext uri="{63B3BB69-23CF-44E3-9099-C40C66FF867C}">
                  <a14:compatExt spid="_x0000_s307204"/>
                </a:ext>
                <a:ext uri="{FF2B5EF4-FFF2-40B4-BE49-F238E27FC236}">
                  <a16:creationId xmlns:a16="http://schemas.microsoft.com/office/drawing/2014/main" id="{00000000-0008-0000-1300-000004B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43</xdr:row>
          <xdr:rowOff>190500</xdr:rowOff>
        </xdr:to>
        <xdr:sp macro="" textlink="">
          <xdr:nvSpPr>
            <xdr:cNvPr id="307205" name="DCG_Click" hidden="1">
              <a:extLst>
                <a:ext uri="{63B3BB69-23CF-44E3-9099-C40C66FF867C}">
                  <a14:compatExt spid="_x0000_s307205"/>
                </a:ext>
                <a:ext uri="{FF2B5EF4-FFF2-40B4-BE49-F238E27FC236}">
                  <a16:creationId xmlns:a16="http://schemas.microsoft.com/office/drawing/2014/main" id="{00000000-0008-0000-1300-000005B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43</xdr:row>
          <xdr:rowOff>190500</xdr:rowOff>
        </xdr:to>
        <xdr:sp macro="" textlink="">
          <xdr:nvSpPr>
            <xdr:cNvPr id="307206" name="PMC_Click" hidden="1">
              <a:extLst>
                <a:ext uri="{63B3BB69-23CF-44E3-9099-C40C66FF867C}">
                  <a14:compatExt spid="_x0000_s307206"/>
                </a:ext>
                <a:ext uri="{FF2B5EF4-FFF2-40B4-BE49-F238E27FC236}">
                  <a16:creationId xmlns:a16="http://schemas.microsoft.com/office/drawing/2014/main" id="{00000000-0008-0000-1300-000006B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39</xdr:row>
          <xdr:rowOff>0</xdr:rowOff>
        </xdr:from>
        <xdr:to>
          <xdr:col>11</xdr:col>
          <xdr:colOff>0</xdr:colOff>
          <xdr:row>41</xdr:row>
          <xdr:rowOff>0</xdr:rowOff>
        </xdr:to>
        <xdr:sp macro="" textlink="">
          <xdr:nvSpPr>
            <xdr:cNvPr id="60417" name="IP_Signature" hidden="1">
              <a:extLst>
                <a:ext uri="{63B3BB69-23CF-44E3-9099-C40C66FF867C}">
                  <a14:compatExt spid="_x0000_s60417"/>
                </a:ext>
                <a:ext uri="{FF2B5EF4-FFF2-40B4-BE49-F238E27FC236}">
                  <a16:creationId xmlns:a16="http://schemas.microsoft.com/office/drawing/2014/main" id="{00000000-0008-0000-1400-000001E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78CBB4D7-33C2-4756-BAF3-F626675733B8}"/>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13.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E89ACA18-9C4C-448A-B7A9-DE62B7EC4529}"/>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238595" name="IP_Signature" hidden="1">
              <a:extLst>
                <a:ext uri="{63B3BB69-23CF-44E3-9099-C40C66FF867C}">
                  <a14:compatExt spid="_x0000_s238595"/>
                </a:ext>
                <a:ext uri="{FF2B5EF4-FFF2-40B4-BE49-F238E27FC236}">
                  <a16:creationId xmlns:a16="http://schemas.microsoft.com/office/drawing/2014/main" id="{00000000-0008-0000-1600-000003A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238596" name="CCG_Click" hidden="1">
              <a:extLst>
                <a:ext uri="{63B3BB69-23CF-44E3-9099-C40C66FF867C}">
                  <a14:compatExt spid="_x0000_s238596"/>
                </a:ext>
                <a:ext uri="{FF2B5EF4-FFF2-40B4-BE49-F238E27FC236}">
                  <a16:creationId xmlns:a16="http://schemas.microsoft.com/office/drawing/2014/main" id="{00000000-0008-0000-1600-000004A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238597" name="MCG_Click" hidden="1">
              <a:extLst>
                <a:ext uri="{63B3BB69-23CF-44E3-9099-C40C66FF867C}">
                  <a14:compatExt spid="_x0000_s238597"/>
                </a:ext>
                <a:ext uri="{FF2B5EF4-FFF2-40B4-BE49-F238E27FC236}">
                  <a16:creationId xmlns:a16="http://schemas.microsoft.com/office/drawing/2014/main" id="{00000000-0008-0000-1600-000005A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238598" name="DCG_Click" hidden="1">
              <a:extLst>
                <a:ext uri="{63B3BB69-23CF-44E3-9099-C40C66FF867C}">
                  <a14:compatExt spid="_x0000_s238598"/>
                </a:ext>
                <a:ext uri="{FF2B5EF4-FFF2-40B4-BE49-F238E27FC236}">
                  <a16:creationId xmlns:a16="http://schemas.microsoft.com/office/drawing/2014/main" id="{00000000-0008-0000-1600-000006A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238599" name="PMC_Click" hidden="1">
              <a:extLst>
                <a:ext uri="{63B3BB69-23CF-44E3-9099-C40C66FF867C}">
                  <a14:compatExt spid="_x0000_s238599"/>
                </a:ext>
                <a:ext uri="{FF2B5EF4-FFF2-40B4-BE49-F238E27FC236}">
                  <a16:creationId xmlns:a16="http://schemas.microsoft.com/office/drawing/2014/main" id="{00000000-0008-0000-1600-000007A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17</xdr:col>
      <xdr:colOff>323850</xdr:colOff>
      <xdr:row>21</xdr:row>
      <xdr:rowOff>123825</xdr:rowOff>
    </xdr:from>
    <xdr:ext cx="184731" cy="264560"/>
    <xdr:sp macro="" textlink="">
      <xdr:nvSpPr>
        <xdr:cNvPr id="2" name="TextBox 1">
          <a:extLst>
            <a:ext uri="{FF2B5EF4-FFF2-40B4-BE49-F238E27FC236}">
              <a16:creationId xmlns:a16="http://schemas.microsoft.com/office/drawing/2014/main" id="{A4360DB0-7592-4BF5-AF9E-CF6A25B2DB50}"/>
            </a:ext>
          </a:extLst>
        </xdr:cNvPr>
        <xdr:cNvSpPr txBox="1"/>
      </xdr:nvSpPr>
      <xdr:spPr>
        <a:xfrm>
          <a:off x="11696700" y="385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16</xdr:col>
      <xdr:colOff>0</xdr:colOff>
      <xdr:row>20</xdr:row>
      <xdr:rowOff>142874</xdr:rowOff>
    </xdr:from>
    <xdr:ext cx="3019425" cy="1304926"/>
    <xdr:sp macro="" textlink="">
      <xdr:nvSpPr>
        <xdr:cNvPr id="3" name="TextBox 2">
          <a:extLst>
            <a:ext uri="{FF2B5EF4-FFF2-40B4-BE49-F238E27FC236}">
              <a16:creationId xmlns:a16="http://schemas.microsoft.com/office/drawing/2014/main" id="{F33028EB-334F-47DD-9860-5F87887E31C9}"/>
            </a:ext>
          </a:extLst>
        </xdr:cNvPr>
        <xdr:cNvSpPr txBox="1"/>
      </xdr:nvSpPr>
      <xdr:spPr>
        <a:xfrm>
          <a:off x="7086600" y="3714749"/>
          <a:ext cx="3019425" cy="13049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All STOs</a:t>
          </a:r>
          <a:r>
            <a:rPr lang="en-US" sz="1100" baseline="0"/>
            <a:t> are graded for 7 Aspects, 1% each. These are: Results Correctly Assessed, Requirements Correctly ID'd, Test Results Discussion, Military Utility, Required Data Products, Conclusions &amp; Recommendations, Credibility. This last point describes completeness and plausibility of the previous 6 Aspects for each STO.</a:t>
          </a:r>
          <a:endParaRPr lang="en-US" sz="1100"/>
        </a:p>
      </xdr:txBody>
    </xdr:sp>
    <xdr:clientData/>
  </xdr:oneCellAnchor>
  <mc:AlternateContent xmlns:mc="http://schemas.openxmlformats.org/markup-compatibility/2006">
    <mc:Choice xmlns:a14="http://schemas.microsoft.com/office/drawing/2010/main" Requires="a14">
      <xdr:twoCellAnchor>
        <xdr:from>
          <xdr:col>9</xdr:col>
          <xdr:colOff>0</xdr:colOff>
          <xdr:row>45</xdr:row>
          <xdr:rowOff>0</xdr:rowOff>
        </xdr:from>
        <xdr:to>
          <xdr:col>12</xdr:col>
          <xdr:colOff>0</xdr:colOff>
          <xdr:row>47</xdr:row>
          <xdr:rowOff>0</xdr:rowOff>
        </xdr:to>
        <xdr:sp macro="" textlink="">
          <xdr:nvSpPr>
            <xdr:cNvPr id="73729" name="IP_Signature" hidden="1">
              <a:extLst>
                <a:ext uri="{63B3BB69-23CF-44E3-9099-C40C66FF867C}">
                  <a14:compatExt spid="_x0000_s73729"/>
                </a:ext>
                <a:ext uri="{FF2B5EF4-FFF2-40B4-BE49-F238E27FC236}">
                  <a16:creationId xmlns:a16="http://schemas.microsoft.com/office/drawing/2014/main" id="{00000000-0008-0000-1700-0000012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151F3A29-1986-4611-AE2F-35CEBCA753EB}"/>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200706" name="IP_Signature" hidden="1">
              <a:extLst>
                <a:ext uri="{63B3BB69-23CF-44E3-9099-C40C66FF867C}">
                  <a14:compatExt spid="_x0000_s200706"/>
                </a:ext>
                <a:ext uri="{FF2B5EF4-FFF2-40B4-BE49-F238E27FC236}">
                  <a16:creationId xmlns:a16="http://schemas.microsoft.com/office/drawing/2014/main" id="{00000000-0008-0000-1800-0000021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200707" name="CCG_Click" hidden="1">
              <a:extLst>
                <a:ext uri="{63B3BB69-23CF-44E3-9099-C40C66FF867C}">
                  <a14:compatExt spid="_x0000_s200707"/>
                </a:ext>
                <a:ext uri="{FF2B5EF4-FFF2-40B4-BE49-F238E27FC236}">
                  <a16:creationId xmlns:a16="http://schemas.microsoft.com/office/drawing/2014/main" id="{00000000-0008-0000-1800-0000031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200708" name="MCG_Click" hidden="1">
              <a:extLst>
                <a:ext uri="{63B3BB69-23CF-44E3-9099-C40C66FF867C}">
                  <a14:compatExt spid="_x0000_s200708"/>
                </a:ext>
                <a:ext uri="{FF2B5EF4-FFF2-40B4-BE49-F238E27FC236}">
                  <a16:creationId xmlns:a16="http://schemas.microsoft.com/office/drawing/2014/main" id="{00000000-0008-0000-1800-0000041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200709" name="DCG_Click" hidden="1">
              <a:extLst>
                <a:ext uri="{63B3BB69-23CF-44E3-9099-C40C66FF867C}">
                  <a14:compatExt spid="_x0000_s200709"/>
                </a:ext>
                <a:ext uri="{FF2B5EF4-FFF2-40B4-BE49-F238E27FC236}">
                  <a16:creationId xmlns:a16="http://schemas.microsoft.com/office/drawing/2014/main" id="{00000000-0008-0000-1800-0000051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200710" name="PMC_Click" hidden="1">
              <a:extLst>
                <a:ext uri="{63B3BB69-23CF-44E3-9099-C40C66FF867C}">
                  <a14:compatExt spid="_x0000_s200710"/>
                </a:ext>
                <a:ext uri="{FF2B5EF4-FFF2-40B4-BE49-F238E27FC236}">
                  <a16:creationId xmlns:a16="http://schemas.microsoft.com/office/drawing/2014/main" id="{00000000-0008-0000-1800-0000061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A143CC7E-816C-408A-AB59-0B00868A4B93}"/>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239619" name="IP_Signature" hidden="1">
              <a:extLst>
                <a:ext uri="{63B3BB69-23CF-44E3-9099-C40C66FF867C}">
                  <a14:compatExt spid="_x0000_s239619"/>
                </a:ext>
                <a:ext uri="{FF2B5EF4-FFF2-40B4-BE49-F238E27FC236}">
                  <a16:creationId xmlns:a16="http://schemas.microsoft.com/office/drawing/2014/main" id="{00000000-0008-0000-1900-000003A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239620" name="CCG_Click" hidden="1">
              <a:extLst>
                <a:ext uri="{63B3BB69-23CF-44E3-9099-C40C66FF867C}">
                  <a14:compatExt spid="_x0000_s239620"/>
                </a:ext>
                <a:ext uri="{FF2B5EF4-FFF2-40B4-BE49-F238E27FC236}">
                  <a16:creationId xmlns:a16="http://schemas.microsoft.com/office/drawing/2014/main" id="{00000000-0008-0000-1900-000004A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239621" name="MCG_Click" hidden="1">
              <a:extLst>
                <a:ext uri="{63B3BB69-23CF-44E3-9099-C40C66FF867C}">
                  <a14:compatExt spid="_x0000_s239621"/>
                </a:ext>
                <a:ext uri="{FF2B5EF4-FFF2-40B4-BE49-F238E27FC236}">
                  <a16:creationId xmlns:a16="http://schemas.microsoft.com/office/drawing/2014/main" id="{00000000-0008-0000-1900-000005A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239622" name="DCG_Click" hidden="1">
              <a:extLst>
                <a:ext uri="{63B3BB69-23CF-44E3-9099-C40C66FF867C}">
                  <a14:compatExt spid="_x0000_s239622"/>
                </a:ext>
                <a:ext uri="{FF2B5EF4-FFF2-40B4-BE49-F238E27FC236}">
                  <a16:creationId xmlns:a16="http://schemas.microsoft.com/office/drawing/2014/main" id="{00000000-0008-0000-1900-000006A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239623" name="PMC_Click" hidden="1">
              <a:extLst>
                <a:ext uri="{63B3BB69-23CF-44E3-9099-C40C66FF867C}">
                  <a14:compatExt spid="_x0000_s239623"/>
                </a:ext>
                <a:ext uri="{FF2B5EF4-FFF2-40B4-BE49-F238E27FC236}">
                  <a16:creationId xmlns:a16="http://schemas.microsoft.com/office/drawing/2014/main" id="{00000000-0008-0000-1900-000007A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97EE9AAE-D671-4D40-B629-8B6F34BAB62E}"/>
            </a:ext>
          </a:extLst>
        </xdr:cNvPr>
        <xdr:cNvSpPr txBox="1"/>
      </xdr:nvSpPr>
      <xdr:spPr>
        <a:xfrm>
          <a:off x="5638800" y="7743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240642" name="IP_Signature" hidden="1">
              <a:extLst>
                <a:ext uri="{63B3BB69-23CF-44E3-9099-C40C66FF867C}">
                  <a14:compatExt spid="_x0000_s240642"/>
                </a:ext>
                <a:ext uri="{FF2B5EF4-FFF2-40B4-BE49-F238E27FC236}">
                  <a16:creationId xmlns:a16="http://schemas.microsoft.com/office/drawing/2014/main" id="{00000000-0008-0000-1A00-000002A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240643" name="CCG_Click" hidden="1">
              <a:extLst>
                <a:ext uri="{63B3BB69-23CF-44E3-9099-C40C66FF867C}">
                  <a14:compatExt spid="_x0000_s240643"/>
                </a:ext>
                <a:ext uri="{FF2B5EF4-FFF2-40B4-BE49-F238E27FC236}">
                  <a16:creationId xmlns:a16="http://schemas.microsoft.com/office/drawing/2014/main" id="{00000000-0008-0000-1A00-000003A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240644" name="MCG_Click" hidden="1">
              <a:extLst>
                <a:ext uri="{63B3BB69-23CF-44E3-9099-C40C66FF867C}">
                  <a14:compatExt spid="_x0000_s240644"/>
                </a:ext>
                <a:ext uri="{FF2B5EF4-FFF2-40B4-BE49-F238E27FC236}">
                  <a16:creationId xmlns:a16="http://schemas.microsoft.com/office/drawing/2014/main" id="{00000000-0008-0000-1A00-000004A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240645" name="DCG_Click" hidden="1">
              <a:extLst>
                <a:ext uri="{63B3BB69-23CF-44E3-9099-C40C66FF867C}">
                  <a14:compatExt spid="_x0000_s240645"/>
                </a:ext>
                <a:ext uri="{FF2B5EF4-FFF2-40B4-BE49-F238E27FC236}">
                  <a16:creationId xmlns:a16="http://schemas.microsoft.com/office/drawing/2014/main" id="{00000000-0008-0000-1A00-000005A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240646" name="PMC_Click" hidden="1">
              <a:extLst>
                <a:ext uri="{63B3BB69-23CF-44E3-9099-C40C66FF867C}">
                  <a14:compatExt spid="_x0000_s240646"/>
                </a:ext>
                <a:ext uri="{FF2B5EF4-FFF2-40B4-BE49-F238E27FC236}">
                  <a16:creationId xmlns:a16="http://schemas.microsoft.com/office/drawing/2014/main" id="{00000000-0008-0000-1A00-000006A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20</xdr:row>
          <xdr:rowOff>0</xdr:rowOff>
        </xdr:from>
        <xdr:to>
          <xdr:col>6</xdr:col>
          <xdr:colOff>0</xdr:colOff>
          <xdr:row>22</xdr:row>
          <xdr:rowOff>0</xdr:rowOff>
        </xdr:to>
        <xdr:sp macro="" textlink="">
          <xdr:nvSpPr>
            <xdr:cNvPr id="78849" name="IP_Signature" hidden="1">
              <a:extLst>
                <a:ext uri="{63B3BB69-23CF-44E3-9099-C40C66FF867C}">
                  <a14:compatExt spid="_x0000_s78849"/>
                </a:ext>
                <a:ext uri="{FF2B5EF4-FFF2-40B4-BE49-F238E27FC236}">
                  <a16:creationId xmlns:a16="http://schemas.microsoft.com/office/drawing/2014/main" id="{00000000-0008-0000-1B00-000001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09893603-7122-4656-8925-C007A75B9A51}"/>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241667" name="IP_Signature" hidden="1">
              <a:extLst>
                <a:ext uri="{63B3BB69-23CF-44E3-9099-C40C66FF867C}">
                  <a14:compatExt spid="_x0000_s241667"/>
                </a:ext>
                <a:ext uri="{FF2B5EF4-FFF2-40B4-BE49-F238E27FC236}">
                  <a16:creationId xmlns:a16="http://schemas.microsoft.com/office/drawing/2014/main" id="{00000000-0008-0000-1C00-000003B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241668" name="CCG_Click" hidden="1">
              <a:extLst>
                <a:ext uri="{63B3BB69-23CF-44E3-9099-C40C66FF867C}">
                  <a14:compatExt spid="_x0000_s241668"/>
                </a:ext>
                <a:ext uri="{FF2B5EF4-FFF2-40B4-BE49-F238E27FC236}">
                  <a16:creationId xmlns:a16="http://schemas.microsoft.com/office/drawing/2014/main" id="{00000000-0008-0000-1C00-000004B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241669" name="MCG_Click" hidden="1">
              <a:extLst>
                <a:ext uri="{63B3BB69-23CF-44E3-9099-C40C66FF867C}">
                  <a14:compatExt spid="_x0000_s241669"/>
                </a:ext>
                <a:ext uri="{FF2B5EF4-FFF2-40B4-BE49-F238E27FC236}">
                  <a16:creationId xmlns:a16="http://schemas.microsoft.com/office/drawing/2014/main" id="{00000000-0008-0000-1C00-000005B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241670" name="DCG_Click" hidden="1">
              <a:extLst>
                <a:ext uri="{63B3BB69-23CF-44E3-9099-C40C66FF867C}">
                  <a14:compatExt spid="_x0000_s241670"/>
                </a:ext>
                <a:ext uri="{FF2B5EF4-FFF2-40B4-BE49-F238E27FC236}">
                  <a16:creationId xmlns:a16="http://schemas.microsoft.com/office/drawing/2014/main" id="{00000000-0008-0000-1C00-000006B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241671" name="PMC_Click" hidden="1">
              <a:extLst>
                <a:ext uri="{63B3BB69-23CF-44E3-9099-C40C66FF867C}">
                  <a14:compatExt spid="_x0000_s241671"/>
                </a:ext>
                <a:ext uri="{FF2B5EF4-FFF2-40B4-BE49-F238E27FC236}">
                  <a16:creationId xmlns:a16="http://schemas.microsoft.com/office/drawing/2014/main" id="{00000000-0008-0000-1C00-000007B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E985DFF1-AAD0-4E94-9CD4-7EA4019AF4BA}"/>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242691" name="IP_Signature" hidden="1">
              <a:extLst>
                <a:ext uri="{63B3BB69-23CF-44E3-9099-C40C66FF867C}">
                  <a14:compatExt spid="_x0000_s242691"/>
                </a:ext>
                <a:ext uri="{FF2B5EF4-FFF2-40B4-BE49-F238E27FC236}">
                  <a16:creationId xmlns:a16="http://schemas.microsoft.com/office/drawing/2014/main" id="{00000000-0008-0000-1D00-000003B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242692" name="CCG_Click" hidden="1">
              <a:extLst>
                <a:ext uri="{63B3BB69-23CF-44E3-9099-C40C66FF867C}">
                  <a14:compatExt spid="_x0000_s242692"/>
                </a:ext>
                <a:ext uri="{FF2B5EF4-FFF2-40B4-BE49-F238E27FC236}">
                  <a16:creationId xmlns:a16="http://schemas.microsoft.com/office/drawing/2014/main" id="{00000000-0008-0000-1D00-000004B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242693" name="MCG_Click" hidden="1">
              <a:extLst>
                <a:ext uri="{63B3BB69-23CF-44E3-9099-C40C66FF867C}">
                  <a14:compatExt spid="_x0000_s242693"/>
                </a:ext>
                <a:ext uri="{FF2B5EF4-FFF2-40B4-BE49-F238E27FC236}">
                  <a16:creationId xmlns:a16="http://schemas.microsoft.com/office/drawing/2014/main" id="{00000000-0008-0000-1D00-000005B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242694" name="DCG_Click" hidden="1">
              <a:extLst>
                <a:ext uri="{63B3BB69-23CF-44E3-9099-C40C66FF867C}">
                  <a14:compatExt spid="_x0000_s242694"/>
                </a:ext>
                <a:ext uri="{FF2B5EF4-FFF2-40B4-BE49-F238E27FC236}">
                  <a16:creationId xmlns:a16="http://schemas.microsoft.com/office/drawing/2014/main" id="{00000000-0008-0000-1D00-000006B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242695" name="PMC_Click" hidden="1">
              <a:extLst>
                <a:ext uri="{63B3BB69-23CF-44E3-9099-C40C66FF867C}">
                  <a14:compatExt spid="_x0000_s242695"/>
                </a:ext>
                <a:ext uri="{FF2B5EF4-FFF2-40B4-BE49-F238E27FC236}">
                  <a16:creationId xmlns:a16="http://schemas.microsoft.com/office/drawing/2014/main" id="{00000000-0008-0000-1D00-000007B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ACC071B2-B050-427A-95B5-9F1A9D8416A2}"/>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243714" name="IP_Signature" hidden="1">
              <a:extLst>
                <a:ext uri="{63B3BB69-23CF-44E3-9099-C40C66FF867C}">
                  <a14:compatExt spid="_x0000_s243714"/>
                </a:ext>
                <a:ext uri="{FF2B5EF4-FFF2-40B4-BE49-F238E27FC236}">
                  <a16:creationId xmlns:a16="http://schemas.microsoft.com/office/drawing/2014/main" id="{00000000-0008-0000-1E00-000002B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243715" name="CCG_Click" hidden="1">
              <a:extLst>
                <a:ext uri="{63B3BB69-23CF-44E3-9099-C40C66FF867C}">
                  <a14:compatExt spid="_x0000_s243715"/>
                </a:ext>
                <a:ext uri="{FF2B5EF4-FFF2-40B4-BE49-F238E27FC236}">
                  <a16:creationId xmlns:a16="http://schemas.microsoft.com/office/drawing/2014/main" id="{00000000-0008-0000-1E00-000003B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243716" name="MCG_Click" hidden="1">
              <a:extLst>
                <a:ext uri="{63B3BB69-23CF-44E3-9099-C40C66FF867C}">
                  <a14:compatExt spid="_x0000_s243716"/>
                </a:ext>
                <a:ext uri="{FF2B5EF4-FFF2-40B4-BE49-F238E27FC236}">
                  <a16:creationId xmlns:a16="http://schemas.microsoft.com/office/drawing/2014/main" id="{00000000-0008-0000-1E00-000004B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243717" name="DCG_Click" hidden="1">
              <a:extLst>
                <a:ext uri="{63B3BB69-23CF-44E3-9099-C40C66FF867C}">
                  <a14:compatExt spid="_x0000_s243717"/>
                </a:ext>
                <a:ext uri="{FF2B5EF4-FFF2-40B4-BE49-F238E27FC236}">
                  <a16:creationId xmlns:a16="http://schemas.microsoft.com/office/drawing/2014/main" id="{00000000-0008-0000-1E00-000005B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243718" name="PMC_Click" hidden="1">
              <a:extLst>
                <a:ext uri="{63B3BB69-23CF-44E3-9099-C40C66FF867C}">
                  <a14:compatExt spid="_x0000_s243718"/>
                </a:ext>
                <a:ext uri="{FF2B5EF4-FFF2-40B4-BE49-F238E27FC236}">
                  <a16:creationId xmlns:a16="http://schemas.microsoft.com/office/drawing/2014/main" id="{00000000-0008-0000-1E00-000006B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79D40E59-FD6A-4616-BB2C-64553F833C12}"/>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294914" name="IP_Signature" hidden="1">
              <a:extLst>
                <a:ext uri="{63B3BB69-23CF-44E3-9099-C40C66FF867C}">
                  <a14:compatExt spid="_x0000_s294914"/>
                </a:ext>
                <a:ext uri="{FF2B5EF4-FFF2-40B4-BE49-F238E27FC236}">
                  <a16:creationId xmlns:a16="http://schemas.microsoft.com/office/drawing/2014/main" id="{00000000-0008-0000-1F00-0000028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294915" name="CCG_Click" hidden="1">
              <a:extLst>
                <a:ext uri="{63B3BB69-23CF-44E3-9099-C40C66FF867C}">
                  <a14:compatExt spid="_x0000_s294915"/>
                </a:ext>
                <a:ext uri="{FF2B5EF4-FFF2-40B4-BE49-F238E27FC236}">
                  <a16:creationId xmlns:a16="http://schemas.microsoft.com/office/drawing/2014/main" id="{00000000-0008-0000-1F00-0000038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294916" name="MCG_Click" hidden="1">
              <a:extLst>
                <a:ext uri="{63B3BB69-23CF-44E3-9099-C40C66FF867C}">
                  <a14:compatExt spid="_x0000_s294916"/>
                </a:ext>
                <a:ext uri="{FF2B5EF4-FFF2-40B4-BE49-F238E27FC236}">
                  <a16:creationId xmlns:a16="http://schemas.microsoft.com/office/drawing/2014/main" id="{00000000-0008-0000-1F00-0000048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294917" name="DCG_Click" hidden="1">
              <a:extLst>
                <a:ext uri="{63B3BB69-23CF-44E3-9099-C40C66FF867C}">
                  <a14:compatExt spid="_x0000_s294917"/>
                </a:ext>
                <a:ext uri="{FF2B5EF4-FFF2-40B4-BE49-F238E27FC236}">
                  <a16:creationId xmlns:a16="http://schemas.microsoft.com/office/drawing/2014/main" id="{00000000-0008-0000-1F00-0000058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294918" name="PMC_Click" hidden="1">
              <a:extLst>
                <a:ext uri="{63B3BB69-23CF-44E3-9099-C40C66FF867C}">
                  <a14:compatExt spid="_x0000_s294918"/>
                </a:ext>
                <a:ext uri="{FF2B5EF4-FFF2-40B4-BE49-F238E27FC236}">
                  <a16:creationId xmlns:a16="http://schemas.microsoft.com/office/drawing/2014/main" id="{00000000-0008-0000-1F00-0000068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20</xdr:row>
          <xdr:rowOff>0</xdr:rowOff>
        </xdr:from>
        <xdr:to>
          <xdr:col>6</xdr:col>
          <xdr:colOff>0</xdr:colOff>
          <xdr:row>22</xdr:row>
          <xdr:rowOff>0</xdr:rowOff>
        </xdr:to>
        <xdr:sp macro="" textlink="">
          <xdr:nvSpPr>
            <xdr:cNvPr id="334850" name="IP_Signature" hidden="1">
              <a:extLst>
                <a:ext uri="{63B3BB69-23CF-44E3-9099-C40C66FF867C}">
                  <a14:compatExt spid="_x0000_s334850"/>
                </a:ext>
                <a:ext uri="{FF2B5EF4-FFF2-40B4-BE49-F238E27FC236}">
                  <a16:creationId xmlns:a16="http://schemas.microsoft.com/office/drawing/2014/main" id="{00000000-0008-0000-2000-0000021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5</xdr:col>
          <xdr:colOff>742950</xdr:colOff>
          <xdr:row>43</xdr:row>
          <xdr:rowOff>95250</xdr:rowOff>
        </xdr:to>
        <xdr:sp macro="" textlink="">
          <xdr:nvSpPr>
            <xdr:cNvPr id="334851" name="CCG_Click" hidden="1">
              <a:extLst>
                <a:ext uri="{63B3BB69-23CF-44E3-9099-C40C66FF867C}">
                  <a14:compatExt spid="_x0000_s334851"/>
                </a:ext>
                <a:ext uri="{FF2B5EF4-FFF2-40B4-BE49-F238E27FC236}">
                  <a16:creationId xmlns:a16="http://schemas.microsoft.com/office/drawing/2014/main" id="{00000000-0008-0000-2000-0000031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809625</xdr:colOff>
          <xdr:row>42</xdr:row>
          <xdr:rowOff>38100</xdr:rowOff>
        </xdr:from>
        <xdr:to>
          <xdr:col>7</xdr:col>
          <xdr:colOff>400050</xdr:colOff>
          <xdr:row>43</xdr:row>
          <xdr:rowOff>95250</xdr:rowOff>
        </xdr:to>
        <xdr:sp macro="" textlink="">
          <xdr:nvSpPr>
            <xdr:cNvPr id="334852" name="MCG_Click" hidden="1">
              <a:extLst>
                <a:ext uri="{63B3BB69-23CF-44E3-9099-C40C66FF867C}">
                  <a14:compatExt spid="_x0000_s334852"/>
                </a:ext>
                <a:ext uri="{FF2B5EF4-FFF2-40B4-BE49-F238E27FC236}">
                  <a16:creationId xmlns:a16="http://schemas.microsoft.com/office/drawing/2014/main" id="{00000000-0008-0000-2000-0000041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457200</xdr:colOff>
          <xdr:row>42</xdr:row>
          <xdr:rowOff>38100</xdr:rowOff>
        </xdr:from>
        <xdr:to>
          <xdr:col>10</xdr:col>
          <xdr:colOff>219075</xdr:colOff>
          <xdr:row>43</xdr:row>
          <xdr:rowOff>95250</xdr:rowOff>
        </xdr:to>
        <xdr:sp macro="" textlink="">
          <xdr:nvSpPr>
            <xdr:cNvPr id="334853" name="DCG_Click" hidden="1">
              <a:extLst>
                <a:ext uri="{63B3BB69-23CF-44E3-9099-C40C66FF867C}">
                  <a14:compatExt spid="_x0000_s334853"/>
                </a:ext>
                <a:ext uri="{FF2B5EF4-FFF2-40B4-BE49-F238E27FC236}">
                  <a16:creationId xmlns:a16="http://schemas.microsoft.com/office/drawing/2014/main" id="{00000000-0008-0000-2000-0000051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285750</xdr:colOff>
          <xdr:row>42</xdr:row>
          <xdr:rowOff>38100</xdr:rowOff>
        </xdr:from>
        <xdr:to>
          <xdr:col>14</xdr:col>
          <xdr:colOff>66675</xdr:colOff>
          <xdr:row>43</xdr:row>
          <xdr:rowOff>95250</xdr:rowOff>
        </xdr:to>
        <xdr:sp macro="" textlink="">
          <xdr:nvSpPr>
            <xdr:cNvPr id="334854" name="PMC_Click" hidden="1">
              <a:extLst>
                <a:ext uri="{63B3BB69-23CF-44E3-9099-C40C66FF867C}">
                  <a14:compatExt spid="_x0000_s334854"/>
                </a:ext>
                <a:ext uri="{FF2B5EF4-FFF2-40B4-BE49-F238E27FC236}">
                  <a16:creationId xmlns:a16="http://schemas.microsoft.com/office/drawing/2014/main" id="{00000000-0008-0000-2000-0000061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67EA8E82-D8F7-46ED-9CAD-431026A38C25}"/>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244739" name="IP_Signature" hidden="1">
              <a:extLst>
                <a:ext uri="{63B3BB69-23CF-44E3-9099-C40C66FF867C}">
                  <a14:compatExt spid="_x0000_s244739"/>
                </a:ext>
                <a:ext uri="{FF2B5EF4-FFF2-40B4-BE49-F238E27FC236}">
                  <a16:creationId xmlns:a16="http://schemas.microsoft.com/office/drawing/2014/main" id="{00000000-0008-0000-2100-000003B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244740" name="CCG_Click" hidden="1">
              <a:extLst>
                <a:ext uri="{63B3BB69-23CF-44E3-9099-C40C66FF867C}">
                  <a14:compatExt spid="_x0000_s244740"/>
                </a:ext>
                <a:ext uri="{FF2B5EF4-FFF2-40B4-BE49-F238E27FC236}">
                  <a16:creationId xmlns:a16="http://schemas.microsoft.com/office/drawing/2014/main" id="{00000000-0008-0000-2100-000004B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244741" name="MCG_Click" hidden="1">
              <a:extLst>
                <a:ext uri="{63B3BB69-23CF-44E3-9099-C40C66FF867C}">
                  <a14:compatExt spid="_x0000_s244741"/>
                </a:ext>
                <a:ext uri="{FF2B5EF4-FFF2-40B4-BE49-F238E27FC236}">
                  <a16:creationId xmlns:a16="http://schemas.microsoft.com/office/drawing/2014/main" id="{00000000-0008-0000-2100-000005B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244742" name="DCG_Click" hidden="1">
              <a:extLst>
                <a:ext uri="{63B3BB69-23CF-44E3-9099-C40C66FF867C}">
                  <a14:compatExt spid="_x0000_s244742"/>
                </a:ext>
                <a:ext uri="{FF2B5EF4-FFF2-40B4-BE49-F238E27FC236}">
                  <a16:creationId xmlns:a16="http://schemas.microsoft.com/office/drawing/2014/main" id="{00000000-0008-0000-2100-000006B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244743" name="PMC_Click" hidden="1">
              <a:extLst>
                <a:ext uri="{63B3BB69-23CF-44E3-9099-C40C66FF867C}">
                  <a14:compatExt spid="_x0000_s244743"/>
                </a:ext>
                <a:ext uri="{FF2B5EF4-FFF2-40B4-BE49-F238E27FC236}">
                  <a16:creationId xmlns:a16="http://schemas.microsoft.com/office/drawing/2014/main" id="{00000000-0008-0000-2100-000007B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45221C5E-D913-46FF-9F91-1729B10EECA7}"/>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106499" name="IP_Signature" hidden="1">
              <a:extLst>
                <a:ext uri="{63B3BB69-23CF-44E3-9099-C40C66FF867C}">
                  <a14:compatExt spid="_x0000_s106499"/>
                </a:ext>
                <a:ext uri="{FF2B5EF4-FFF2-40B4-BE49-F238E27FC236}">
                  <a16:creationId xmlns:a16="http://schemas.microsoft.com/office/drawing/2014/main" id="{00000000-0008-0000-2200-000003A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106500" name="CCG_Click" hidden="1">
              <a:extLst>
                <a:ext uri="{63B3BB69-23CF-44E3-9099-C40C66FF867C}">
                  <a14:compatExt spid="_x0000_s106500"/>
                </a:ext>
                <a:ext uri="{FF2B5EF4-FFF2-40B4-BE49-F238E27FC236}">
                  <a16:creationId xmlns:a16="http://schemas.microsoft.com/office/drawing/2014/main" id="{00000000-0008-0000-2200-000004A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106501" name="MCG_Click" hidden="1">
              <a:extLst>
                <a:ext uri="{63B3BB69-23CF-44E3-9099-C40C66FF867C}">
                  <a14:compatExt spid="_x0000_s106501"/>
                </a:ext>
                <a:ext uri="{FF2B5EF4-FFF2-40B4-BE49-F238E27FC236}">
                  <a16:creationId xmlns:a16="http://schemas.microsoft.com/office/drawing/2014/main" id="{00000000-0008-0000-2200-000005A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106502" name="DCG_Click" hidden="1">
              <a:extLst>
                <a:ext uri="{63B3BB69-23CF-44E3-9099-C40C66FF867C}">
                  <a14:compatExt spid="_x0000_s106502"/>
                </a:ext>
                <a:ext uri="{FF2B5EF4-FFF2-40B4-BE49-F238E27FC236}">
                  <a16:creationId xmlns:a16="http://schemas.microsoft.com/office/drawing/2014/main" id="{00000000-0008-0000-2200-000006A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106503" name="PMC_Click" hidden="1">
              <a:extLst>
                <a:ext uri="{63B3BB69-23CF-44E3-9099-C40C66FF867C}">
                  <a14:compatExt spid="_x0000_s106503"/>
                </a:ext>
                <a:ext uri="{FF2B5EF4-FFF2-40B4-BE49-F238E27FC236}">
                  <a16:creationId xmlns:a16="http://schemas.microsoft.com/office/drawing/2014/main" id="{00000000-0008-0000-2200-000007A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41</xdr:row>
          <xdr:rowOff>0</xdr:rowOff>
        </xdr:from>
        <xdr:to>
          <xdr:col>12</xdr:col>
          <xdr:colOff>0</xdr:colOff>
          <xdr:row>42</xdr:row>
          <xdr:rowOff>0</xdr:rowOff>
        </xdr:to>
        <xdr:sp macro="" textlink="">
          <xdr:nvSpPr>
            <xdr:cNvPr id="308226" name="IP_Signature" hidden="1">
              <a:extLst>
                <a:ext uri="{63B3BB69-23CF-44E3-9099-C40C66FF867C}">
                  <a14:compatExt spid="_x0000_s308226"/>
                </a:ext>
                <a:ext uri="{FF2B5EF4-FFF2-40B4-BE49-F238E27FC236}">
                  <a16:creationId xmlns:a16="http://schemas.microsoft.com/office/drawing/2014/main" id="{00000000-0008-0000-2300-000002B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43</xdr:row>
          <xdr:rowOff>190500</xdr:rowOff>
        </xdr:to>
        <xdr:sp macro="" textlink="">
          <xdr:nvSpPr>
            <xdr:cNvPr id="308227" name="CCG_Click" hidden="1">
              <a:extLst>
                <a:ext uri="{63B3BB69-23CF-44E3-9099-C40C66FF867C}">
                  <a14:compatExt spid="_x0000_s308227"/>
                </a:ext>
                <a:ext uri="{FF2B5EF4-FFF2-40B4-BE49-F238E27FC236}">
                  <a16:creationId xmlns:a16="http://schemas.microsoft.com/office/drawing/2014/main" id="{00000000-0008-0000-2300-000003B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43</xdr:row>
          <xdr:rowOff>190500</xdr:rowOff>
        </xdr:to>
        <xdr:sp macro="" textlink="">
          <xdr:nvSpPr>
            <xdr:cNvPr id="308228" name="MCG_Click" hidden="1">
              <a:extLst>
                <a:ext uri="{63B3BB69-23CF-44E3-9099-C40C66FF867C}">
                  <a14:compatExt spid="_x0000_s308228"/>
                </a:ext>
                <a:ext uri="{FF2B5EF4-FFF2-40B4-BE49-F238E27FC236}">
                  <a16:creationId xmlns:a16="http://schemas.microsoft.com/office/drawing/2014/main" id="{00000000-0008-0000-2300-000004B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43</xdr:row>
          <xdr:rowOff>190500</xdr:rowOff>
        </xdr:to>
        <xdr:sp macro="" textlink="">
          <xdr:nvSpPr>
            <xdr:cNvPr id="308229" name="DCG_Click" hidden="1">
              <a:extLst>
                <a:ext uri="{63B3BB69-23CF-44E3-9099-C40C66FF867C}">
                  <a14:compatExt spid="_x0000_s308229"/>
                </a:ext>
                <a:ext uri="{FF2B5EF4-FFF2-40B4-BE49-F238E27FC236}">
                  <a16:creationId xmlns:a16="http://schemas.microsoft.com/office/drawing/2014/main" id="{00000000-0008-0000-2300-000005B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43</xdr:row>
          <xdr:rowOff>190500</xdr:rowOff>
        </xdr:to>
        <xdr:sp macro="" textlink="">
          <xdr:nvSpPr>
            <xdr:cNvPr id="308230" name="PMC_Click" hidden="1">
              <a:extLst>
                <a:ext uri="{63B3BB69-23CF-44E3-9099-C40C66FF867C}">
                  <a14:compatExt spid="_x0000_s308230"/>
                </a:ext>
                <a:ext uri="{FF2B5EF4-FFF2-40B4-BE49-F238E27FC236}">
                  <a16:creationId xmlns:a16="http://schemas.microsoft.com/office/drawing/2014/main" id="{00000000-0008-0000-2300-000006B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887A35F5-69A8-4963-A480-749310CCD207}"/>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202755" name="IP_Signature" hidden="1">
              <a:extLst>
                <a:ext uri="{63B3BB69-23CF-44E3-9099-C40C66FF867C}">
                  <a14:compatExt spid="_x0000_s202755"/>
                </a:ext>
                <a:ext uri="{FF2B5EF4-FFF2-40B4-BE49-F238E27FC236}">
                  <a16:creationId xmlns:a16="http://schemas.microsoft.com/office/drawing/2014/main" id="{00000000-0008-0000-2400-0000031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202756" name="CCG_Click" hidden="1">
              <a:extLst>
                <a:ext uri="{63B3BB69-23CF-44E3-9099-C40C66FF867C}">
                  <a14:compatExt spid="_x0000_s202756"/>
                </a:ext>
                <a:ext uri="{FF2B5EF4-FFF2-40B4-BE49-F238E27FC236}">
                  <a16:creationId xmlns:a16="http://schemas.microsoft.com/office/drawing/2014/main" id="{00000000-0008-0000-2400-0000041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202757" name="MCG_Click" hidden="1">
              <a:extLst>
                <a:ext uri="{63B3BB69-23CF-44E3-9099-C40C66FF867C}">
                  <a14:compatExt spid="_x0000_s202757"/>
                </a:ext>
                <a:ext uri="{FF2B5EF4-FFF2-40B4-BE49-F238E27FC236}">
                  <a16:creationId xmlns:a16="http://schemas.microsoft.com/office/drawing/2014/main" id="{00000000-0008-0000-2400-0000051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202758" name="DCG_Click" hidden="1">
              <a:extLst>
                <a:ext uri="{63B3BB69-23CF-44E3-9099-C40C66FF867C}">
                  <a14:compatExt spid="_x0000_s202758"/>
                </a:ext>
                <a:ext uri="{FF2B5EF4-FFF2-40B4-BE49-F238E27FC236}">
                  <a16:creationId xmlns:a16="http://schemas.microsoft.com/office/drawing/2014/main" id="{00000000-0008-0000-2400-0000061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202759" name="PMC_Click" hidden="1">
              <a:extLst>
                <a:ext uri="{63B3BB69-23CF-44E3-9099-C40C66FF867C}">
                  <a14:compatExt spid="_x0000_s202759"/>
                </a:ext>
                <a:ext uri="{FF2B5EF4-FFF2-40B4-BE49-F238E27FC236}">
                  <a16:creationId xmlns:a16="http://schemas.microsoft.com/office/drawing/2014/main" id="{00000000-0008-0000-2400-0000071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F23CC787-6FC8-42FA-AC3A-7F3DAB983DBC}"/>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245762" name="IP_Signature" hidden="1">
              <a:extLst>
                <a:ext uri="{63B3BB69-23CF-44E3-9099-C40C66FF867C}">
                  <a14:compatExt spid="_x0000_s245762"/>
                </a:ext>
                <a:ext uri="{FF2B5EF4-FFF2-40B4-BE49-F238E27FC236}">
                  <a16:creationId xmlns:a16="http://schemas.microsoft.com/office/drawing/2014/main" id="{00000000-0008-0000-2500-000002C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245763" name="CCG_Click" hidden="1">
              <a:extLst>
                <a:ext uri="{63B3BB69-23CF-44E3-9099-C40C66FF867C}">
                  <a14:compatExt spid="_x0000_s245763"/>
                </a:ext>
                <a:ext uri="{FF2B5EF4-FFF2-40B4-BE49-F238E27FC236}">
                  <a16:creationId xmlns:a16="http://schemas.microsoft.com/office/drawing/2014/main" id="{00000000-0008-0000-2500-000003C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245764" name="MCG_Click" hidden="1">
              <a:extLst>
                <a:ext uri="{63B3BB69-23CF-44E3-9099-C40C66FF867C}">
                  <a14:compatExt spid="_x0000_s245764"/>
                </a:ext>
                <a:ext uri="{FF2B5EF4-FFF2-40B4-BE49-F238E27FC236}">
                  <a16:creationId xmlns:a16="http://schemas.microsoft.com/office/drawing/2014/main" id="{00000000-0008-0000-2500-000004C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245765" name="DCG_Click" hidden="1">
              <a:extLst>
                <a:ext uri="{63B3BB69-23CF-44E3-9099-C40C66FF867C}">
                  <a14:compatExt spid="_x0000_s245765"/>
                </a:ext>
                <a:ext uri="{FF2B5EF4-FFF2-40B4-BE49-F238E27FC236}">
                  <a16:creationId xmlns:a16="http://schemas.microsoft.com/office/drawing/2014/main" id="{00000000-0008-0000-2500-000005C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245766" name="PMC_Click" hidden="1">
              <a:extLst>
                <a:ext uri="{63B3BB69-23CF-44E3-9099-C40C66FF867C}">
                  <a14:compatExt spid="_x0000_s245766"/>
                </a:ext>
                <a:ext uri="{FF2B5EF4-FFF2-40B4-BE49-F238E27FC236}">
                  <a16:creationId xmlns:a16="http://schemas.microsoft.com/office/drawing/2014/main" id="{00000000-0008-0000-2500-000006C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C79681C7-1B8F-49A9-9E84-A09DDC3017C2}"/>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30.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1F9874A7-12A6-4F76-B77C-82971841F833}"/>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41</xdr:row>
          <xdr:rowOff>0</xdr:rowOff>
        </xdr:from>
        <xdr:to>
          <xdr:col>12</xdr:col>
          <xdr:colOff>0</xdr:colOff>
          <xdr:row>42</xdr:row>
          <xdr:rowOff>0</xdr:rowOff>
        </xdr:to>
        <xdr:sp macro="" textlink="">
          <xdr:nvSpPr>
            <xdr:cNvPr id="309250" name="IP_Signature" hidden="1">
              <a:extLst>
                <a:ext uri="{63B3BB69-23CF-44E3-9099-C40C66FF867C}">
                  <a14:compatExt spid="_x0000_s309250"/>
                </a:ext>
                <a:ext uri="{FF2B5EF4-FFF2-40B4-BE49-F238E27FC236}">
                  <a16:creationId xmlns:a16="http://schemas.microsoft.com/office/drawing/2014/main" id="{00000000-0008-0000-2800-000002B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43</xdr:row>
          <xdr:rowOff>190500</xdr:rowOff>
        </xdr:to>
        <xdr:sp macro="" textlink="">
          <xdr:nvSpPr>
            <xdr:cNvPr id="309251" name="CCG_Click" hidden="1">
              <a:extLst>
                <a:ext uri="{63B3BB69-23CF-44E3-9099-C40C66FF867C}">
                  <a14:compatExt spid="_x0000_s309251"/>
                </a:ext>
                <a:ext uri="{FF2B5EF4-FFF2-40B4-BE49-F238E27FC236}">
                  <a16:creationId xmlns:a16="http://schemas.microsoft.com/office/drawing/2014/main" id="{00000000-0008-0000-2800-000003B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43</xdr:row>
          <xdr:rowOff>190500</xdr:rowOff>
        </xdr:to>
        <xdr:sp macro="" textlink="">
          <xdr:nvSpPr>
            <xdr:cNvPr id="309252" name="MCG_Click" hidden="1">
              <a:extLst>
                <a:ext uri="{63B3BB69-23CF-44E3-9099-C40C66FF867C}">
                  <a14:compatExt spid="_x0000_s309252"/>
                </a:ext>
                <a:ext uri="{FF2B5EF4-FFF2-40B4-BE49-F238E27FC236}">
                  <a16:creationId xmlns:a16="http://schemas.microsoft.com/office/drawing/2014/main" id="{00000000-0008-0000-2800-000004B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43</xdr:row>
          <xdr:rowOff>190500</xdr:rowOff>
        </xdr:to>
        <xdr:sp macro="" textlink="">
          <xdr:nvSpPr>
            <xdr:cNvPr id="309253" name="DCG_Click" hidden="1">
              <a:extLst>
                <a:ext uri="{63B3BB69-23CF-44E3-9099-C40C66FF867C}">
                  <a14:compatExt spid="_x0000_s309253"/>
                </a:ext>
                <a:ext uri="{FF2B5EF4-FFF2-40B4-BE49-F238E27FC236}">
                  <a16:creationId xmlns:a16="http://schemas.microsoft.com/office/drawing/2014/main" id="{00000000-0008-0000-2800-000005B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43</xdr:row>
          <xdr:rowOff>190500</xdr:rowOff>
        </xdr:to>
        <xdr:sp macro="" textlink="">
          <xdr:nvSpPr>
            <xdr:cNvPr id="309254" name="PMC_Click" hidden="1">
              <a:extLst>
                <a:ext uri="{63B3BB69-23CF-44E3-9099-C40C66FF867C}">
                  <a14:compatExt spid="_x0000_s309254"/>
                </a:ext>
                <a:ext uri="{FF2B5EF4-FFF2-40B4-BE49-F238E27FC236}">
                  <a16:creationId xmlns:a16="http://schemas.microsoft.com/office/drawing/2014/main" id="{00000000-0008-0000-2800-000006B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43</xdr:row>
          <xdr:rowOff>0</xdr:rowOff>
        </xdr:from>
        <xdr:to>
          <xdr:col>12</xdr:col>
          <xdr:colOff>0</xdr:colOff>
          <xdr:row>44</xdr:row>
          <xdr:rowOff>0</xdr:rowOff>
        </xdr:to>
        <xdr:sp macro="" textlink="">
          <xdr:nvSpPr>
            <xdr:cNvPr id="310274" name="IP_Signature" hidden="1">
              <a:extLst>
                <a:ext uri="{63B3BB69-23CF-44E3-9099-C40C66FF867C}">
                  <a14:compatExt spid="_x0000_s310274"/>
                </a:ext>
                <a:ext uri="{FF2B5EF4-FFF2-40B4-BE49-F238E27FC236}">
                  <a16:creationId xmlns:a16="http://schemas.microsoft.com/office/drawing/2014/main" id="{00000000-0008-0000-2900-000002B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43</xdr:row>
          <xdr:rowOff>180975</xdr:rowOff>
        </xdr:to>
        <xdr:sp macro="" textlink="">
          <xdr:nvSpPr>
            <xdr:cNvPr id="310275" name="CCG_Click" hidden="1">
              <a:extLst>
                <a:ext uri="{63B3BB69-23CF-44E3-9099-C40C66FF867C}">
                  <a14:compatExt spid="_x0000_s310275"/>
                </a:ext>
                <a:ext uri="{FF2B5EF4-FFF2-40B4-BE49-F238E27FC236}">
                  <a16:creationId xmlns:a16="http://schemas.microsoft.com/office/drawing/2014/main" id="{00000000-0008-0000-2900-000003B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43</xdr:row>
          <xdr:rowOff>180975</xdr:rowOff>
        </xdr:to>
        <xdr:sp macro="" textlink="">
          <xdr:nvSpPr>
            <xdr:cNvPr id="310276" name="MCG_Click" hidden="1">
              <a:extLst>
                <a:ext uri="{63B3BB69-23CF-44E3-9099-C40C66FF867C}">
                  <a14:compatExt spid="_x0000_s310276"/>
                </a:ext>
                <a:ext uri="{FF2B5EF4-FFF2-40B4-BE49-F238E27FC236}">
                  <a16:creationId xmlns:a16="http://schemas.microsoft.com/office/drawing/2014/main" id="{00000000-0008-0000-2900-000004B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43</xdr:row>
          <xdr:rowOff>180975</xdr:rowOff>
        </xdr:to>
        <xdr:sp macro="" textlink="">
          <xdr:nvSpPr>
            <xdr:cNvPr id="310277" name="DCG_Click" hidden="1">
              <a:extLst>
                <a:ext uri="{63B3BB69-23CF-44E3-9099-C40C66FF867C}">
                  <a14:compatExt spid="_x0000_s310277"/>
                </a:ext>
                <a:ext uri="{FF2B5EF4-FFF2-40B4-BE49-F238E27FC236}">
                  <a16:creationId xmlns:a16="http://schemas.microsoft.com/office/drawing/2014/main" id="{00000000-0008-0000-2900-000005B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43</xdr:row>
          <xdr:rowOff>180975</xdr:rowOff>
        </xdr:to>
        <xdr:sp macro="" textlink="">
          <xdr:nvSpPr>
            <xdr:cNvPr id="310278" name="PMC_Click" hidden="1">
              <a:extLst>
                <a:ext uri="{63B3BB69-23CF-44E3-9099-C40C66FF867C}">
                  <a14:compatExt spid="_x0000_s310278"/>
                </a:ext>
                <a:ext uri="{FF2B5EF4-FFF2-40B4-BE49-F238E27FC236}">
                  <a16:creationId xmlns:a16="http://schemas.microsoft.com/office/drawing/2014/main" id="{00000000-0008-0000-2900-000006B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41</xdr:row>
          <xdr:rowOff>0</xdr:rowOff>
        </xdr:from>
        <xdr:to>
          <xdr:col>12</xdr:col>
          <xdr:colOff>0</xdr:colOff>
          <xdr:row>42</xdr:row>
          <xdr:rowOff>0</xdr:rowOff>
        </xdr:to>
        <xdr:sp macro="" textlink="">
          <xdr:nvSpPr>
            <xdr:cNvPr id="311299" name="IP_Signature" hidden="1">
              <a:extLst>
                <a:ext uri="{63B3BB69-23CF-44E3-9099-C40C66FF867C}">
                  <a14:compatExt spid="_x0000_s311299"/>
                </a:ext>
                <a:ext uri="{FF2B5EF4-FFF2-40B4-BE49-F238E27FC236}">
                  <a16:creationId xmlns:a16="http://schemas.microsoft.com/office/drawing/2014/main" id="{00000000-0008-0000-2A00-000003C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43</xdr:row>
          <xdr:rowOff>190500</xdr:rowOff>
        </xdr:to>
        <xdr:sp macro="" textlink="">
          <xdr:nvSpPr>
            <xdr:cNvPr id="311300" name="CCG_Click" hidden="1">
              <a:extLst>
                <a:ext uri="{63B3BB69-23CF-44E3-9099-C40C66FF867C}">
                  <a14:compatExt spid="_x0000_s311300"/>
                </a:ext>
                <a:ext uri="{FF2B5EF4-FFF2-40B4-BE49-F238E27FC236}">
                  <a16:creationId xmlns:a16="http://schemas.microsoft.com/office/drawing/2014/main" id="{00000000-0008-0000-2A00-000004C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43</xdr:row>
          <xdr:rowOff>190500</xdr:rowOff>
        </xdr:to>
        <xdr:sp macro="" textlink="">
          <xdr:nvSpPr>
            <xdr:cNvPr id="311301" name="MCG_Click" hidden="1">
              <a:extLst>
                <a:ext uri="{63B3BB69-23CF-44E3-9099-C40C66FF867C}">
                  <a14:compatExt spid="_x0000_s311301"/>
                </a:ext>
                <a:ext uri="{FF2B5EF4-FFF2-40B4-BE49-F238E27FC236}">
                  <a16:creationId xmlns:a16="http://schemas.microsoft.com/office/drawing/2014/main" id="{00000000-0008-0000-2A00-000005C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43</xdr:row>
          <xdr:rowOff>190500</xdr:rowOff>
        </xdr:to>
        <xdr:sp macro="" textlink="">
          <xdr:nvSpPr>
            <xdr:cNvPr id="311302" name="DCG_Click" hidden="1">
              <a:extLst>
                <a:ext uri="{63B3BB69-23CF-44E3-9099-C40C66FF867C}">
                  <a14:compatExt spid="_x0000_s311302"/>
                </a:ext>
                <a:ext uri="{FF2B5EF4-FFF2-40B4-BE49-F238E27FC236}">
                  <a16:creationId xmlns:a16="http://schemas.microsoft.com/office/drawing/2014/main" id="{00000000-0008-0000-2A00-000006C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43</xdr:row>
          <xdr:rowOff>190500</xdr:rowOff>
        </xdr:to>
        <xdr:sp macro="" textlink="">
          <xdr:nvSpPr>
            <xdr:cNvPr id="311303" name="PMC_Click" hidden="1">
              <a:extLst>
                <a:ext uri="{63B3BB69-23CF-44E3-9099-C40C66FF867C}">
                  <a14:compatExt spid="_x0000_s311303"/>
                </a:ext>
                <a:ext uri="{FF2B5EF4-FFF2-40B4-BE49-F238E27FC236}">
                  <a16:creationId xmlns:a16="http://schemas.microsoft.com/office/drawing/2014/main" id="{00000000-0008-0000-2A00-000007C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41</xdr:row>
          <xdr:rowOff>0</xdr:rowOff>
        </xdr:from>
        <xdr:to>
          <xdr:col>12</xdr:col>
          <xdr:colOff>0</xdr:colOff>
          <xdr:row>42</xdr:row>
          <xdr:rowOff>0</xdr:rowOff>
        </xdr:to>
        <xdr:sp macro="" textlink="">
          <xdr:nvSpPr>
            <xdr:cNvPr id="312322" name="IP_Signature" hidden="1">
              <a:extLst>
                <a:ext uri="{63B3BB69-23CF-44E3-9099-C40C66FF867C}">
                  <a14:compatExt spid="_x0000_s312322"/>
                </a:ext>
                <a:ext uri="{FF2B5EF4-FFF2-40B4-BE49-F238E27FC236}">
                  <a16:creationId xmlns:a16="http://schemas.microsoft.com/office/drawing/2014/main" id="{00000000-0008-0000-2B00-000002C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43</xdr:row>
          <xdr:rowOff>190500</xdr:rowOff>
        </xdr:to>
        <xdr:sp macro="" textlink="">
          <xdr:nvSpPr>
            <xdr:cNvPr id="312323" name="CCG_Click" hidden="1">
              <a:extLst>
                <a:ext uri="{63B3BB69-23CF-44E3-9099-C40C66FF867C}">
                  <a14:compatExt spid="_x0000_s312323"/>
                </a:ext>
                <a:ext uri="{FF2B5EF4-FFF2-40B4-BE49-F238E27FC236}">
                  <a16:creationId xmlns:a16="http://schemas.microsoft.com/office/drawing/2014/main" id="{00000000-0008-0000-2B00-000003C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43</xdr:row>
          <xdr:rowOff>190500</xdr:rowOff>
        </xdr:to>
        <xdr:sp macro="" textlink="">
          <xdr:nvSpPr>
            <xdr:cNvPr id="312324" name="MCG_Click" hidden="1">
              <a:extLst>
                <a:ext uri="{63B3BB69-23CF-44E3-9099-C40C66FF867C}">
                  <a14:compatExt spid="_x0000_s312324"/>
                </a:ext>
                <a:ext uri="{FF2B5EF4-FFF2-40B4-BE49-F238E27FC236}">
                  <a16:creationId xmlns:a16="http://schemas.microsoft.com/office/drawing/2014/main" id="{00000000-0008-0000-2B00-000004C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43</xdr:row>
          <xdr:rowOff>190500</xdr:rowOff>
        </xdr:to>
        <xdr:sp macro="" textlink="">
          <xdr:nvSpPr>
            <xdr:cNvPr id="312325" name="DCG_Click" hidden="1">
              <a:extLst>
                <a:ext uri="{63B3BB69-23CF-44E3-9099-C40C66FF867C}">
                  <a14:compatExt spid="_x0000_s312325"/>
                </a:ext>
                <a:ext uri="{FF2B5EF4-FFF2-40B4-BE49-F238E27FC236}">
                  <a16:creationId xmlns:a16="http://schemas.microsoft.com/office/drawing/2014/main" id="{00000000-0008-0000-2B00-000005C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43</xdr:row>
          <xdr:rowOff>190500</xdr:rowOff>
        </xdr:to>
        <xdr:sp macro="" textlink="">
          <xdr:nvSpPr>
            <xdr:cNvPr id="312326" name="PMC_Click" hidden="1">
              <a:extLst>
                <a:ext uri="{63B3BB69-23CF-44E3-9099-C40C66FF867C}">
                  <a14:compatExt spid="_x0000_s312326"/>
                </a:ext>
                <a:ext uri="{FF2B5EF4-FFF2-40B4-BE49-F238E27FC236}">
                  <a16:creationId xmlns:a16="http://schemas.microsoft.com/office/drawing/2014/main" id="{00000000-0008-0000-2B00-000006C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41</xdr:row>
          <xdr:rowOff>0</xdr:rowOff>
        </xdr:from>
        <xdr:to>
          <xdr:col>12</xdr:col>
          <xdr:colOff>0</xdr:colOff>
          <xdr:row>42</xdr:row>
          <xdr:rowOff>0</xdr:rowOff>
        </xdr:to>
        <xdr:sp macro="" textlink="">
          <xdr:nvSpPr>
            <xdr:cNvPr id="313346" name="IP_Signature" hidden="1">
              <a:extLst>
                <a:ext uri="{63B3BB69-23CF-44E3-9099-C40C66FF867C}">
                  <a14:compatExt spid="_x0000_s313346"/>
                </a:ext>
                <a:ext uri="{FF2B5EF4-FFF2-40B4-BE49-F238E27FC236}">
                  <a16:creationId xmlns:a16="http://schemas.microsoft.com/office/drawing/2014/main" id="{00000000-0008-0000-2C00-000002C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43</xdr:row>
          <xdr:rowOff>190500</xdr:rowOff>
        </xdr:to>
        <xdr:sp macro="" textlink="">
          <xdr:nvSpPr>
            <xdr:cNvPr id="313347" name="CCG_Click" hidden="1">
              <a:extLst>
                <a:ext uri="{63B3BB69-23CF-44E3-9099-C40C66FF867C}">
                  <a14:compatExt spid="_x0000_s313347"/>
                </a:ext>
                <a:ext uri="{FF2B5EF4-FFF2-40B4-BE49-F238E27FC236}">
                  <a16:creationId xmlns:a16="http://schemas.microsoft.com/office/drawing/2014/main" id="{00000000-0008-0000-2C00-000003C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43</xdr:row>
          <xdr:rowOff>190500</xdr:rowOff>
        </xdr:to>
        <xdr:sp macro="" textlink="">
          <xdr:nvSpPr>
            <xdr:cNvPr id="313348" name="MCG_Click" hidden="1">
              <a:extLst>
                <a:ext uri="{63B3BB69-23CF-44E3-9099-C40C66FF867C}">
                  <a14:compatExt spid="_x0000_s313348"/>
                </a:ext>
                <a:ext uri="{FF2B5EF4-FFF2-40B4-BE49-F238E27FC236}">
                  <a16:creationId xmlns:a16="http://schemas.microsoft.com/office/drawing/2014/main" id="{00000000-0008-0000-2C00-000004C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43</xdr:row>
          <xdr:rowOff>190500</xdr:rowOff>
        </xdr:to>
        <xdr:sp macro="" textlink="">
          <xdr:nvSpPr>
            <xdr:cNvPr id="313349" name="DCG_Click" hidden="1">
              <a:extLst>
                <a:ext uri="{63B3BB69-23CF-44E3-9099-C40C66FF867C}">
                  <a14:compatExt spid="_x0000_s313349"/>
                </a:ext>
                <a:ext uri="{FF2B5EF4-FFF2-40B4-BE49-F238E27FC236}">
                  <a16:creationId xmlns:a16="http://schemas.microsoft.com/office/drawing/2014/main" id="{00000000-0008-0000-2C00-000005C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43</xdr:row>
          <xdr:rowOff>190500</xdr:rowOff>
        </xdr:to>
        <xdr:sp macro="" textlink="">
          <xdr:nvSpPr>
            <xdr:cNvPr id="313350" name="PMC_Click" hidden="1">
              <a:extLst>
                <a:ext uri="{63B3BB69-23CF-44E3-9099-C40C66FF867C}">
                  <a14:compatExt spid="_x0000_s313350"/>
                </a:ext>
                <a:ext uri="{FF2B5EF4-FFF2-40B4-BE49-F238E27FC236}">
                  <a16:creationId xmlns:a16="http://schemas.microsoft.com/office/drawing/2014/main" id="{00000000-0008-0000-2C00-000006C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oneCellAnchor>
    <xdr:from>
      <xdr:col>11</xdr:col>
      <xdr:colOff>1143000</xdr:colOff>
      <xdr:row>44</xdr:row>
      <xdr:rowOff>85725</xdr:rowOff>
    </xdr:from>
    <xdr:ext cx="184731" cy="264560"/>
    <xdr:sp macro="" textlink="">
      <xdr:nvSpPr>
        <xdr:cNvPr id="2" name="TextBox 1">
          <a:extLst>
            <a:ext uri="{FF2B5EF4-FFF2-40B4-BE49-F238E27FC236}">
              <a16:creationId xmlns:a16="http://schemas.microsoft.com/office/drawing/2014/main" id="{5F1AD9E0-E0CC-4394-A75B-639ECA275D16}"/>
            </a:ext>
          </a:extLst>
        </xdr:cNvPr>
        <xdr:cNvSpPr txBox="1"/>
      </xdr:nvSpPr>
      <xdr:spPr>
        <a:xfrm>
          <a:off x="5638800" y="7667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11</xdr:col>
          <xdr:colOff>0</xdr:colOff>
          <xdr:row>40</xdr:row>
          <xdr:rowOff>0</xdr:rowOff>
        </xdr:from>
        <xdr:to>
          <xdr:col>12</xdr:col>
          <xdr:colOff>0</xdr:colOff>
          <xdr:row>41</xdr:row>
          <xdr:rowOff>0</xdr:rowOff>
        </xdr:to>
        <xdr:sp macro="" textlink="">
          <xdr:nvSpPr>
            <xdr:cNvPr id="117762" name="IP_Signature" hidden="1">
              <a:extLst>
                <a:ext uri="{63B3BB69-23CF-44E3-9099-C40C66FF867C}">
                  <a14:compatExt spid="_x0000_s117762"/>
                </a:ext>
                <a:ext uri="{FF2B5EF4-FFF2-40B4-BE49-F238E27FC236}">
                  <a16:creationId xmlns:a16="http://schemas.microsoft.com/office/drawing/2014/main" id="{00000000-0008-0000-2D00-000002C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Click to 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38100</xdr:rowOff>
        </xdr:from>
        <xdr:to>
          <xdr:col>6</xdr:col>
          <xdr:colOff>123825</xdr:colOff>
          <xdr:row>42</xdr:row>
          <xdr:rowOff>285750</xdr:rowOff>
        </xdr:to>
        <xdr:sp macro="" textlink="">
          <xdr:nvSpPr>
            <xdr:cNvPr id="117763" name="CCG_Click" hidden="1">
              <a:extLst>
                <a:ext uri="{63B3BB69-23CF-44E3-9099-C40C66FF867C}">
                  <a14:compatExt spid="_x0000_s117763"/>
                </a:ext>
                <a:ext uri="{FF2B5EF4-FFF2-40B4-BE49-F238E27FC236}">
                  <a16:creationId xmlns:a16="http://schemas.microsoft.com/office/drawing/2014/main" id="{00000000-0008-0000-2D00-000003C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Clear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42</xdr:row>
          <xdr:rowOff>38100</xdr:rowOff>
        </xdr:from>
        <xdr:to>
          <xdr:col>11</xdr:col>
          <xdr:colOff>66675</xdr:colOff>
          <xdr:row>42</xdr:row>
          <xdr:rowOff>285750</xdr:rowOff>
        </xdr:to>
        <xdr:sp macro="" textlink="">
          <xdr:nvSpPr>
            <xdr:cNvPr id="117764" name="MCG_Click" hidden="1">
              <a:extLst>
                <a:ext uri="{63B3BB69-23CF-44E3-9099-C40C66FF867C}">
                  <a14:compatExt spid="_x0000_s117764"/>
                </a:ext>
                <a:ext uri="{FF2B5EF4-FFF2-40B4-BE49-F238E27FC236}">
                  <a16:creationId xmlns:a16="http://schemas.microsoft.com/office/drawing/2014/main" id="{00000000-0008-0000-2D00-000004C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Min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123825</xdr:colOff>
          <xdr:row>42</xdr:row>
          <xdr:rowOff>38100</xdr:rowOff>
        </xdr:from>
        <xdr:to>
          <xdr:col>12</xdr:col>
          <xdr:colOff>276225</xdr:colOff>
          <xdr:row>42</xdr:row>
          <xdr:rowOff>285750</xdr:rowOff>
        </xdr:to>
        <xdr:sp macro="" textlink="">
          <xdr:nvSpPr>
            <xdr:cNvPr id="117765" name="DCG_Click" hidden="1">
              <a:extLst>
                <a:ext uri="{63B3BB69-23CF-44E3-9099-C40C66FF867C}">
                  <a14:compatExt spid="_x0000_s117765"/>
                </a:ext>
                <a:ext uri="{FF2B5EF4-FFF2-40B4-BE49-F238E27FC236}">
                  <a16:creationId xmlns:a16="http://schemas.microsoft.com/office/drawing/2014/main" id="{00000000-0008-0000-2D00-000005C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Set Des Cs &amp; 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42</xdr:row>
          <xdr:rowOff>38100</xdr:rowOff>
        </xdr:from>
        <xdr:to>
          <xdr:col>17</xdr:col>
          <xdr:colOff>257175</xdr:colOff>
          <xdr:row>42</xdr:row>
          <xdr:rowOff>285750</xdr:rowOff>
        </xdr:to>
        <xdr:sp macro="" textlink="">
          <xdr:nvSpPr>
            <xdr:cNvPr id="117766" name="PMC_Click" hidden="1">
              <a:extLst>
                <a:ext uri="{63B3BB69-23CF-44E3-9099-C40C66FF867C}">
                  <a14:compatExt spid="_x0000_s117766"/>
                </a:ext>
                <a:ext uri="{FF2B5EF4-FFF2-40B4-BE49-F238E27FC236}">
                  <a16:creationId xmlns:a16="http://schemas.microsoft.com/office/drawing/2014/main" id="{00000000-0008-0000-2D00-000006C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Times New Roman"/>
                  <a:cs typeface="Times New Roman"/>
                </a:rPr>
                <a:t>Prepare Mandatory Comments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spm-fs-033v\tps$\Students\12B\Flight%20grade%20sheets%20and%20flight%20logs\Chown%20Benjamin\Chown%20Benjamin%20flight%20gradebook%20CSO%20-%20RPA.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F%206324W"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libis"/>
      <sheetName val="Probations"/>
      <sheetName val="Restrictions"/>
      <sheetName val="link to class GB"/>
      <sheetName val="PF"/>
      <sheetName val="FQ"/>
      <sheetName val="SY"/>
      <sheetName val="QE"/>
      <sheetName val="PF 6051F"/>
      <sheetName val="PF 7351F"/>
      <sheetName val="PF 6151F"/>
      <sheetName val="PF 6152F"/>
      <sheetName val="PF 7151FN"/>
      <sheetName val="PF 7561FP"/>
      <sheetName val="PF 8951FB"/>
      <sheetName val="PF 8354FP"/>
      <sheetName val="PF 8357FP"/>
      <sheetName val="PF 8952FB"/>
      <sheetName val="PF 8952WB"/>
      <sheetName val="PF 7301WD"/>
      <sheetName val="FQ 6351F"/>
      <sheetName val="FQ 6352F"/>
      <sheetName val="FQ 6353F"/>
      <sheetName val="FQ 6354F"/>
      <sheetName val="FQ 6355F"/>
      <sheetName val="FQ 6357F"/>
      <sheetName val="FQ 7661DP"/>
      <sheetName val="FQ 7661F"/>
      <sheetName val="FQ 8151F"/>
      <sheetName val="FQ 8152F"/>
      <sheetName val="FQ 8154F"/>
      <sheetName val="FQ 8155F"/>
      <sheetName val="FQ 8753FP"/>
      <sheetName val="FQ 8754FP"/>
      <sheetName val="FQ 8951FD"/>
      <sheetName val="FQ 8952F"/>
      <sheetName val="FQ 9351F"/>
      <sheetName val="FQ 9352FN"/>
      <sheetName val="FQ 9361C"/>
      <sheetName val="FQ 9361D"/>
      <sheetName val="FQ 9551F"/>
      <sheetName val="FQ 9551W"/>
      <sheetName val="FQ 9751FA"/>
      <sheetName val="FQ 9958SB"/>
      <sheetName val="FQ 9958W"/>
      <sheetName val="SY 6721L"/>
      <sheetName val="SY 6722L"/>
      <sheetName val="SY 7121L"/>
      <sheetName val="SY 7122L"/>
      <sheetName val="SY 7151F"/>
      <sheetName val="SY 7151W"/>
      <sheetName val="SY 7321L"/>
      <sheetName val="SY 7531S"/>
      <sheetName val="SY 7551F"/>
      <sheetName val="SY 7551W"/>
      <sheetName val="SY 7552F"/>
      <sheetName val="SY 8121LU"/>
      <sheetName val="SY 8251FA"/>
      <sheetName val="SY 8261F"/>
      <sheetName val="SY 8518SB"/>
      <sheetName val="SY 8518WB"/>
      <sheetName val="FQ 9969FP"/>
      <sheetName val="QE 6750"/>
      <sheetName val="Color list"/>
      <sheetName val="QE 6750W"/>
      <sheetName val="T-6"/>
      <sheetName val="Extra 300"/>
      <sheetName val="AN-2"/>
      <sheetName val="Capston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row r="3">
          <cell r="AT3">
            <v>5</v>
          </cell>
        </row>
        <row r="40">
          <cell r="AD40" t="str">
            <v>Written Report</v>
          </cell>
        </row>
      </sheetData>
      <sheetData sheetId="67"/>
      <sheetData sheetId="6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F 6324W"/>
    </sheetNames>
    <sheetDataSet>
      <sheetData sheetId="0"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3.vml"/><Relationship Id="rId7" Type="http://schemas.openxmlformats.org/officeDocument/2006/relationships/ctrlProp" Target="../ctrlProps/ctrlProp14.xml"/><Relationship Id="rId2" Type="http://schemas.openxmlformats.org/officeDocument/2006/relationships/drawing" Target="../drawings/drawing4.xml"/><Relationship Id="rId1" Type="http://schemas.openxmlformats.org/officeDocument/2006/relationships/printerSettings" Target="../printerSettings/printerSettings12.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1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5.vml"/><Relationship Id="rId7" Type="http://schemas.openxmlformats.org/officeDocument/2006/relationships/ctrlProp" Target="../ctrlProps/ctrlProp20.xml"/><Relationship Id="rId2" Type="http://schemas.openxmlformats.org/officeDocument/2006/relationships/drawing" Target="../drawings/drawing7.xml"/><Relationship Id="rId1" Type="http://schemas.openxmlformats.org/officeDocument/2006/relationships/printerSettings" Target="../printerSettings/printerSettings16.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26.xml"/><Relationship Id="rId3" Type="http://schemas.openxmlformats.org/officeDocument/2006/relationships/vmlDrawing" Target="../drawings/vmlDrawing6.vml"/><Relationship Id="rId7" Type="http://schemas.openxmlformats.org/officeDocument/2006/relationships/ctrlProp" Target="../ctrlProps/ctrlProp25.xml"/><Relationship Id="rId2" Type="http://schemas.openxmlformats.org/officeDocument/2006/relationships/drawing" Target="../drawings/drawing9.xml"/><Relationship Id="rId1" Type="http://schemas.openxmlformats.org/officeDocument/2006/relationships/printerSettings" Target="../printerSettings/printerSettings18.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27.xml"/><Relationship Id="rId7" Type="http://schemas.openxmlformats.org/officeDocument/2006/relationships/ctrlProp" Target="../ctrlProps/ctrlProp31.xml"/><Relationship Id="rId2" Type="http://schemas.openxmlformats.org/officeDocument/2006/relationships/vmlDrawing" Target="../drawings/vmlDrawing7.vml"/><Relationship Id="rId1" Type="http://schemas.openxmlformats.org/officeDocument/2006/relationships/drawing" Target="../drawings/drawing10.xml"/><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32.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37.xml"/><Relationship Id="rId3" Type="http://schemas.openxmlformats.org/officeDocument/2006/relationships/vmlDrawing" Target="../drawings/vmlDrawing9.vml"/><Relationship Id="rId7" Type="http://schemas.openxmlformats.org/officeDocument/2006/relationships/ctrlProp" Target="../ctrlProps/ctrlProp36.xml"/><Relationship Id="rId2" Type="http://schemas.openxmlformats.org/officeDocument/2006/relationships/drawing" Target="../drawings/drawing13.xml"/><Relationship Id="rId1" Type="http://schemas.openxmlformats.org/officeDocument/2006/relationships/printerSettings" Target="../printerSettings/printerSettings21.bin"/><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10.vml"/><Relationship Id="rId1" Type="http://schemas.openxmlformats.org/officeDocument/2006/relationships/drawing" Target="../drawings/drawing1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vmlDrawing" Target="../drawings/vmlDrawing11.vml"/><Relationship Id="rId7" Type="http://schemas.openxmlformats.org/officeDocument/2006/relationships/ctrlProp" Target="../ctrlProps/ctrlProp42.xml"/><Relationship Id="rId2" Type="http://schemas.openxmlformats.org/officeDocument/2006/relationships/drawing" Target="../drawings/drawing15.xml"/><Relationship Id="rId1" Type="http://schemas.openxmlformats.org/officeDocument/2006/relationships/printerSettings" Target="../printerSettings/printerSettings22.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48.xml"/><Relationship Id="rId3" Type="http://schemas.openxmlformats.org/officeDocument/2006/relationships/vmlDrawing" Target="../drawings/vmlDrawing12.vml"/><Relationship Id="rId7" Type="http://schemas.openxmlformats.org/officeDocument/2006/relationships/ctrlProp" Target="../ctrlProps/ctrlProp47.xml"/><Relationship Id="rId2" Type="http://schemas.openxmlformats.org/officeDocument/2006/relationships/drawing" Target="../drawings/drawing16.xml"/><Relationship Id="rId1" Type="http://schemas.openxmlformats.org/officeDocument/2006/relationships/printerSettings" Target="../printerSettings/printerSettings23.bin"/><Relationship Id="rId6" Type="http://schemas.openxmlformats.org/officeDocument/2006/relationships/ctrlProp" Target="../ctrlProps/ctrlProp46.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53.xml"/><Relationship Id="rId3" Type="http://schemas.openxmlformats.org/officeDocument/2006/relationships/vmlDrawing" Target="../drawings/vmlDrawing13.vml"/><Relationship Id="rId7" Type="http://schemas.openxmlformats.org/officeDocument/2006/relationships/ctrlProp" Target="../ctrlProps/ctrlProp52.xml"/><Relationship Id="rId2" Type="http://schemas.openxmlformats.org/officeDocument/2006/relationships/drawing" Target="../drawings/drawing17.xml"/><Relationship Id="rId1" Type="http://schemas.openxmlformats.org/officeDocument/2006/relationships/printerSettings" Target="../printerSettings/printerSettings24.bin"/><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4.vml"/><Relationship Id="rId1" Type="http://schemas.openxmlformats.org/officeDocument/2006/relationships/drawing" Target="../drawings/drawing18.xml"/></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59.xml"/><Relationship Id="rId3" Type="http://schemas.openxmlformats.org/officeDocument/2006/relationships/vmlDrawing" Target="../drawings/vmlDrawing15.vml"/><Relationship Id="rId7" Type="http://schemas.openxmlformats.org/officeDocument/2006/relationships/ctrlProp" Target="../ctrlProps/ctrlProp58.xml"/><Relationship Id="rId2" Type="http://schemas.openxmlformats.org/officeDocument/2006/relationships/drawing" Target="../drawings/drawing19.xml"/><Relationship Id="rId1" Type="http://schemas.openxmlformats.org/officeDocument/2006/relationships/printerSettings" Target="../printerSettings/printerSettings25.bin"/><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64.xml"/><Relationship Id="rId3" Type="http://schemas.openxmlformats.org/officeDocument/2006/relationships/vmlDrawing" Target="../drawings/vmlDrawing16.vml"/><Relationship Id="rId7" Type="http://schemas.openxmlformats.org/officeDocument/2006/relationships/ctrlProp" Target="../ctrlProps/ctrlProp63.xml"/><Relationship Id="rId2" Type="http://schemas.openxmlformats.org/officeDocument/2006/relationships/drawing" Target="../drawings/drawing20.xml"/><Relationship Id="rId1" Type="http://schemas.openxmlformats.org/officeDocument/2006/relationships/printerSettings" Target="../printerSettings/printerSettings26.bin"/><Relationship Id="rId6" Type="http://schemas.openxmlformats.org/officeDocument/2006/relationships/ctrlProp" Target="../ctrlProps/ctrlProp62.xml"/><Relationship Id="rId5" Type="http://schemas.openxmlformats.org/officeDocument/2006/relationships/ctrlProp" Target="../ctrlProps/ctrlProp61.xml"/><Relationship Id="rId4" Type="http://schemas.openxmlformats.org/officeDocument/2006/relationships/ctrlProp" Target="../ctrlProps/ctrlProp60.xml"/></Relationships>
</file>

<file path=xl/worksheets/_rels/sheet31.xml.rels><?xml version="1.0" encoding="UTF-8" standalone="yes"?>
<Relationships xmlns="http://schemas.openxmlformats.org/package/2006/relationships"><Relationship Id="rId8" Type="http://schemas.openxmlformats.org/officeDocument/2006/relationships/ctrlProp" Target="../ctrlProps/ctrlProp69.xml"/><Relationship Id="rId3" Type="http://schemas.openxmlformats.org/officeDocument/2006/relationships/vmlDrawing" Target="../drawings/vmlDrawing17.vml"/><Relationship Id="rId7" Type="http://schemas.openxmlformats.org/officeDocument/2006/relationships/ctrlProp" Target="../ctrlProps/ctrlProp68.xml"/><Relationship Id="rId2" Type="http://schemas.openxmlformats.org/officeDocument/2006/relationships/drawing" Target="../drawings/drawing21.xml"/><Relationship Id="rId1" Type="http://schemas.openxmlformats.org/officeDocument/2006/relationships/printerSettings" Target="../printerSettings/printerSettings27.bin"/><Relationship Id="rId6" Type="http://schemas.openxmlformats.org/officeDocument/2006/relationships/ctrlProp" Target="../ctrlProps/ctrlProp67.xml"/><Relationship Id="rId5" Type="http://schemas.openxmlformats.org/officeDocument/2006/relationships/ctrlProp" Target="../ctrlProps/ctrlProp66.xml"/><Relationship Id="rId4" Type="http://schemas.openxmlformats.org/officeDocument/2006/relationships/ctrlProp" Target="../ctrlProps/ctrlProp65.xml"/></Relationships>
</file>

<file path=xl/worksheets/_rels/sheet32.xml.rels><?xml version="1.0" encoding="UTF-8" standalone="yes"?>
<Relationships xmlns="http://schemas.openxmlformats.org/package/2006/relationships"><Relationship Id="rId8" Type="http://schemas.openxmlformats.org/officeDocument/2006/relationships/ctrlProp" Target="../ctrlProps/ctrlProp74.xml"/><Relationship Id="rId3" Type="http://schemas.openxmlformats.org/officeDocument/2006/relationships/vmlDrawing" Target="../drawings/vmlDrawing18.vml"/><Relationship Id="rId7" Type="http://schemas.openxmlformats.org/officeDocument/2006/relationships/ctrlProp" Target="../ctrlProps/ctrlProp73.xml"/><Relationship Id="rId2" Type="http://schemas.openxmlformats.org/officeDocument/2006/relationships/drawing" Target="../drawings/drawing22.xml"/><Relationship Id="rId1" Type="http://schemas.openxmlformats.org/officeDocument/2006/relationships/printerSettings" Target="../printerSettings/printerSettings28.bin"/><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79.xml"/><Relationship Id="rId3" Type="http://schemas.openxmlformats.org/officeDocument/2006/relationships/vmlDrawing" Target="../drawings/vmlDrawing19.vml"/><Relationship Id="rId7" Type="http://schemas.openxmlformats.org/officeDocument/2006/relationships/ctrlProp" Target="../ctrlProps/ctrlProp78.xml"/><Relationship Id="rId2" Type="http://schemas.openxmlformats.org/officeDocument/2006/relationships/drawing" Target="../drawings/drawing23.xml"/><Relationship Id="rId1" Type="http://schemas.openxmlformats.org/officeDocument/2006/relationships/printerSettings" Target="../printerSettings/printerSettings29.bin"/><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s>
</file>

<file path=xl/worksheets/_rels/sheet34.xml.rels><?xml version="1.0" encoding="UTF-8" standalone="yes"?>
<Relationships xmlns="http://schemas.openxmlformats.org/package/2006/relationships"><Relationship Id="rId8" Type="http://schemas.openxmlformats.org/officeDocument/2006/relationships/ctrlProp" Target="../ctrlProps/ctrlProp84.xml"/><Relationship Id="rId3" Type="http://schemas.openxmlformats.org/officeDocument/2006/relationships/vmlDrawing" Target="../drawings/vmlDrawing20.vml"/><Relationship Id="rId7" Type="http://schemas.openxmlformats.org/officeDocument/2006/relationships/ctrlProp" Target="../ctrlProps/ctrlProp83.xml"/><Relationship Id="rId2" Type="http://schemas.openxmlformats.org/officeDocument/2006/relationships/drawing" Target="../drawings/drawing24.xml"/><Relationship Id="rId1" Type="http://schemas.openxmlformats.org/officeDocument/2006/relationships/printerSettings" Target="../printerSettings/printerSettings30.bin"/><Relationship Id="rId6" Type="http://schemas.openxmlformats.org/officeDocument/2006/relationships/ctrlProp" Target="../ctrlProps/ctrlProp82.xml"/><Relationship Id="rId5" Type="http://schemas.openxmlformats.org/officeDocument/2006/relationships/ctrlProp" Target="../ctrlProps/ctrlProp81.xml"/><Relationship Id="rId4" Type="http://schemas.openxmlformats.org/officeDocument/2006/relationships/ctrlProp" Target="../ctrlProps/ctrlProp80.xml"/></Relationships>
</file>

<file path=xl/worksheets/_rels/sheet35.xml.rels><?xml version="1.0" encoding="UTF-8" standalone="yes"?>
<Relationships xmlns="http://schemas.openxmlformats.org/package/2006/relationships"><Relationship Id="rId8" Type="http://schemas.openxmlformats.org/officeDocument/2006/relationships/ctrlProp" Target="../ctrlProps/ctrlProp89.xml"/><Relationship Id="rId3" Type="http://schemas.openxmlformats.org/officeDocument/2006/relationships/vmlDrawing" Target="../drawings/vmlDrawing21.vml"/><Relationship Id="rId7" Type="http://schemas.openxmlformats.org/officeDocument/2006/relationships/ctrlProp" Target="../ctrlProps/ctrlProp88.xml"/><Relationship Id="rId2" Type="http://schemas.openxmlformats.org/officeDocument/2006/relationships/drawing" Target="../drawings/drawing25.xml"/><Relationship Id="rId1" Type="http://schemas.openxmlformats.org/officeDocument/2006/relationships/printerSettings" Target="../printerSettings/printerSettings31.bin"/><Relationship Id="rId6" Type="http://schemas.openxmlformats.org/officeDocument/2006/relationships/ctrlProp" Target="../ctrlProps/ctrlProp87.xml"/><Relationship Id="rId5" Type="http://schemas.openxmlformats.org/officeDocument/2006/relationships/ctrlProp" Target="../ctrlProps/ctrlProp86.xml"/><Relationship Id="rId4" Type="http://schemas.openxmlformats.org/officeDocument/2006/relationships/ctrlProp" Target="../ctrlProps/ctrlProp85.xml"/></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90.xml"/><Relationship Id="rId7" Type="http://schemas.openxmlformats.org/officeDocument/2006/relationships/ctrlProp" Target="../ctrlProps/ctrlProp94.xml"/><Relationship Id="rId2" Type="http://schemas.openxmlformats.org/officeDocument/2006/relationships/vmlDrawing" Target="../drawings/vmlDrawing22.vml"/><Relationship Id="rId1" Type="http://schemas.openxmlformats.org/officeDocument/2006/relationships/drawing" Target="../drawings/drawing26.xml"/><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37.xml.rels><?xml version="1.0" encoding="UTF-8" standalone="yes"?>
<Relationships xmlns="http://schemas.openxmlformats.org/package/2006/relationships"><Relationship Id="rId8" Type="http://schemas.openxmlformats.org/officeDocument/2006/relationships/ctrlProp" Target="../ctrlProps/ctrlProp99.xml"/><Relationship Id="rId3" Type="http://schemas.openxmlformats.org/officeDocument/2006/relationships/vmlDrawing" Target="../drawings/vmlDrawing23.vml"/><Relationship Id="rId7" Type="http://schemas.openxmlformats.org/officeDocument/2006/relationships/ctrlProp" Target="../ctrlProps/ctrlProp98.xml"/><Relationship Id="rId2" Type="http://schemas.openxmlformats.org/officeDocument/2006/relationships/drawing" Target="../drawings/drawing27.xml"/><Relationship Id="rId1" Type="http://schemas.openxmlformats.org/officeDocument/2006/relationships/printerSettings" Target="../printerSettings/printerSettings32.bin"/><Relationship Id="rId6" Type="http://schemas.openxmlformats.org/officeDocument/2006/relationships/ctrlProp" Target="../ctrlProps/ctrlProp97.xml"/><Relationship Id="rId5" Type="http://schemas.openxmlformats.org/officeDocument/2006/relationships/ctrlProp" Target="../ctrlProps/ctrlProp96.xml"/><Relationship Id="rId4" Type="http://schemas.openxmlformats.org/officeDocument/2006/relationships/ctrlProp" Target="../ctrlProps/ctrlProp95.xml"/></Relationships>
</file>

<file path=xl/worksheets/_rels/sheet38.xml.rels><?xml version="1.0" encoding="UTF-8" standalone="yes"?>
<Relationships xmlns="http://schemas.openxmlformats.org/package/2006/relationships"><Relationship Id="rId8" Type="http://schemas.openxmlformats.org/officeDocument/2006/relationships/ctrlProp" Target="../ctrlProps/ctrlProp104.xml"/><Relationship Id="rId3" Type="http://schemas.openxmlformats.org/officeDocument/2006/relationships/vmlDrawing" Target="../drawings/vmlDrawing24.vml"/><Relationship Id="rId7" Type="http://schemas.openxmlformats.org/officeDocument/2006/relationships/ctrlProp" Target="../ctrlProps/ctrlProp103.xml"/><Relationship Id="rId2" Type="http://schemas.openxmlformats.org/officeDocument/2006/relationships/drawing" Target="../drawings/drawing28.xml"/><Relationship Id="rId1" Type="http://schemas.openxmlformats.org/officeDocument/2006/relationships/printerSettings" Target="../printerSettings/printerSettings33.bin"/><Relationship Id="rId6" Type="http://schemas.openxmlformats.org/officeDocument/2006/relationships/ctrlProp" Target="../ctrlProps/ctrlProp102.xml"/><Relationship Id="rId5" Type="http://schemas.openxmlformats.org/officeDocument/2006/relationships/ctrlProp" Target="../ctrlProps/ctrlProp101.xml"/><Relationship Id="rId4" Type="http://schemas.openxmlformats.org/officeDocument/2006/relationships/ctrlProp" Target="../ctrlProps/ctrlProp100.xml"/></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105.xml"/><Relationship Id="rId7" Type="http://schemas.openxmlformats.org/officeDocument/2006/relationships/ctrlProp" Target="../ctrlProps/ctrlProp109.xml"/><Relationship Id="rId2" Type="http://schemas.openxmlformats.org/officeDocument/2006/relationships/vmlDrawing" Target="../drawings/vmlDrawing25.vml"/><Relationship Id="rId1" Type="http://schemas.openxmlformats.org/officeDocument/2006/relationships/drawing" Target="../drawings/drawing31.xml"/><Relationship Id="rId6" Type="http://schemas.openxmlformats.org/officeDocument/2006/relationships/ctrlProp" Target="../ctrlProps/ctrlProp108.xml"/><Relationship Id="rId5" Type="http://schemas.openxmlformats.org/officeDocument/2006/relationships/ctrlProp" Target="../ctrlProps/ctrlProp107.xml"/><Relationship Id="rId4" Type="http://schemas.openxmlformats.org/officeDocument/2006/relationships/ctrlProp" Target="../ctrlProps/ctrlProp106.xml"/></Relationships>
</file>

<file path=xl/worksheets/_rels/sheet42.xml.rels><?xml version="1.0" encoding="UTF-8" standalone="yes"?>
<Relationships xmlns="http://schemas.openxmlformats.org/package/2006/relationships"><Relationship Id="rId3" Type="http://schemas.openxmlformats.org/officeDocument/2006/relationships/ctrlProp" Target="../ctrlProps/ctrlProp110.xml"/><Relationship Id="rId7" Type="http://schemas.openxmlformats.org/officeDocument/2006/relationships/ctrlProp" Target="../ctrlProps/ctrlProp114.xml"/><Relationship Id="rId2" Type="http://schemas.openxmlformats.org/officeDocument/2006/relationships/vmlDrawing" Target="../drawings/vmlDrawing26.vml"/><Relationship Id="rId1" Type="http://schemas.openxmlformats.org/officeDocument/2006/relationships/drawing" Target="../drawings/drawing32.xml"/><Relationship Id="rId6" Type="http://schemas.openxmlformats.org/officeDocument/2006/relationships/ctrlProp" Target="../ctrlProps/ctrlProp113.xml"/><Relationship Id="rId5" Type="http://schemas.openxmlformats.org/officeDocument/2006/relationships/ctrlProp" Target="../ctrlProps/ctrlProp112.xml"/><Relationship Id="rId4" Type="http://schemas.openxmlformats.org/officeDocument/2006/relationships/ctrlProp" Target="../ctrlProps/ctrlProp111.xml"/></Relationships>
</file>

<file path=xl/worksheets/_rels/sheet43.xml.rels><?xml version="1.0" encoding="UTF-8" standalone="yes"?>
<Relationships xmlns="http://schemas.openxmlformats.org/package/2006/relationships"><Relationship Id="rId3" Type="http://schemas.openxmlformats.org/officeDocument/2006/relationships/ctrlProp" Target="../ctrlProps/ctrlProp115.xml"/><Relationship Id="rId7" Type="http://schemas.openxmlformats.org/officeDocument/2006/relationships/ctrlProp" Target="../ctrlProps/ctrlProp119.xml"/><Relationship Id="rId2" Type="http://schemas.openxmlformats.org/officeDocument/2006/relationships/vmlDrawing" Target="../drawings/vmlDrawing27.vml"/><Relationship Id="rId1" Type="http://schemas.openxmlformats.org/officeDocument/2006/relationships/drawing" Target="../drawings/drawing33.xml"/><Relationship Id="rId6" Type="http://schemas.openxmlformats.org/officeDocument/2006/relationships/ctrlProp" Target="../ctrlProps/ctrlProp118.xml"/><Relationship Id="rId5" Type="http://schemas.openxmlformats.org/officeDocument/2006/relationships/ctrlProp" Target="../ctrlProps/ctrlProp117.xml"/><Relationship Id="rId4" Type="http://schemas.openxmlformats.org/officeDocument/2006/relationships/ctrlProp" Target="../ctrlProps/ctrlProp116.xml"/></Relationships>
</file>

<file path=xl/worksheets/_rels/sheet44.xml.rels><?xml version="1.0" encoding="UTF-8" standalone="yes"?>
<Relationships xmlns="http://schemas.openxmlformats.org/package/2006/relationships"><Relationship Id="rId3" Type="http://schemas.openxmlformats.org/officeDocument/2006/relationships/ctrlProp" Target="../ctrlProps/ctrlProp120.xml"/><Relationship Id="rId7" Type="http://schemas.openxmlformats.org/officeDocument/2006/relationships/ctrlProp" Target="../ctrlProps/ctrlProp124.xml"/><Relationship Id="rId2" Type="http://schemas.openxmlformats.org/officeDocument/2006/relationships/vmlDrawing" Target="../drawings/vmlDrawing28.vml"/><Relationship Id="rId1" Type="http://schemas.openxmlformats.org/officeDocument/2006/relationships/drawing" Target="../drawings/drawing34.xml"/><Relationship Id="rId6" Type="http://schemas.openxmlformats.org/officeDocument/2006/relationships/ctrlProp" Target="../ctrlProps/ctrlProp123.xml"/><Relationship Id="rId5" Type="http://schemas.openxmlformats.org/officeDocument/2006/relationships/ctrlProp" Target="../ctrlProps/ctrlProp122.xml"/><Relationship Id="rId4" Type="http://schemas.openxmlformats.org/officeDocument/2006/relationships/ctrlProp" Target="../ctrlProps/ctrlProp121.xml"/></Relationships>
</file>

<file path=xl/worksheets/_rels/sheet45.xml.rels><?xml version="1.0" encoding="UTF-8" standalone="yes"?>
<Relationships xmlns="http://schemas.openxmlformats.org/package/2006/relationships"><Relationship Id="rId3" Type="http://schemas.openxmlformats.org/officeDocument/2006/relationships/ctrlProp" Target="../ctrlProps/ctrlProp125.xml"/><Relationship Id="rId7" Type="http://schemas.openxmlformats.org/officeDocument/2006/relationships/ctrlProp" Target="../ctrlProps/ctrlProp129.xml"/><Relationship Id="rId2" Type="http://schemas.openxmlformats.org/officeDocument/2006/relationships/vmlDrawing" Target="../drawings/vmlDrawing29.vml"/><Relationship Id="rId1" Type="http://schemas.openxmlformats.org/officeDocument/2006/relationships/drawing" Target="../drawings/drawing35.xml"/><Relationship Id="rId6" Type="http://schemas.openxmlformats.org/officeDocument/2006/relationships/ctrlProp" Target="../ctrlProps/ctrlProp128.xml"/><Relationship Id="rId5" Type="http://schemas.openxmlformats.org/officeDocument/2006/relationships/ctrlProp" Target="../ctrlProps/ctrlProp127.xml"/><Relationship Id="rId4" Type="http://schemas.openxmlformats.org/officeDocument/2006/relationships/ctrlProp" Target="../ctrlProps/ctrlProp126.xml"/></Relationships>
</file>

<file path=xl/worksheets/_rels/sheet46.xml.rels><?xml version="1.0" encoding="UTF-8" standalone="yes"?>
<Relationships xmlns="http://schemas.openxmlformats.org/package/2006/relationships"><Relationship Id="rId8" Type="http://schemas.openxmlformats.org/officeDocument/2006/relationships/ctrlProp" Target="../ctrlProps/ctrlProp134.xml"/><Relationship Id="rId3" Type="http://schemas.openxmlformats.org/officeDocument/2006/relationships/vmlDrawing" Target="../drawings/vmlDrawing30.vml"/><Relationship Id="rId7" Type="http://schemas.openxmlformats.org/officeDocument/2006/relationships/ctrlProp" Target="../ctrlProps/ctrlProp133.xml"/><Relationship Id="rId2" Type="http://schemas.openxmlformats.org/officeDocument/2006/relationships/drawing" Target="../drawings/drawing36.xml"/><Relationship Id="rId1" Type="http://schemas.openxmlformats.org/officeDocument/2006/relationships/printerSettings" Target="../printerSettings/printerSettings36.bin"/><Relationship Id="rId6" Type="http://schemas.openxmlformats.org/officeDocument/2006/relationships/ctrlProp" Target="../ctrlProps/ctrlProp132.xml"/><Relationship Id="rId5" Type="http://schemas.openxmlformats.org/officeDocument/2006/relationships/ctrlProp" Target="../ctrlProps/ctrlProp131.xml"/><Relationship Id="rId4" Type="http://schemas.openxmlformats.org/officeDocument/2006/relationships/ctrlProp" Target="../ctrlProps/ctrlProp13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B0358F-79C0-4E3B-A9E9-758179A89872}">
  <sheetPr codeName="Sheet4">
    <tabColor rgb="FF7030A0"/>
  </sheetPr>
  <dimension ref="B1:H69"/>
  <sheetViews>
    <sheetView showGridLines="0" tabSelected="1" workbookViewId="0">
      <selection activeCell="B17" sqref="B17"/>
    </sheetView>
  </sheetViews>
  <sheetFormatPr defaultColWidth="9.140625" defaultRowHeight="15" x14ac:dyDescent="0.25"/>
  <cols>
    <col min="1" max="1" width="2.140625" customWidth="1"/>
    <col min="2" max="2" width="56.140625" bestFit="1" customWidth="1"/>
    <col min="3" max="3" width="23.7109375" customWidth="1"/>
    <col min="4" max="4" width="21.7109375" customWidth="1"/>
    <col min="5" max="5" width="30.5703125" customWidth="1"/>
    <col min="6" max="6" width="21.5703125" customWidth="1"/>
    <col min="7" max="7" width="19.7109375" customWidth="1"/>
    <col min="8" max="8" width="31.7109375" customWidth="1"/>
  </cols>
  <sheetData>
    <row r="1" spans="2:8" ht="15.75" thickBot="1" x14ac:dyDescent="0.3"/>
    <row r="2" spans="2:8" ht="21" thickBot="1" x14ac:dyDescent="0.3">
      <c r="B2" s="883" t="s">
        <v>11</v>
      </c>
      <c r="C2" s="884"/>
      <c r="D2" s="884"/>
      <c r="E2" s="884"/>
      <c r="F2" s="884"/>
      <c r="G2" s="885"/>
      <c r="H2" s="18"/>
    </row>
    <row r="3" spans="2:8" ht="27.75" customHeight="1" thickBot="1" x14ac:dyDescent="0.3">
      <c r="B3" s="40" t="s">
        <v>6</v>
      </c>
      <c r="C3" s="41" t="s">
        <v>12</v>
      </c>
      <c r="D3" s="886" t="s">
        <v>13</v>
      </c>
      <c r="E3" s="887"/>
      <c r="F3" s="41" t="s">
        <v>14</v>
      </c>
      <c r="G3" s="42" t="s">
        <v>15</v>
      </c>
      <c r="H3" s="19"/>
    </row>
    <row r="4" spans="2:8" ht="21" customHeight="1" x14ac:dyDescent="0.25">
      <c r="B4" s="48"/>
      <c r="C4" s="49"/>
      <c r="D4" s="888"/>
      <c r="E4" s="889"/>
      <c r="F4" s="50"/>
      <c r="G4" s="51"/>
      <c r="H4" s="20"/>
    </row>
    <row r="5" spans="2:8" ht="18.75" x14ac:dyDescent="0.25">
      <c r="B5" s="52"/>
      <c r="C5" s="53"/>
      <c r="D5" s="890"/>
      <c r="E5" s="891"/>
      <c r="F5" s="54"/>
      <c r="G5" s="55"/>
      <c r="H5" s="20"/>
    </row>
    <row r="6" spans="2:8" ht="19.5" thickBot="1" x14ac:dyDescent="0.3">
      <c r="B6" s="56"/>
      <c r="C6" s="57"/>
      <c r="D6" s="892"/>
      <c r="E6" s="893"/>
      <c r="F6" s="58"/>
      <c r="G6" s="59"/>
      <c r="H6" s="20"/>
    </row>
    <row r="7" spans="2:8" ht="19.5" thickBot="1" x14ac:dyDescent="0.3">
      <c r="B7" s="18"/>
      <c r="C7" s="18"/>
      <c r="D7" s="18"/>
      <c r="E7" s="18"/>
      <c r="F7" s="18"/>
      <c r="G7" s="18"/>
      <c r="H7" s="18"/>
    </row>
    <row r="8" spans="2:8" ht="21" thickBot="1" x14ac:dyDescent="0.3">
      <c r="B8" s="883" t="s">
        <v>16</v>
      </c>
      <c r="C8" s="884"/>
      <c r="D8" s="884"/>
      <c r="E8" s="884"/>
      <c r="F8" s="884"/>
      <c r="G8" s="884"/>
      <c r="H8" s="885"/>
    </row>
    <row r="9" spans="2:8" s="21" customFormat="1" ht="35.25" customHeight="1" thickBot="1" x14ac:dyDescent="0.3">
      <c r="B9" s="40" t="s">
        <v>6</v>
      </c>
      <c r="C9" s="41" t="s">
        <v>12</v>
      </c>
      <c r="D9" s="886" t="s">
        <v>17</v>
      </c>
      <c r="E9" s="887"/>
      <c r="F9" s="886" t="s">
        <v>18</v>
      </c>
      <c r="G9" s="887"/>
      <c r="H9" s="42" t="s">
        <v>19</v>
      </c>
    </row>
    <row r="10" spans="2:8" ht="15.75" x14ac:dyDescent="0.25">
      <c r="B10" s="60"/>
      <c r="C10" s="61"/>
      <c r="D10" s="898"/>
      <c r="E10" s="899"/>
      <c r="F10" s="900"/>
      <c r="G10" s="901"/>
      <c r="H10" s="62"/>
    </row>
    <row r="11" spans="2:8" ht="15.75" x14ac:dyDescent="0.25">
      <c r="B11" s="60"/>
      <c r="C11" s="61"/>
      <c r="D11" s="898"/>
      <c r="E11" s="899"/>
      <c r="F11" s="900"/>
      <c r="G11" s="901"/>
      <c r="H11" s="62"/>
    </row>
    <row r="12" spans="2:8" ht="16.5" thickBot="1" x14ac:dyDescent="0.3">
      <c r="B12" s="63"/>
      <c r="C12" s="64"/>
      <c r="D12" s="894"/>
      <c r="E12" s="895"/>
      <c r="F12" s="896"/>
      <c r="G12" s="897"/>
      <c r="H12" s="65"/>
    </row>
    <row r="14" spans="2:8" ht="15.75" thickBot="1" x14ac:dyDescent="0.3"/>
    <row r="15" spans="2:8" ht="21" thickBot="1" x14ac:dyDescent="0.3">
      <c r="B15" s="883" t="s">
        <v>20</v>
      </c>
      <c r="C15" s="884"/>
      <c r="D15" s="884"/>
      <c r="E15" s="884"/>
      <c r="F15" s="884"/>
      <c r="G15" s="885"/>
    </row>
    <row r="16" spans="2:8" ht="18.75" x14ac:dyDescent="0.25">
      <c r="B16" s="71" t="s">
        <v>3</v>
      </c>
      <c r="C16" s="72" t="s">
        <v>4</v>
      </c>
      <c r="D16" s="72" t="s">
        <v>21</v>
      </c>
      <c r="E16" s="72" t="s">
        <v>5</v>
      </c>
      <c r="F16" s="72" t="s">
        <v>1</v>
      </c>
      <c r="G16" s="72" t="s">
        <v>6</v>
      </c>
    </row>
    <row r="17" spans="2:7" x14ac:dyDescent="0.25">
      <c r="B17" s="78" t="s">
        <v>268</v>
      </c>
      <c r="C17" s="74" t="str">
        <f>IF(ISBLANK('PF 6121F'!hdr_acft),"",'PF 6121F'!hdr_acft)</f>
        <v>T-38C</v>
      </c>
      <c r="D17" s="75">
        <f>IF(ISBLANK('PF 6121F'!hdr_time),"",'PF 6121F'!hdr_time)</f>
        <v>1.2</v>
      </c>
      <c r="E17" s="76" t="str">
        <f>IF(ISBLANK('PF 6121F'!hdr_instr),"",'PF 6121F'!hdr_instr)</f>
        <v>Patel</v>
      </c>
      <c r="F17" s="482">
        <f>IF(ISBLANK('PF 6121F'!grade),"",'PF 6121F'!grade)</f>
        <v>1</v>
      </c>
      <c r="G17" s="77">
        <f>IF(ISBLANK('PF 6121F'!hdr_date),"00-Jan-00",'PF 6121F'!hdr_date)</f>
        <v>46118</v>
      </c>
    </row>
    <row r="18" spans="2:7" x14ac:dyDescent="0.25">
      <c r="B18" s="81" t="s">
        <v>651</v>
      </c>
      <c r="C18" s="74" t="str">
        <f>IF(ISBLANK('PF 6221F'!hdr_acft),"",'PF 6221F'!hdr_acft)</f>
        <v>T-38C</v>
      </c>
      <c r="D18" s="75">
        <f>IF(ISBLANK('PF 6221F'!hdr_time),"",'PF 6221F'!hdr_time)</f>
        <v>1.1000000000000001</v>
      </c>
      <c r="E18" s="80" t="str">
        <f>IF(ISBLANK('PF 6221F'!hdr_instr),"",'PF 6221F'!hdr_instr)</f>
        <v>Heary</v>
      </c>
      <c r="F18" s="481">
        <f>IF(ISBLANK('PF 6221F'!grade),"",'PF 6221F'!grade)</f>
        <v>0.96500000000000008</v>
      </c>
      <c r="G18" s="77">
        <f>IF(ISBLANK('PF 6221F'!hdr_date),"00-Jan-00",'PF 6221F'!hdr_date)</f>
        <v>46147</v>
      </c>
    </row>
    <row r="19" spans="2:7" x14ac:dyDescent="0.25">
      <c r="B19" s="81" t="s">
        <v>724</v>
      </c>
      <c r="C19" s="74" t="str">
        <f>IF(ISBLANK('PF 7112F'!hdr_acft),"",'PF 7112F'!hdr_acft)</f>
        <v>F-16D / 6050</v>
      </c>
      <c r="D19" s="75">
        <f>IF(ISBLANK('PF 7112F'!hdr_time),"",'PF 7112F'!hdr_time)</f>
        <v>1.4</v>
      </c>
      <c r="E19" s="80" t="str">
        <f>IF(ISBLANK('PF 7112F'!hdr_instr),"",'PF 7112F'!hdr_instr)</f>
        <v>Smith, K</v>
      </c>
      <c r="F19" s="481">
        <f>IF(ISBLANK('PF 7112F'!grade),"",'PF 7112F'!grade)</f>
        <v>0.95090909090909104</v>
      </c>
      <c r="G19" s="77">
        <f>IF(ISBLANK('PF 7112F'!hdr_date),"00-Jan-00",'PF 7112F'!hdr_date)</f>
        <v>46093</v>
      </c>
    </row>
    <row r="20" spans="2:7" x14ac:dyDescent="0.25">
      <c r="B20" s="73" t="s">
        <v>928</v>
      </c>
      <c r="C20" s="74" t="str">
        <f>IF(ISBLANK('PF 8222F'!hdr_acft),"",'PF 8222F'!hdr_acft)</f>
        <v>F-16D / 378</v>
      </c>
      <c r="D20" s="75">
        <f>IF(ISBLANK('PF 8222F'!hdr_time),"",'PF 8222F'!hdr_time)</f>
        <v>1.1000000000000001</v>
      </c>
      <c r="E20" s="76" t="str">
        <f>IF(ISBLANK('PF 8222F'!hdr_instr),"",'PF 8222F'!hdr_instr)</f>
        <v>Killingsworth</v>
      </c>
      <c r="F20" s="482">
        <f>IF(ISBLANK('PF 8222F'!grade),"",'PF 8222F'!grade)</f>
        <v>0.94313461538461552</v>
      </c>
      <c r="G20" s="77">
        <f>IF(ISBLANK('PF 8222F'!hdr_date),"00-Jan-00",'PF 8222F'!hdr_date)</f>
        <v>46125</v>
      </c>
    </row>
    <row r="21" spans="2:7" x14ac:dyDescent="0.25">
      <c r="B21" s="81" t="s">
        <v>947</v>
      </c>
      <c r="C21" s="74" t="str">
        <f>IF(ISBLANK('PF 8231F'!hdr_acft),"",'PF 8231F'!hdr_acft)</f>
        <v>T-38C</v>
      </c>
      <c r="D21" s="75">
        <f>IF(ISBLANK('PF 8231F'!hdr_time),"",'PF 8231F'!hdr_time)</f>
        <v>1.1000000000000001</v>
      </c>
      <c r="E21" s="80" t="str">
        <f>IF(ISBLANK('PF 8231F'!hdr_instr),"",'PF 8231F'!hdr_instr)</f>
        <v>Hutcheson</v>
      </c>
      <c r="F21" s="481">
        <f>IF(ISBLANK('PF 8231F'!grade),"",'PF 8231F'!grade)</f>
        <v>0.91340833333333327</v>
      </c>
      <c r="G21" s="77">
        <f>IF(ISBLANK('PF 8231F'!hdr_date),"00-Jan-00",'PF 8231F'!hdr_date)</f>
        <v>46111</v>
      </c>
    </row>
    <row r="22" spans="2:7" x14ac:dyDescent="0.25">
      <c r="B22" s="73" t="s">
        <v>733</v>
      </c>
      <c r="C22" s="74" t="str">
        <f>IF(ISBLANK('PF 8332F'!hdr_acft),"",'PF 8332F'!hdr_acft)</f>
        <v/>
      </c>
      <c r="D22" s="75" t="str">
        <f>IF(ISBLANK('PF 8332F'!hdr_time),"",'PF 8332F'!hdr_time)</f>
        <v/>
      </c>
      <c r="E22" s="76" t="str">
        <f>IF(ISBLANK('PF 8332F'!hdr_instr),"",'PF 8332F'!hdr_instr)</f>
        <v/>
      </c>
      <c r="F22" s="482" t="str">
        <f>IF(ISBLANK('PF 8332F'!grade),"",'PF 8332F'!grade)</f>
        <v>0</v>
      </c>
      <c r="G22" s="77" t="str">
        <f>IF(ISBLANK('PF 8332F'!hdr_date),"00-Jan-00",'PF 8332F'!hdr_date)</f>
        <v>00-Jan-00</v>
      </c>
    </row>
    <row r="23" spans="2:7" x14ac:dyDescent="0.25">
      <c r="B23" s="73" t="s">
        <v>497</v>
      </c>
      <c r="C23" s="74" t="str">
        <f>IF(ISBLANK('FQ 6241F'!hdr_acft),"",'FQ 6241F'!hdr_acft)</f>
        <v>C-12C/215</v>
      </c>
      <c r="D23" s="75">
        <f>IF(ISBLANK('FQ 6241F'!hdr_time),"",'FQ 6241F'!hdr_time)</f>
        <v>2.5</v>
      </c>
      <c r="E23" s="76" t="str">
        <f>IF(ISBLANK('FQ 6241F'!hdr_instr),"",'FQ 6241F'!hdr_instr)</f>
        <v>Sick</v>
      </c>
      <c r="F23" s="482">
        <f>IF(ISBLANK('FQ 6241F'!grade),"",'FQ 6241F'!grade)</f>
        <v>0.93972727272727274</v>
      </c>
      <c r="G23" s="77">
        <f>IF(ISBLANK('FQ 6241F'!hdr_date),"00-Jan-00",'FQ 6241F'!hdr_date)</f>
        <v>46171</v>
      </c>
    </row>
    <row r="24" spans="2:7" x14ac:dyDescent="0.25">
      <c r="B24" s="73" t="s">
        <v>761</v>
      </c>
      <c r="C24" s="74" t="str">
        <f>IF(ISBLANK('FQ 6251F'!hdr_acft),"",'FQ 6251F'!hdr_acft)</f>
        <v/>
      </c>
      <c r="D24" s="75" t="str">
        <f>IF(ISBLANK('FQ 6251F'!hdr_time),"",'FQ 6251F'!hdr_time)</f>
        <v/>
      </c>
      <c r="E24" s="76" t="str">
        <f>IF(ISBLANK('FQ 6251F'!hdr_instr),"",'FQ 6251F'!hdr_instr)</f>
        <v/>
      </c>
      <c r="F24" s="482" t="str">
        <f>IF(ISBLANK('FQ 6251F'!grade),"",'FQ 6251F'!grade)</f>
        <v>0</v>
      </c>
      <c r="G24" s="77" t="str">
        <f>IF(ISBLANK('FQ 6251F'!hdr_date),"00-Jan-00",'FQ 6251F'!hdr_date)</f>
        <v>00-Jan-00</v>
      </c>
    </row>
    <row r="25" spans="2:7" x14ac:dyDescent="0.25">
      <c r="B25" s="81" t="s">
        <v>689</v>
      </c>
      <c r="C25" s="74" t="str">
        <f>IF(ISBLANK('FQ 7232F'!hdr_acft),"",'FQ 7232F'!hdr_acft)</f>
        <v/>
      </c>
      <c r="D25" s="75" t="str">
        <f>IF(ISBLANK('FQ 7232F'!hdr_time),"",'FQ 7232F'!hdr_time)</f>
        <v/>
      </c>
      <c r="E25" s="80" t="str">
        <f>IF(ISBLANK('FQ 7232F'!hdr_instr),"",'FQ 7232F'!hdr_instr)</f>
        <v/>
      </c>
      <c r="F25" s="481" t="str">
        <f>IF(ISBLANK('FQ 7232F'!grade),"",'FQ 7232F'!grade)</f>
        <v>0</v>
      </c>
      <c r="G25" s="77" t="str">
        <f>IF(ISBLANK('FQ 7232F'!hdr_date),"00-Jan-00",'FQ 7232F'!hdr_date)</f>
        <v>00-Jan-00</v>
      </c>
    </row>
    <row r="26" spans="2:7" x14ac:dyDescent="0.25">
      <c r="B26" s="81" t="s">
        <v>546</v>
      </c>
      <c r="C26" s="74" t="str">
        <f>IF(ISBLANK('FQ 8121F'!hdr_acft),"",'FQ 8121F'!hdr_acft)</f>
        <v/>
      </c>
      <c r="D26" s="75" t="str">
        <f>IF(ISBLANK('FQ 8121F'!hdr_time),"",'FQ 8121F'!hdr_time)</f>
        <v/>
      </c>
      <c r="E26" s="80" t="str">
        <f>IF(ISBLANK('FQ 8121F'!hdr_instr),"",'FQ 8121F'!hdr_instr)</f>
        <v/>
      </c>
      <c r="F26" s="481" t="str">
        <f>IF(ISBLANK('FQ 8121F'!grade),"",'FQ 8121F'!grade)</f>
        <v>0</v>
      </c>
      <c r="G26" s="77" t="str">
        <f>IF(ISBLANK('FQ 8121F'!hdr_date),"00-Jan-00",'FQ 8121F'!hdr_date)</f>
        <v>00-Jan-00</v>
      </c>
    </row>
    <row r="27" spans="2:7" x14ac:dyDescent="0.25">
      <c r="B27" s="81" t="s">
        <v>775</v>
      </c>
      <c r="C27" s="74" t="str">
        <f>IF(ISBLANK('FQ 8141F'!hdr_acft),"",'FQ 8141F'!hdr_acft)</f>
        <v/>
      </c>
      <c r="D27" s="75" t="str">
        <f>IF(ISBLANK('FQ 8141F'!hdr_time),"",'FQ 8141F'!hdr_time)</f>
        <v/>
      </c>
      <c r="E27" s="80" t="str">
        <f>IF(ISBLANK('FQ 8141F'!hdr_instr),"",'FQ 8141F'!hdr_instr)</f>
        <v/>
      </c>
      <c r="F27" s="481" t="str">
        <f>IF(ISBLANK('FQ 8141F'!grade),"",'FQ 8141F'!grade)</f>
        <v>0</v>
      </c>
      <c r="G27" s="77" t="str">
        <f>IF(ISBLANK('FQ 8141F'!hdr_date),"00-Jan-00",'FQ 8141F'!hdr_date)</f>
        <v>00-Jan-00</v>
      </c>
    </row>
    <row r="28" spans="2:7" x14ac:dyDescent="0.25">
      <c r="B28" s="81" t="s">
        <v>588</v>
      </c>
      <c r="C28" s="74" t="str">
        <f>IF(ISBLANK('FQ 9111F'!hdr_acft),"",'FQ 9111F'!hdr_acft)</f>
        <v/>
      </c>
      <c r="D28" s="75" t="str">
        <f>IF(ISBLANK('FQ 9111F'!hdr_time),"",'FQ 9111F'!hdr_time)</f>
        <v/>
      </c>
      <c r="E28" s="80" t="str">
        <f>IF(ISBLANK('FQ 9111F'!hdr_instr),"",'FQ 9111F'!hdr_instr)</f>
        <v/>
      </c>
      <c r="F28" s="481" t="str">
        <f>IF(ISBLANK('FQ 9111F'!grade),"",'FQ 9111F'!grade)</f>
        <v>0</v>
      </c>
      <c r="G28" s="77" t="str">
        <f>IF(ISBLANK('FQ 9111F'!hdr_date),"00-Jan-00",'FQ 9111F'!hdr_date)</f>
        <v>00-Jan-00</v>
      </c>
    </row>
    <row r="29" spans="2:7" x14ac:dyDescent="0.25">
      <c r="B29" s="81" t="s">
        <v>789</v>
      </c>
      <c r="C29" s="74" t="str">
        <f>IF(ISBLANK('FQ 9211F'!hdr_acft),"",'FQ 9211F'!hdr_acft)</f>
        <v/>
      </c>
      <c r="D29" s="75" t="str">
        <f>IF(ISBLANK('FQ 9211F'!hdr_time),"",'FQ 9211F'!hdr_time)</f>
        <v/>
      </c>
      <c r="E29" s="80" t="str">
        <f>IF(ISBLANK('FQ 9211F'!hdr_instr),"",'FQ 9211F'!hdr_instr)</f>
        <v/>
      </c>
      <c r="F29" s="481" t="str">
        <f>IF(ISBLANK('FQ 9211F'!grade),"",'FQ 9211F'!grade)</f>
        <v>0</v>
      </c>
      <c r="G29" s="77" t="str">
        <f>IF(ISBLANK('FQ 9211F'!hdr_date),"00-Jan-00",'FQ 9211F'!hdr_date)</f>
        <v>00-Jan-00</v>
      </c>
    </row>
    <row r="30" spans="2:7" x14ac:dyDescent="0.25">
      <c r="B30" s="81" t="s">
        <v>793</v>
      </c>
      <c r="C30" s="74" t="str">
        <f>IF(ISBLANK('FQ 9221F'!hdr_acft),"",'FQ 9221F'!hdr_acft)</f>
        <v/>
      </c>
      <c r="D30" s="75" t="str">
        <f>IF(ISBLANK('FQ 9221F'!hdr_time),"",'FQ 9221F'!hdr_time)</f>
        <v/>
      </c>
      <c r="E30" s="80" t="str">
        <f>IF(ISBLANK('FQ 9221F'!hdr_instr),"",'FQ 9221F'!hdr_instr)</f>
        <v/>
      </c>
      <c r="F30" s="481" t="str">
        <f>IF(ISBLANK('FQ 9221F'!grade),"",'FQ 9221F'!grade)</f>
        <v>0</v>
      </c>
      <c r="G30" s="77" t="str">
        <f>IF(ISBLANK('FQ 9221F'!hdr_date),"00-Jan-00",'FQ 9221F'!hdr_date)</f>
        <v>00-Jan-00</v>
      </c>
    </row>
    <row r="31" spans="2:7" ht="30" x14ac:dyDescent="0.25">
      <c r="B31" s="81" t="s">
        <v>927</v>
      </c>
      <c r="C31" s="74" t="str">
        <f>IF(ISBLANK('FQ 9246F'!hdr_acft),"",'FQ 9246F'!hdr_acft)</f>
        <v/>
      </c>
      <c r="D31" s="75" t="str">
        <f>IF(ISBLANK('FQ 9246F'!hdr_time),"",'FQ 9246F'!hdr_time)</f>
        <v/>
      </c>
      <c r="E31" s="80" t="str">
        <f>IF(ISBLANK('FQ 9246F'!hdr_instr),"",'FQ 9246F'!hdr_instr)</f>
        <v/>
      </c>
      <c r="F31" s="481" t="str">
        <f>IF(ISBLANK('FQ 9246F'!grade),"",'FQ 9246F'!grade)</f>
        <v>0</v>
      </c>
      <c r="G31" s="77" t="str">
        <f>IF(ISBLANK('FQ 9246F'!hdr_date),"00-Jan-00",'FQ 9246F'!hdr_date)</f>
        <v>00-Jan-00</v>
      </c>
    </row>
    <row r="32" spans="2:7" x14ac:dyDescent="0.25">
      <c r="B32" s="81" t="s">
        <v>804</v>
      </c>
      <c r="C32" s="74" t="str">
        <f>IF(ISBLANK('FQ 9511F'!hdr_acft),"",'FQ 9511F'!hdr_acft)</f>
        <v>T-38C</v>
      </c>
      <c r="D32" s="75" t="str">
        <f>IF(ISBLANK('FQ 9511F'!hdr_time),"",'FQ 9511F'!hdr_time)</f>
        <v/>
      </c>
      <c r="E32" s="80" t="str">
        <f>IF(ISBLANK('FQ 9511F'!hdr_instr),"",'FQ 9511F'!hdr_instr)</f>
        <v/>
      </c>
      <c r="F32" s="481" t="str">
        <f>IF(ISBLANK('FQ 9511F'!grade),"",'FQ 9511F'!grade)</f>
        <v>0</v>
      </c>
      <c r="G32" s="77" t="str">
        <f>IF(ISBLANK('FQ 9511F'!hdr_date),"00-Jan-00",'FQ 9511F'!hdr_date)</f>
        <v>00-Jan-00</v>
      </c>
    </row>
    <row r="33" spans="2:7" x14ac:dyDescent="0.25">
      <c r="B33" s="81" t="s">
        <v>604</v>
      </c>
      <c r="C33" s="74" t="str">
        <f>IF(ISBLANK('SY 6131F'!hdr_acft),"",'SY 6131F'!hdr_acft)</f>
        <v/>
      </c>
      <c r="D33" s="75" t="str">
        <f>IF(ISBLANK('SY 6131F'!hdr_time),"",'SY 6131F'!hdr_time)</f>
        <v/>
      </c>
      <c r="E33" s="80" t="str">
        <f>IF(ISBLANK('SY 6131F'!hdr_instr),"",'SY 6131F'!hdr_instr)</f>
        <v/>
      </c>
      <c r="F33" s="481" t="str">
        <f>IF(ISBLANK('SY 6131F'!grade),"",'SY 6131F'!grade)</f>
        <v>0</v>
      </c>
      <c r="G33" s="77" t="str">
        <f>IF(ISBLANK('SY 6131F'!hdr_date),"00-Jan-00",'SY 6131F'!hdr_date)</f>
        <v>00-Jan-00</v>
      </c>
    </row>
    <row r="34" spans="2:7" x14ac:dyDescent="0.25">
      <c r="B34" s="81" t="s">
        <v>709</v>
      </c>
      <c r="C34" s="74" t="str">
        <f>IF(ISBLANK('SY 7212F'!hdr_acft),"",'SY 7212F'!hdr_acft)</f>
        <v/>
      </c>
      <c r="D34" s="75" t="str">
        <f>IF(ISBLANK('SY 7212F'!hdr_time),"",'SY 7212F'!hdr_time)</f>
        <v/>
      </c>
      <c r="E34" s="80" t="str">
        <f>IF(ISBLANK('SY 7212F'!hdr_instr),"",'SY 7212F'!hdr_instr)</f>
        <v/>
      </c>
      <c r="F34" s="481" t="str">
        <f>IF(ISBLANK('SY 7212F'!grade),"",'SY 7212F'!grade)</f>
        <v>0</v>
      </c>
      <c r="G34" s="77" t="str">
        <f>IF(ISBLANK('SY 7212F'!hdr_date),"00-Jan-00",'SY 7212F'!hdr_date)</f>
        <v>00-Jan-00</v>
      </c>
    </row>
    <row r="35" spans="2:7" x14ac:dyDescent="0.25">
      <c r="B35" s="81" t="s">
        <v>824</v>
      </c>
      <c r="C35" s="74" t="str">
        <f>IF(ISBLANK('SY 7511F'!hdr_acft),"",'SY 7511F'!hdr_acft)</f>
        <v/>
      </c>
      <c r="D35" s="75" t="str">
        <f>IF(ISBLANK('SY 7511F'!hdr_time),"",'SY 7511F'!hdr_time)</f>
        <v/>
      </c>
      <c r="E35" s="80" t="str">
        <f>IF(ISBLANK('SY 7511F'!hdr_instr),"",'SY 7511F'!hdr_instr)</f>
        <v/>
      </c>
      <c r="F35" s="481" t="str">
        <f>IF(ISBLANK('SY 7511F'!grade),"",'SY 7511F'!grade)</f>
        <v>0</v>
      </c>
      <c r="G35" s="77" t="str">
        <f>IF(ISBLANK('SY 7511F'!hdr_date),"00-Jan-00",'SY 7511F'!hdr_date)</f>
        <v>00-Jan-00</v>
      </c>
    </row>
    <row r="36" spans="2:7" x14ac:dyDescent="0.25">
      <c r="B36" s="81" t="s">
        <v>624</v>
      </c>
      <c r="C36" s="74" t="str">
        <f>IF(ISBLANK('TF 6241F'!hdr_acft),"",'TF 6241F'!hdr_acft)</f>
        <v>C-12/0158</v>
      </c>
      <c r="D36" s="75">
        <f>IF(ISBLANK('TF 6241F'!hdr_time),"",'TF 6241F'!hdr_time)</f>
        <v>2.1</v>
      </c>
      <c r="E36" s="80" t="str">
        <f>IF(ISBLANK('TF 6241F'!hdr_instr),"",'TF 6241F'!hdr_instr)</f>
        <v>Ames</v>
      </c>
      <c r="F36" s="481">
        <f>IF(ISBLANK('TF 6241F'!grade),"",'TF 6241F'!grade)</f>
        <v>0.95300000000000007</v>
      </c>
      <c r="G36" s="77">
        <f>IF(ISBLANK('TF 6241F'!hdr_date),"00-Jan-00",'TF 6241F'!hdr_date)</f>
        <v>46113</v>
      </c>
    </row>
    <row r="37" spans="2:7" x14ac:dyDescent="0.25">
      <c r="B37" s="81" t="s">
        <v>625</v>
      </c>
      <c r="C37" s="74" t="str">
        <f>IF(ISBLANK('TF 6251F'!hdr_acft),"",'TF 6251F'!hdr_acft)</f>
        <v>C-12C/215</v>
      </c>
      <c r="D37" s="75">
        <f>IF(ISBLANK('TF 6251F'!hdr_time),"",'TF 6251F'!hdr_time)</f>
        <v>1.8</v>
      </c>
      <c r="E37" s="80" t="str">
        <f>IF(ISBLANK('TF 6251F'!hdr_instr),"",'TF 6251F'!hdr_instr)</f>
        <v>Sick</v>
      </c>
      <c r="F37" s="481">
        <f>IF(ISBLANK('TF 6251F'!grade),"",'TF 6251F'!grade)</f>
        <v>0.84</v>
      </c>
      <c r="G37" s="77">
        <f>IF(ISBLANK('TF 6251F'!hdr_date),"00-Jan-00",'TF 6251F'!hdr_date)</f>
        <v>46160</v>
      </c>
    </row>
    <row r="38" spans="2:7" x14ac:dyDescent="0.25">
      <c r="B38" s="81"/>
      <c r="C38" s="74"/>
      <c r="D38" s="75"/>
      <c r="E38" s="80"/>
      <c r="F38" s="481"/>
      <c r="G38" s="77"/>
    </row>
    <row r="39" spans="2:7" x14ac:dyDescent="0.25">
      <c r="B39" s="81"/>
      <c r="C39" s="74"/>
      <c r="D39" s="75"/>
      <c r="E39" s="80"/>
      <c r="F39" s="481"/>
      <c r="G39" s="77"/>
    </row>
    <row r="40" spans="2:7" x14ac:dyDescent="0.25">
      <c r="B40" s="81"/>
      <c r="C40" s="74"/>
      <c r="D40" s="75"/>
      <c r="E40" s="80"/>
      <c r="F40" s="481"/>
      <c r="G40" s="77"/>
    </row>
    <row r="41" spans="2:7" x14ac:dyDescent="0.25">
      <c r="B41" s="81"/>
      <c r="C41" s="74"/>
      <c r="D41" s="75"/>
      <c r="E41" s="80"/>
      <c r="F41" s="481"/>
      <c r="G41" s="77"/>
    </row>
    <row r="42" spans="2:7" x14ac:dyDescent="0.25">
      <c r="B42" s="79"/>
      <c r="C42" s="74"/>
      <c r="D42" s="75"/>
      <c r="E42" s="80"/>
      <c r="F42" s="481"/>
      <c r="G42" s="77"/>
    </row>
    <row r="43" spans="2:7" x14ac:dyDescent="0.25">
      <c r="B43" s="79"/>
      <c r="C43" s="74"/>
      <c r="D43" s="75"/>
      <c r="E43" s="80"/>
      <c r="F43" s="481"/>
      <c r="G43" s="77"/>
    </row>
    <row r="44" spans="2:7" x14ac:dyDescent="0.25">
      <c r="B44" s="79"/>
      <c r="C44" s="74"/>
      <c r="D44" s="75"/>
      <c r="E44" s="80"/>
      <c r="F44" s="481"/>
      <c r="G44" s="77"/>
    </row>
    <row r="45" spans="2:7" x14ac:dyDescent="0.25">
      <c r="B45" s="79"/>
      <c r="C45" s="74"/>
      <c r="D45" s="75"/>
      <c r="E45" s="80"/>
      <c r="F45" s="481"/>
      <c r="G45" s="77"/>
    </row>
    <row r="46" spans="2:7" x14ac:dyDescent="0.25">
      <c r="B46" s="79"/>
      <c r="C46" s="74"/>
      <c r="D46" s="75"/>
      <c r="E46" s="80"/>
      <c r="F46" s="481"/>
      <c r="G46" s="77"/>
    </row>
    <row r="47" spans="2:7" x14ac:dyDescent="0.25">
      <c r="B47" s="79"/>
      <c r="C47" s="74"/>
      <c r="D47" s="75"/>
      <c r="E47" s="80"/>
      <c r="F47" s="481"/>
      <c r="G47" s="77"/>
    </row>
    <row r="48" spans="2:7" x14ac:dyDescent="0.25">
      <c r="B48" s="79"/>
      <c r="C48" s="74"/>
      <c r="D48" s="75"/>
      <c r="E48" s="80"/>
      <c r="F48" s="481"/>
      <c r="G48" s="77"/>
    </row>
    <row r="49" spans="2:7" x14ac:dyDescent="0.25">
      <c r="B49" s="79"/>
      <c r="C49" s="74"/>
      <c r="D49" s="75"/>
      <c r="E49" s="80"/>
      <c r="F49" s="481"/>
      <c r="G49" s="77"/>
    </row>
    <row r="50" spans="2:7" x14ac:dyDescent="0.25">
      <c r="B50" s="79"/>
      <c r="C50" s="74"/>
      <c r="D50" s="75"/>
      <c r="E50" s="80"/>
      <c r="F50" s="481"/>
      <c r="G50" s="77"/>
    </row>
    <row r="51" spans="2:7" x14ac:dyDescent="0.25">
      <c r="B51" s="79"/>
      <c r="C51" s="74"/>
      <c r="D51" s="75"/>
      <c r="E51" s="80"/>
      <c r="F51" s="481"/>
      <c r="G51" s="77"/>
    </row>
    <row r="52" spans="2:7" x14ac:dyDescent="0.25">
      <c r="B52" s="79"/>
      <c r="C52" s="74"/>
      <c r="D52" s="75"/>
      <c r="E52" s="80"/>
      <c r="F52" s="481"/>
      <c r="G52" s="77"/>
    </row>
    <row r="53" spans="2:7" x14ac:dyDescent="0.25">
      <c r="B53" s="79"/>
      <c r="C53" s="74"/>
      <c r="D53" s="75"/>
      <c r="E53" s="80"/>
      <c r="F53" s="481"/>
      <c r="G53" s="77"/>
    </row>
    <row r="54" spans="2:7" x14ac:dyDescent="0.25">
      <c r="B54" s="79"/>
      <c r="C54" s="74"/>
      <c r="D54" s="75"/>
      <c r="E54" s="80"/>
      <c r="F54" s="481"/>
      <c r="G54" s="77"/>
    </row>
    <row r="55" spans="2:7" x14ac:dyDescent="0.25">
      <c r="B55" s="79"/>
      <c r="C55" s="74"/>
      <c r="D55" s="75"/>
      <c r="E55" s="80"/>
      <c r="F55" s="481"/>
      <c r="G55" s="77"/>
    </row>
    <row r="56" spans="2:7" x14ac:dyDescent="0.25">
      <c r="B56" s="79"/>
      <c r="C56" s="74"/>
      <c r="D56" s="75"/>
      <c r="E56" s="80"/>
      <c r="F56" s="481"/>
      <c r="G56" s="77"/>
    </row>
    <row r="57" spans="2:7" x14ac:dyDescent="0.25">
      <c r="B57" s="79"/>
      <c r="C57" s="74"/>
      <c r="D57" s="75"/>
      <c r="E57" s="80"/>
      <c r="F57" s="481"/>
      <c r="G57" s="77"/>
    </row>
    <row r="58" spans="2:7" x14ac:dyDescent="0.25">
      <c r="B58" s="79"/>
      <c r="C58" s="74"/>
      <c r="D58" s="75"/>
      <c r="E58" s="80"/>
      <c r="F58" s="481"/>
      <c r="G58" s="77"/>
    </row>
    <row r="59" spans="2:7" x14ac:dyDescent="0.25">
      <c r="B59" s="79"/>
      <c r="C59" s="74"/>
      <c r="D59" s="75"/>
      <c r="E59" s="80"/>
      <c r="F59" s="481"/>
      <c r="G59" s="77"/>
    </row>
    <row r="60" spans="2:7" x14ac:dyDescent="0.25">
      <c r="B60" s="79"/>
      <c r="C60" s="74"/>
      <c r="D60" s="75"/>
      <c r="E60" s="80"/>
      <c r="F60" s="481"/>
      <c r="G60" s="77"/>
    </row>
    <row r="61" spans="2:7" x14ac:dyDescent="0.25">
      <c r="B61" s="79"/>
      <c r="C61" s="74"/>
      <c r="D61" s="75"/>
      <c r="E61" s="80"/>
      <c r="F61" s="481"/>
      <c r="G61" s="77"/>
    </row>
    <row r="62" spans="2:7" x14ac:dyDescent="0.25">
      <c r="B62" s="79"/>
      <c r="C62" s="74"/>
      <c r="D62" s="75"/>
      <c r="E62" s="80"/>
      <c r="F62" s="481"/>
      <c r="G62" s="77"/>
    </row>
    <row r="63" spans="2:7" x14ac:dyDescent="0.25">
      <c r="B63" s="79"/>
      <c r="C63" s="74"/>
      <c r="D63" s="75"/>
      <c r="E63" s="80"/>
      <c r="F63" s="481"/>
      <c r="G63" s="77"/>
    </row>
    <row r="64" spans="2:7" x14ac:dyDescent="0.25">
      <c r="B64" s="79"/>
      <c r="C64" s="74"/>
      <c r="D64" s="75"/>
      <c r="E64" s="80"/>
      <c r="F64" s="481"/>
      <c r="G64" s="77"/>
    </row>
    <row r="65" spans="2:7" x14ac:dyDescent="0.25">
      <c r="B65" s="79"/>
      <c r="C65" s="74"/>
      <c r="D65" s="75"/>
      <c r="E65" s="80"/>
      <c r="F65" s="481"/>
      <c r="G65" s="77"/>
    </row>
    <row r="66" spans="2:7" x14ac:dyDescent="0.25">
      <c r="B66" s="79"/>
      <c r="C66" s="74"/>
      <c r="D66" s="75"/>
      <c r="E66" s="80"/>
      <c r="F66" s="481"/>
      <c r="G66" s="77"/>
    </row>
    <row r="67" spans="2:7" x14ac:dyDescent="0.25">
      <c r="B67" s="79"/>
      <c r="C67" s="74"/>
      <c r="D67" s="75"/>
      <c r="E67" s="80"/>
      <c r="F67" s="481"/>
      <c r="G67" s="77"/>
    </row>
    <row r="68" spans="2:7" x14ac:dyDescent="0.25">
      <c r="B68" s="79"/>
      <c r="C68" s="74"/>
      <c r="D68" s="75"/>
      <c r="E68" s="80"/>
      <c r="F68" s="481"/>
      <c r="G68" s="77"/>
    </row>
    <row r="69" spans="2:7" x14ac:dyDescent="0.25">
      <c r="B69" s="79"/>
      <c r="C69" s="74"/>
      <c r="D69" s="75"/>
      <c r="E69" s="80"/>
      <c r="F69" s="481"/>
      <c r="G69" s="77"/>
    </row>
  </sheetData>
  <sortState xmlns:xlrd2="http://schemas.microsoft.com/office/spreadsheetml/2017/richdata2" ref="B16:G17">
    <sortCondition descending="1" ref="G16:G17"/>
  </sortState>
  <mergeCells count="15">
    <mergeCell ref="B15:G15"/>
    <mergeCell ref="B8:H8"/>
    <mergeCell ref="B2:G2"/>
    <mergeCell ref="D3:E3"/>
    <mergeCell ref="D4:E4"/>
    <mergeCell ref="D5:E5"/>
    <mergeCell ref="D6:E6"/>
    <mergeCell ref="D12:E12"/>
    <mergeCell ref="F12:G12"/>
    <mergeCell ref="D9:E9"/>
    <mergeCell ref="F9:G9"/>
    <mergeCell ref="D10:E10"/>
    <mergeCell ref="F10:G10"/>
    <mergeCell ref="D11:E11"/>
    <mergeCell ref="F11:G11"/>
  </mergeCells>
  <conditionalFormatting sqref="G17:G69">
    <cfRule type="cellIs" dxfId="427" priority="2" operator="equal">
      <formula>"00-Jan-00"</formula>
    </cfRule>
  </conditionalFormatting>
  <conditionalFormatting sqref="F17:F69">
    <cfRule type="cellIs" dxfId="426" priority="1" operator="equal">
      <formula>0</formula>
    </cfRule>
    <cfRule type="containsBlanks" dxfId="425" priority="3">
      <formula>LEN(TRIM(F17))=0</formula>
    </cfRule>
  </conditionalFormatting>
  <hyperlinks>
    <hyperlink ref="B17" location="'PF 6121F'!A1" display="PF 6121F T-38 Low L/D Flight" xr:uid="{AC0F5C58-02E7-4A04-863D-3FF355C4D1E5}"/>
    <hyperlink ref="B18" location="'PF 6221F'!A1" display="PF 6221F T-38 Aerodynamic Modeling Flight (CSO/P/RPA)" xr:uid="{B57CEF79-5456-49D5-97FA-ED706BB1990E}"/>
    <hyperlink ref="B19" location="'PF 7112F'!A1" display="PF 7112F F-16/T-38 Tower Flyby Flight (P)" xr:uid="{C793E731-A4E6-462B-AECE-1D827462C70D}"/>
    <hyperlink ref="B20" location="'PF 8222F'!A1" display="PF 8222F – T-38 Turn Performance Flight (P/RPA)" xr:uid="{FEBC20B9-C16D-4BC3-AECF-E7C536F9453A}"/>
    <hyperlink ref="B21" location="'PF 8231F'!A1" display="PF 8231F – T-38 Level Accel/Sawtooth Climb Flight (P/RPA)" xr:uid="{3AFA44BC-FD11-43BD-AF14-FF8B2ADA6ECC}"/>
    <hyperlink ref="B22" location="'PF 8332F'!A1" display="PF 8332F Multi-Engine Performance Practical (ABM/FTE/P)" xr:uid="{B3361AD6-4405-483B-AAFD-3B71CD587555}"/>
    <hyperlink ref="B23" location="'FQ 6241F'!A1" display="FQ 6241F C-12 Static Stability Flight" xr:uid="{975E094F-6C9B-4B18-A523-4235268A45ED}"/>
    <hyperlink ref="B24" location="'FQ 6251F'!A1" display="FQ 6251F T-38 Dynamics Flight" xr:uid="{401CBA6A-6264-4289-9AB0-CF26921F9FCF}"/>
    <hyperlink ref="B25" location="'FQ 7232F'!A1" display="FQ 7232F F-16 Structures Envelope Expansion (CSO/P/RPA)" xr:uid="{F7C3598F-F6D3-499B-A207-36EA1DA1B78B}"/>
    <hyperlink ref="B26" location="'FQ 8121F'!A1" display="FQ 8121F C-12 Multi-Engine Handling Qualities Flight" xr:uid="{80D013DE-8E87-46BA-944A-42D3541448CB}"/>
    <hyperlink ref="B27" location="'FQ 8141F'!A1" display="FQ 8141F T-38 Handling Qualities Flight (P/RPA)" xr:uid="{9250C81F-733E-4318-BD1B-B08F48C7EBD5}"/>
    <hyperlink ref="B28" location="'FQ 9111F'!A1" display="FQ 9111F KC-135/C-12 Engine Out Testing Flight" xr:uid="{F54E6D78-2B17-4F42-8CDF-F79B868AE7B5}"/>
    <hyperlink ref="B29" location="'FQ 9211F'!A1" display="FQ 9211 Glider Spin Flight" xr:uid="{C1BAC504-2331-491E-96CC-21E40074B877}"/>
    <hyperlink ref="B30" location="'FQ 9221F'!A1" display="FQ 9221F T-38 Stall Flight (P/RPA)" xr:uid="{EDA37615-698C-405D-8150-6613982174DF}"/>
    <hyperlink ref="B31" location="'FQ 9246F'!A1" display="FQ 9246F F-16 High AOA Envelope Expansion Data Flight (CSO/P/RPA)  " xr:uid="{4ACE2E3F-3EBF-4B9A-BAAE-58B038E8B944}"/>
    <hyperlink ref="B32" location="'FQ 9511F'!A1" display="FQ 9511F T-38 Flying Qualities Practical Exam (P)" xr:uid="{D8C100BD-BE21-4619-ABA8-42C7C4AD5E65}"/>
    <hyperlink ref="B33" location="'SY 6131F'!A1" display="SY 6131F F-16 Sensors Flight (FTC)" xr:uid="{63895C8A-8AD2-4CCF-A29E-598A18D37D30}"/>
    <hyperlink ref="B34" location="'SY 7212F'!A1" display="SY 7212F F-16 Weapons Delivery Flight (CSO/P/RPA) " xr:uid="{4A6B0E69-7971-4766-9CC4-BD2485FB185D}"/>
    <hyperlink ref="B35" location="'SY 7511F'!A1" display="SY 7511F F-16 Systems Practical Exam Flight (P)" xr:uid="{3F7D19D1-D37B-4114-B941-F076FB97EF44}"/>
    <hyperlink ref="B36" location="'TF 6241F'!A1" display="TF 6241F C-12 Airborne Test Conduct Intro" xr:uid="{DE8C936D-44FA-459A-90B5-156582C72A78}"/>
    <hyperlink ref="B37" location="'TF 6251F'!A1" display="TF 6251F C-12 Intermediate Airborne Test Conduct (FTC)" xr:uid="{72924F9F-27F7-4DD0-B15B-21F9DC07CB87}"/>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ortDate">
                <anchor moveWithCells="1" sizeWithCells="1">
                  <from>
                    <xdr:col>7</xdr:col>
                    <xdr:colOff>457200</xdr:colOff>
                    <xdr:row>14</xdr:row>
                    <xdr:rowOff>190500</xdr:rowOff>
                  </from>
                  <to>
                    <xdr:col>7</xdr:col>
                    <xdr:colOff>1781175</xdr:colOff>
                    <xdr:row>16</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2F2783-4E1F-42F7-A499-AF9404C05A08}">
  <sheetPr codeName="Sheet5">
    <pageSetUpPr fitToPage="1"/>
  </sheetPr>
  <dimension ref="A1:E25"/>
  <sheetViews>
    <sheetView workbookViewId="0">
      <selection activeCell="C3" sqref="C3"/>
    </sheetView>
  </sheetViews>
  <sheetFormatPr defaultRowHeight="15" x14ac:dyDescent="0.25"/>
  <cols>
    <col min="1" max="1" width="13.42578125" customWidth="1"/>
    <col min="2" max="2" width="22.28515625" customWidth="1"/>
    <col min="3" max="3" width="41.5703125" customWidth="1"/>
    <col min="4" max="4" width="41.28515625" customWidth="1"/>
    <col min="5" max="5" width="24.7109375" customWidth="1"/>
  </cols>
  <sheetData>
    <row r="1" spans="1:5" ht="18.75" x14ac:dyDescent="0.3">
      <c r="A1" s="43" t="s">
        <v>22</v>
      </c>
      <c r="C1" s="44" t="s">
        <v>1025</v>
      </c>
    </row>
    <row r="2" spans="1:5" ht="18.75" x14ac:dyDescent="0.3">
      <c r="A2" s="43" t="s">
        <v>23</v>
      </c>
      <c r="C2" s="44" t="s">
        <v>721</v>
      </c>
    </row>
    <row r="3" spans="1:5" ht="18.75" x14ac:dyDescent="0.3">
      <c r="A3" s="43" t="s">
        <v>0</v>
      </c>
      <c r="C3" s="44" t="s">
        <v>926</v>
      </c>
    </row>
    <row r="4" spans="1:5" ht="15.75" thickBot="1" x14ac:dyDescent="0.3"/>
    <row r="5" spans="1:5" s="17" customFormat="1" ht="39.950000000000003" customHeight="1" thickBot="1" x14ac:dyDescent="0.35">
      <c r="A5" s="22" t="s">
        <v>6</v>
      </c>
      <c r="B5" s="23" t="s">
        <v>12</v>
      </c>
      <c r="C5" s="23" t="s">
        <v>17</v>
      </c>
      <c r="D5" s="23" t="s">
        <v>18</v>
      </c>
      <c r="E5" s="24" t="s">
        <v>19</v>
      </c>
    </row>
    <row r="6" spans="1:5" s="25" customFormat="1" ht="120" customHeight="1" x14ac:dyDescent="0.25">
      <c r="A6" s="46" t="s">
        <v>24</v>
      </c>
      <c r="B6" s="47" t="s">
        <v>264</v>
      </c>
      <c r="C6" s="45" t="s">
        <v>26</v>
      </c>
      <c r="D6" s="45" t="s">
        <v>27</v>
      </c>
      <c r="E6" s="45" t="s">
        <v>28</v>
      </c>
    </row>
    <row r="7" spans="1:5" s="25" customFormat="1" ht="120" customHeight="1" x14ac:dyDescent="0.25">
      <c r="A7" s="46"/>
      <c r="B7" s="47"/>
      <c r="C7" s="45"/>
      <c r="D7" s="45"/>
      <c r="E7" s="45"/>
    </row>
    <row r="8" spans="1:5" s="25" customFormat="1" ht="120" customHeight="1" x14ac:dyDescent="0.25">
      <c r="A8" s="46"/>
      <c r="B8" s="47"/>
      <c r="C8" s="45"/>
      <c r="D8" s="45"/>
      <c r="E8" s="45"/>
    </row>
    <row r="9" spans="1:5" s="25" customFormat="1" ht="120" customHeight="1" x14ac:dyDescent="0.25">
      <c r="A9" s="46"/>
      <c r="B9" s="47"/>
      <c r="C9" s="45"/>
      <c r="D9" s="45"/>
      <c r="E9" s="45"/>
    </row>
    <row r="10" spans="1:5" s="25" customFormat="1" ht="120" customHeight="1" x14ac:dyDescent="0.25">
      <c r="A10" s="46"/>
      <c r="B10" s="47"/>
      <c r="C10" s="45"/>
      <c r="D10" s="45"/>
      <c r="E10" s="45"/>
    </row>
    <row r="11" spans="1:5" s="25" customFormat="1" ht="120" customHeight="1" x14ac:dyDescent="0.25">
      <c r="A11" s="46"/>
      <c r="B11" s="47"/>
      <c r="C11" s="45"/>
      <c r="D11" s="45"/>
      <c r="E11" s="45"/>
    </row>
    <row r="12" spans="1:5" s="25" customFormat="1" ht="120" customHeight="1" x14ac:dyDescent="0.25">
      <c r="A12" s="46"/>
      <c r="B12" s="47"/>
      <c r="C12" s="45"/>
      <c r="D12" s="45"/>
      <c r="E12" s="45"/>
    </row>
    <row r="13" spans="1:5" s="25" customFormat="1" ht="120" customHeight="1" x14ac:dyDescent="0.25">
      <c r="A13" s="46"/>
      <c r="B13" s="47"/>
      <c r="C13" s="45"/>
      <c r="D13" s="45"/>
      <c r="E13" s="45"/>
    </row>
    <row r="14" spans="1:5" s="25" customFormat="1" ht="120" customHeight="1" x14ac:dyDescent="0.25">
      <c r="A14" s="46"/>
      <c r="B14" s="47"/>
      <c r="C14" s="45"/>
      <c r="D14" s="45"/>
      <c r="E14" s="45"/>
    </row>
    <row r="15" spans="1:5" s="25" customFormat="1" ht="120" customHeight="1" x14ac:dyDescent="0.25">
      <c r="A15" s="46"/>
      <c r="B15" s="47"/>
      <c r="C15" s="45"/>
      <c r="D15" s="45"/>
      <c r="E15" s="45"/>
    </row>
    <row r="16" spans="1:5" s="17" customFormat="1" x14ac:dyDescent="0.25"/>
    <row r="17" s="17" customFormat="1" x14ac:dyDescent="0.25"/>
    <row r="18" s="17" customFormat="1" x14ac:dyDescent="0.25"/>
    <row r="19" s="17" customFormat="1" x14ac:dyDescent="0.25"/>
    <row r="20" s="17" customFormat="1" x14ac:dyDescent="0.25"/>
    <row r="21" s="17" customFormat="1" x14ac:dyDescent="0.25"/>
    <row r="22" s="17" customFormat="1" x14ac:dyDescent="0.25"/>
    <row r="23" s="17" customFormat="1" x14ac:dyDescent="0.25"/>
    <row r="24" s="17" customFormat="1" x14ac:dyDescent="0.25"/>
    <row r="25" s="17" customFormat="1" x14ac:dyDescent="0.25"/>
  </sheetData>
  <pageMargins left="0.7" right="0.7" top="0.5" bottom="0.5" header="0.3" footer="0.3"/>
  <pageSetup scale="79" fitToHeight="2"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D8B99-2562-494D-9003-5B84402B7458}">
  <sheetPr codeName="Sheet6">
    <pageSetUpPr fitToPage="1"/>
  </sheetPr>
  <dimension ref="A1:F10"/>
  <sheetViews>
    <sheetView workbookViewId="0">
      <selection activeCell="C6" sqref="C6"/>
    </sheetView>
  </sheetViews>
  <sheetFormatPr defaultRowHeight="15" x14ac:dyDescent="0.25"/>
  <cols>
    <col min="1" max="1" width="12.85546875" customWidth="1"/>
    <col min="2" max="2" width="11.28515625" customWidth="1"/>
    <col min="3" max="3" width="43.42578125" customWidth="1"/>
    <col min="4" max="4" width="24.7109375" customWidth="1"/>
    <col min="5" max="5" width="10.42578125" customWidth="1"/>
  </cols>
  <sheetData>
    <row r="1" spans="1:6" ht="18.75" x14ac:dyDescent="0.3">
      <c r="A1" s="43" t="str">
        <f>Alibis!A1</f>
        <v>Student</v>
      </c>
      <c r="C1" s="44" t="str">
        <f>Alibis!C1</f>
        <v>Bertke, Fisher</v>
      </c>
    </row>
    <row r="2" spans="1:6" ht="18.75" x14ac:dyDescent="0.3">
      <c r="A2" s="43" t="str">
        <f>Alibis!A2</f>
        <v>Crew Type</v>
      </c>
      <c r="C2" s="44" t="str">
        <f>Alibis!C2</f>
        <v>P</v>
      </c>
    </row>
    <row r="3" spans="1:6" ht="18.75" x14ac:dyDescent="0.3">
      <c r="A3" s="43" t="str">
        <f>Alibis!A3</f>
        <v>Class</v>
      </c>
      <c r="C3" s="44" t="str">
        <f>Alibis!C3</f>
        <v>26A FTC</v>
      </c>
    </row>
    <row r="4" spans="1:6" ht="15.75" thickBot="1" x14ac:dyDescent="0.3"/>
    <row r="5" spans="1:6" ht="38.25" thickBot="1" x14ac:dyDescent="0.35">
      <c r="A5" s="22" t="s">
        <v>29</v>
      </c>
      <c r="B5" s="23" t="s">
        <v>12</v>
      </c>
      <c r="C5" s="23" t="s">
        <v>11</v>
      </c>
      <c r="D5" s="23" t="s">
        <v>14</v>
      </c>
      <c r="E5" s="24" t="s">
        <v>15</v>
      </c>
      <c r="F5" s="26"/>
    </row>
    <row r="6" spans="1:6" ht="120" customHeight="1" x14ac:dyDescent="0.25">
      <c r="A6" s="46" t="s">
        <v>24</v>
      </c>
      <c r="B6" s="47" t="s">
        <v>25</v>
      </c>
      <c r="C6" s="45" t="s">
        <v>30</v>
      </c>
      <c r="D6" s="45" t="s">
        <v>31</v>
      </c>
      <c r="E6" s="45">
        <v>41122</v>
      </c>
    </row>
    <row r="7" spans="1:6" ht="120" customHeight="1" x14ac:dyDescent="0.25">
      <c r="A7" s="46"/>
      <c r="B7" s="47"/>
      <c r="C7" s="45"/>
      <c r="D7" s="45"/>
      <c r="E7" s="45"/>
    </row>
    <row r="8" spans="1:6" ht="120" customHeight="1" x14ac:dyDescent="0.25">
      <c r="A8" s="46"/>
      <c r="B8" s="47"/>
      <c r="C8" s="45"/>
      <c r="D8" s="45"/>
      <c r="E8" s="45"/>
    </row>
    <row r="9" spans="1:6" ht="120" customHeight="1" x14ac:dyDescent="0.25">
      <c r="A9" s="46"/>
      <c r="B9" s="47"/>
      <c r="C9" s="45"/>
      <c r="D9" s="45"/>
      <c r="E9" s="45"/>
    </row>
    <row r="10" spans="1:6" ht="120" customHeight="1" x14ac:dyDescent="0.25">
      <c r="A10" s="46"/>
      <c r="B10" s="47"/>
      <c r="C10" s="45"/>
      <c r="D10" s="45"/>
      <c r="E10" s="45"/>
    </row>
  </sheetData>
  <pageMargins left="0.7" right="0.7" top="0.5" bottom="0.5" header="0.3" footer="0.3"/>
  <pageSetup fitToHeight="2"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113D1-3BEA-4A14-AA14-45F1A2BB4938}">
  <sheetPr codeName="Sheet7">
    <pageSetUpPr fitToPage="1"/>
  </sheetPr>
  <dimension ref="A1:E10"/>
  <sheetViews>
    <sheetView workbookViewId="0">
      <selection activeCell="C1" sqref="C1"/>
    </sheetView>
  </sheetViews>
  <sheetFormatPr defaultRowHeight="15" x14ac:dyDescent="0.25"/>
  <cols>
    <col min="1" max="1" width="17.85546875" customWidth="1"/>
    <col min="2" max="2" width="14.140625" customWidth="1"/>
    <col min="3" max="3" width="44.5703125" customWidth="1"/>
    <col min="4" max="4" width="15.7109375" customWidth="1"/>
    <col min="5" max="5" width="15.28515625" customWidth="1"/>
  </cols>
  <sheetData>
    <row r="1" spans="1:5" ht="18.75" x14ac:dyDescent="0.3">
      <c r="A1" s="43" t="str">
        <f>Alibis!A1</f>
        <v>Student</v>
      </c>
      <c r="C1" s="44" t="str">
        <f>Alibis!C1</f>
        <v>Bertke, Fisher</v>
      </c>
    </row>
    <row r="2" spans="1:5" ht="18.75" x14ac:dyDescent="0.3">
      <c r="A2" s="43" t="str">
        <f>Alibis!A2</f>
        <v>Crew Type</v>
      </c>
      <c r="C2" s="44" t="str">
        <f>Alibis!C2</f>
        <v>P</v>
      </c>
    </row>
    <row r="3" spans="1:5" ht="18.75" x14ac:dyDescent="0.3">
      <c r="A3" s="43" t="str">
        <f>Alibis!A3</f>
        <v>Class</v>
      </c>
      <c r="C3" s="44" t="str">
        <f>Alibis!C3</f>
        <v>26A FTC</v>
      </c>
    </row>
    <row r="4" spans="1:5" ht="15.75" thickBot="1" x14ac:dyDescent="0.3"/>
    <row r="5" spans="1:5" ht="60" customHeight="1" thickBot="1" x14ac:dyDescent="0.35">
      <c r="A5" s="22" t="s">
        <v>29</v>
      </c>
      <c r="B5" s="23" t="s">
        <v>32</v>
      </c>
      <c r="C5" s="23" t="s">
        <v>33</v>
      </c>
      <c r="D5" s="23" t="s">
        <v>14</v>
      </c>
      <c r="E5" s="24" t="s">
        <v>15</v>
      </c>
    </row>
    <row r="6" spans="1:5" ht="120" customHeight="1" x14ac:dyDescent="0.25">
      <c r="A6" s="46" t="s">
        <v>24</v>
      </c>
      <c r="B6" s="47" t="s">
        <v>34</v>
      </c>
      <c r="C6" s="45" t="s">
        <v>35</v>
      </c>
      <c r="D6" s="45" t="s">
        <v>31</v>
      </c>
      <c r="E6" s="45">
        <v>41456</v>
      </c>
    </row>
    <row r="7" spans="1:5" ht="120" customHeight="1" x14ac:dyDescent="0.25">
      <c r="A7" s="46"/>
      <c r="B7" s="47"/>
      <c r="C7" s="45"/>
      <c r="D7" s="45"/>
      <c r="E7" s="45"/>
    </row>
    <row r="8" spans="1:5" ht="120" customHeight="1" x14ac:dyDescent="0.25">
      <c r="A8" s="46"/>
      <c r="B8" s="47"/>
      <c r="C8" s="45"/>
      <c r="D8" s="45"/>
      <c r="E8" s="45"/>
    </row>
    <row r="9" spans="1:5" ht="120" customHeight="1" x14ac:dyDescent="0.25">
      <c r="A9" s="46"/>
      <c r="B9" s="47"/>
      <c r="C9" s="45"/>
      <c r="D9" s="45"/>
      <c r="E9" s="45"/>
    </row>
    <row r="10" spans="1:5" ht="120" customHeight="1" x14ac:dyDescent="0.25">
      <c r="A10" s="46"/>
      <c r="B10" s="47"/>
      <c r="C10" s="45"/>
      <c r="D10" s="45"/>
      <c r="E10" s="45"/>
    </row>
  </sheetData>
  <pageMargins left="0.7" right="0.7" top="0.5" bottom="0.5" header="0.3" footer="0.3"/>
  <pageSetup fitToHeight="2"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5E105-11DD-40DC-BBF5-BC002A41277B}">
  <sheetPr codeName="Sheet12">
    <pageSetUpPr fitToPage="1"/>
  </sheetPr>
  <dimension ref="A2:A5"/>
  <sheetViews>
    <sheetView workbookViewId="0">
      <selection activeCell="C3" sqref="C3"/>
    </sheetView>
  </sheetViews>
  <sheetFormatPr defaultRowHeight="15" x14ac:dyDescent="0.25"/>
  <sheetData>
    <row r="2" spans="1:1" x14ac:dyDescent="0.25">
      <c r="A2" s="66" t="s">
        <v>36</v>
      </c>
    </row>
    <row r="3" spans="1:1" x14ac:dyDescent="0.25">
      <c r="A3" s="66" t="s">
        <v>37</v>
      </c>
    </row>
    <row r="4" spans="1:1" x14ac:dyDescent="0.25">
      <c r="A4" s="66" t="s">
        <v>38</v>
      </c>
    </row>
    <row r="5" spans="1:1" x14ac:dyDescent="0.25">
      <c r="A5" s="66" t="s">
        <v>39</v>
      </c>
    </row>
  </sheetData>
  <pageMargins left="0.7" right="0.7" top="0.5" bottom="0.5" header="0.3" footer="0.3"/>
  <pageSetup fitToHeight="2" orientation="landscape"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D1946-6EF9-4A21-BBBB-6008613ACEC1}">
  <sheetPr codeName="Sheet1"/>
  <dimension ref="A1"/>
  <sheetViews>
    <sheetView topLeftCell="D1" workbookViewId="0">
      <selection activeCell="U7" sqref="U7"/>
    </sheetView>
  </sheetViews>
  <sheetFormatPr defaultRowHeight="15"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Update_Summary_and_Links">
                <anchor moveWithCells="1" sizeWithCells="1">
                  <from>
                    <xdr:col>2</xdr:col>
                    <xdr:colOff>466725</xdr:colOff>
                    <xdr:row>6</xdr:row>
                    <xdr:rowOff>161925</xdr:rowOff>
                  </from>
                  <to>
                    <xdr:col>6</xdr:col>
                    <xdr:colOff>314325</xdr:colOff>
                    <xdr:row>10</xdr:row>
                    <xdr:rowOff>85725</xdr:rowOff>
                  </to>
                </anchor>
              </controlPr>
            </control>
          </mc:Choice>
        </mc:AlternateContent>
        <mc:AlternateContent xmlns:mc="http://schemas.openxmlformats.org/markup-compatibility/2006">
          <mc:Choice Requires="x14">
            <control shapeId="23554" r:id="rId4" name="Button 2">
              <controlPr defaultSize="0" print="0" autoFill="0" autoPict="0" macro="[0]!UnlockSheets">
                <anchor moveWithCells="1" sizeWithCells="1">
                  <from>
                    <xdr:col>7</xdr:col>
                    <xdr:colOff>552450</xdr:colOff>
                    <xdr:row>2</xdr:row>
                    <xdr:rowOff>95250</xdr:rowOff>
                  </from>
                  <to>
                    <xdr:col>11</xdr:col>
                    <xdr:colOff>400050</xdr:colOff>
                    <xdr:row>6</xdr:row>
                    <xdr:rowOff>19050</xdr:rowOff>
                  </to>
                </anchor>
              </controlPr>
            </control>
          </mc:Choice>
        </mc:AlternateContent>
        <mc:AlternateContent xmlns:mc="http://schemas.openxmlformats.org/markup-compatibility/2006">
          <mc:Choice Requires="x14">
            <control shapeId="23555" r:id="rId5" name="Button 3">
              <controlPr defaultSize="0" print="0" autoFill="0" autoPict="0" macro="[0]!LockSheets">
                <anchor moveWithCells="1" sizeWithCells="1">
                  <from>
                    <xdr:col>7</xdr:col>
                    <xdr:colOff>561975</xdr:colOff>
                    <xdr:row>6</xdr:row>
                    <xdr:rowOff>152400</xdr:rowOff>
                  </from>
                  <to>
                    <xdr:col>11</xdr:col>
                    <xdr:colOff>409575</xdr:colOff>
                    <xdr:row>10</xdr:row>
                    <xdr:rowOff>76200</xdr:rowOff>
                  </to>
                </anchor>
              </controlPr>
            </control>
          </mc:Choice>
        </mc:AlternateContent>
        <mc:AlternateContent xmlns:mc="http://schemas.openxmlformats.org/markup-compatibility/2006">
          <mc:Choice Requires="x14">
            <control shapeId="23557" r:id="rId6" name="Button 5">
              <controlPr defaultSize="0" print="0" autoFill="0" autoPict="0" macro="[0]!SortGradeSheets">
                <anchor moveWithCells="1" sizeWithCells="1">
                  <from>
                    <xdr:col>2</xdr:col>
                    <xdr:colOff>485775</xdr:colOff>
                    <xdr:row>2</xdr:row>
                    <xdr:rowOff>76200</xdr:rowOff>
                  </from>
                  <to>
                    <xdr:col>6</xdr:col>
                    <xdr:colOff>333375</xdr:colOff>
                    <xdr:row>6</xdr:row>
                    <xdr:rowOff>0</xdr:rowOff>
                  </to>
                </anchor>
              </controlPr>
            </control>
          </mc:Choice>
        </mc:AlternateContent>
        <mc:AlternateContent xmlns:mc="http://schemas.openxmlformats.org/markup-compatibility/2006">
          <mc:Choice Requires="x14">
            <control shapeId="23558" r:id="rId7" name="Button 6">
              <controlPr defaultSize="0" print="0" autoFill="0" autoPict="0" macro="[0]!DeleteGradeSheet">
                <anchor moveWithCells="1" sizeWithCells="1">
                  <from>
                    <xdr:col>12</xdr:col>
                    <xdr:colOff>352425</xdr:colOff>
                    <xdr:row>6</xdr:row>
                    <xdr:rowOff>133350</xdr:rowOff>
                  </from>
                  <to>
                    <xdr:col>16</xdr:col>
                    <xdr:colOff>200025</xdr:colOff>
                    <xdr:row>10</xdr:row>
                    <xdr:rowOff>57150</xdr:rowOff>
                  </to>
                </anchor>
              </controlPr>
            </control>
          </mc:Choice>
        </mc:AlternateContent>
        <mc:AlternateContent xmlns:mc="http://schemas.openxmlformats.org/markup-compatibility/2006">
          <mc:Choice Requires="x14">
            <control shapeId="23559" r:id="rId8" name="Button 7">
              <controlPr defaultSize="0" print="0" autoFill="0" autoPict="0" macro="[0]!ImportGradeSheet">
                <anchor moveWithCells="1" sizeWithCells="1">
                  <from>
                    <xdr:col>12</xdr:col>
                    <xdr:colOff>342900</xdr:colOff>
                    <xdr:row>2</xdr:row>
                    <xdr:rowOff>85725</xdr:rowOff>
                  </from>
                  <to>
                    <xdr:col>16</xdr:col>
                    <xdr:colOff>190500</xdr:colOff>
                    <xdr:row>6</xdr:row>
                    <xdr:rowOff>9525</xdr:rowOff>
                  </to>
                </anchor>
              </controlPr>
            </control>
          </mc:Choice>
        </mc:AlternateContent>
        <mc:AlternateContent xmlns:mc="http://schemas.openxmlformats.org/markup-compatibility/2006">
          <mc:Choice Requires="x14">
            <control shapeId="23567" r:id="rId9" name="Button 15">
              <controlPr defaultSize="0" print="0" autoFill="0" autoPict="0" macro="[0]!AddGSButtons">
                <anchor moveWithCells="1" sizeWithCells="1">
                  <from>
                    <xdr:col>12</xdr:col>
                    <xdr:colOff>342900</xdr:colOff>
                    <xdr:row>10</xdr:row>
                    <xdr:rowOff>180975</xdr:rowOff>
                  </from>
                  <to>
                    <xdr:col>16</xdr:col>
                    <xdr:colOff>190500</xdr:colOff>
                    <xdr:row>14</xdr:row>
                    <xdr:rowOff>104775</xdr:rowOff>
                  </to>
                </anchor>
              </controlPr>
            </control>
          </mc:Choice>
        </mc:AlternateContent>
        <mc:AlternateContent xmlns:mc="http://schemas.openxmlformats.org/markup-compatibility/2006">
          <mc:Choice Requires="x14">
            <control shapeId="23568" r:id="rId10" name="Button 16">
              <controlPr defaultSize="0" print="0" autoFill="0" autoPict="0" macro="[0]!DeleteMacroButtons">
                <anchor moveWithCells="1" sizeWithCells="1">
                  <from>
                    <xdr:col>12</xdr:col>
                    <xdr:colOff>342900</xdr:colOff>
                    <xdr:row>19</xdr:row>
                    <xdr:rowOff>95250</xdr:rowOff>
                  </from>
                  <to>
                    <xdr:col>16</xdr:col>
                    <xdr:colOff>190500</xdr:colOff>
                    <xdr:row>23</xdr:row>
                    <xdr:rowOff>19050</xdr:rowOff>
                  </to>
                </anchor>
              </controlPr>
            </control>
          </mc:Choice>
        </mc:AlternateContent>
        <mc:AlternateContent xmlns:mc="http://schemas.openxmlformats.org/markup-compatibility/2006">
          <mc:Choice Requires="x14">
            <control shapeId="23569" r:id="rId11" name="Button 17">
              <controlPr defaultSize="0" print="0" autoFill="0" autoPict="0" macro="[0]!AddIPSign">
                <anchor moveWithCells="1" sizeWithCells="1">
                  <from>
                    <xdr:col>12</xdr:col>
                    <xdr:colOff>352425</xdr:colOff>
                    <xdr:row>15</xdr:row>
                    <xdr:rowOff>0</xdr:rowOff>
                  </from>
                  <to>
                    <xdr:col>16</xdr:col>
                    <xdr:colOff>200025</xdr:colOff>
                    <xdr:row>18</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F440D0-5DC1-4C8A-A132-C221A91BFEA1}">
  <sheetPr codeName="Sheet13">
    <pageSetUpPr fitToPage="1"/>
  </sheetPr>
  <dimension ref="A1:E300"/>
  <sheetViews>
    <sheetView topLeftCell="B1" workbookViewId="0">
      <selection activeCell="C6" sqref="C6"/>
    </sheetView>
  </sheetViews>
  <sheetFormatPr defaultRowHeight="15" x14ac:dyDescent="0.25"/>
  <cols>
    <col min="1" max="1" width="12.85546875" customWidth="1"/>
    <col min="2" max="2" width="64.5703125" style="17" customWidth="1"/>
    <col min="3" max="3" width="8.42578125" style="32" customWidth="1"/>
    <col min="4" max="4" width="12.85546875" customWidth="1"/>
  </cols>
  <sheetData>
    <row r="1" spans="1:5" ht="105.75" customHeight="1" x14ac:dyDescent="0.3">
      <c r="A1" s="27"/>
      <c r="B1" s="28"/>
      <c r="C1" s="29" t="str">
        <f>Alibis!C1</f>
        <v>Bertke, Fisher</v>
      </c>
      <c r="D1" s="1" t="s">
        <v>23</v>
      </c>
      <c r="E1" s="30" t="str">
        <f>Alibis!C2</f>
        <v>P</v>
      </c>
    </row>
    <row r="2" spans="1:5" ht="21" x14ac:dyDescent="0.25">
      <c r="A2" s="31" t="s">
        <v>40</v>
      </c>
      <c r="B2"/>
    </row>
    <row r="3" spans="1:5" ht="18.75" x14ac:dyDescent="0.25">
      <c r="A3" s="38" t="s">
        <v>65</v>
      </c>
      <c r="B3" s="27" t="s">
        <v>846</v>
      </c>
      <c r="C3" s="34"/>
    </row>
    <row r="4" spans="1:5" x14ac:dyDescent="0.25">
      <c r="A4" s="6" t="s">
        <v>66</v>
      </c>
      <c r="B4" s="33" t="s">
        <v>67</v>
      </c>
      <c r="C4" s="34"/>
    </row>
    <row r="5" spans="1:5" x14ac:dyDescent="0.25">
      <c r="A5" s="21" t="s">
        <v>41</v>
      </c>
      <c r="B5" s="33" t="s">
        <v>68</v>
      </c>
      <c r="C5" s="37"/>
    </row>
    <row r="6" spans="1:5" x14ac:dyDescent="0.25">
      <c r="A6" s="21" t="s">
        <v>69</v>
      </c>
      <c r="B6" s="33" t="s">
        <v>70</v>
      </c>
      <c r="C6" s="37">
        <f>PF!F8</f>
        <v>1</v>
      </c>
    </row>
    <row r="7" spans="1:5" ht="18.75" x14ac:dyDescent="0.25">
      <c r="A7" s="38" t="s">
        <v>71</v>
      </c>
      <c r="B7" s="694" t="s">
        <v>847</v>
      </c>
      <c r="C7" s="37"/>
    </row>
    <row r="8" spans="1:5" x14ac:dyDescent="0.25">
      <c r="A8" s="6" t="s">
        <v>72</v>
      </c>
      <c r="B8" s="33" t="s">
        <v>73</v>
      </c>
      <c r="C8" s="34"/>
    </row>
    <row r="9" spans="1:5" x14ac:dyDescent="0.25">
      <c r="A9" s="21" t="s">
        <v>74</v>
      </c>
      <c r="B9" s="33" t="s">
        <v>75</v>
      </c>
      <c r="C9" s="37">
        <f>PF!F9</f>
        <v>0.96500000000000008</v>
      </c>
    </row>
    <row r="10" spans="1:5" x14ac:dyDescent="0.25">
      <c r="A10" s="21" t="s">
        <v>76</v>
      </c>
      <c r="B10" s="33" t="s">
        <v>77</v>
      </c>
      <c r="C10" s="37">
        <f>PF!F18</f>
        <v>0</v>
      </c>
    </row>
    <row r="11" spans="1:5" ht="21" x14ac:dyDescent="0.25">
      <c r="A11" s="31" t="s">
        <v>42</v>
      </c>
      <c r="B11" s="33"/>
      <c r="C11" s="34"/>
    </row>
    <row r="12" spans="1:5" ht="18.75" x14ac:dyDescent="0.25">
      <c r="A12" s="38" t="s">
        <v>78</v>
      </c>
      <c r="B12" s="694" t="s">
        <v>848</v>
      </c>
      <c r="C12" s="34"/>
    </row>
    <row r="13" spans="1:5" x14ac:dyDescent="0.25">
      <c r="A13" s="6" t="s">
        <v>79</v>
      </c>
      <c r="B13" s="33" t="s">
        <v>80</v>
      </c>
      <c r="C13" s="34"/>
    </row>
    <row r="14" spans="1:5" x14ac:dyDescent="0.25">
      <c r="A14" s="21" t="s">
        <v>81</v>
      </c>
      <c r="B14" s="33" t="s">
        <v>43</v>
      </c>
      <c r="C14" s="37">
        <f>PF!F10</f>
        <v>0.95090909090909104</v>
      </c>
    </row>
    <row r="15" spans="1:5" x14ac:dyDescent="0.25">
      <c r="A15" s="21" t="s">
        <v>82</v>
      </c>
      <c r="B15" s="33" t="s">
        <v>83</v>
      </c>
      <c r="C15" s="37">
        <f>PF!F19</f>
        <v>0.89749999999999996</v>
      </c>
    </row>
    <row r="16" spans="1:5" ht="18.75" x14ac:dyDescent="0.25">
      <c r="A16" s="38" t="s">
        <v>84</v>
      </c>
      <c r="B16" s="694" t="s">
        <v>849</v>
      </c>
      <c r="C16" s="34"/>
    </row>
    <row r="17" spans="1:3" x14ac:dyDescent="0.25">
      <c r="A17" s="6" t="s">
        <v>85</v>
      </c>
      <c r="B17" s="33" t="s">
        <v>86</v>
      </c>
      <c r="C17" s="34"/>
    </row>
    <row r="18" spans="1:3" ht="21" x14ac:dyDescent="0.25">
      <c r="A18" s="31" t="s">
        <v>44</v>
      </c>
      <c r="B18" s="33"/>
      <c r="C18" s="34"/>
    </row>
    <row r="19" spans="1:3" ht="18.75" x14ac:dyDescent="0.25">
      <c r="A19" s="38" t="s">
        <v>87</v>
      </c>
      <c r="B19" s="694" t="s">
        <v>850</v>
      </c>
      <c r="C19" s="34"/>
    </row>
    <row r="20" spans="1:3" x14ac:dyDescent="0.25">
      <c r="A20" s="33" t="s">
        <v>88</v>
      </c>
      <c r="B20" s="33" t="s">
        <v>89</v>
      </c>
      <c r="C20" s="34"/>
    </row>
    <row r="21" spans="1:3" x14ac:dyDescent="0.25">
      <c r="A21" s="6" t="s">
        <v>90</v>
      </c>
      <c r="B21" s="33" t="s">
        <v>91</v>
      </c>
      <c r="C21" s="34"/>
    </row>
    <row r="22" spans="1:3" x14ac:dyDescent="0.25">
      <c r="A22" s="21" t="s">
        <v>92</v>
      </c>
      <c r="B22" s="33" t="s">
        <v>890</v>
      </c>
      <c r="C22" s="37"/>
    </row>
    <row r="23" spans="1:3" x14ac:dyDescent="0.25">
      <c r="A23" s="21" t="s">
        <v>93</v>
      </c>
      <c r="B23" s="33" t="s">
        <v>891</v>
      </c>
      <c r="C23" s="37">
        <f>PF!F11</f>
        <v>0.94313461538461552</v>
      </c>
    </row>
    <row r="24" spans="1:3" x14ac:dyDescent="0.25">
      <c r="A24" s="21" t="s">
        <v>892</v>
      </c>
      <c r="B24" s="694" t="s">
        <v>893</v>
      </c>
      <c r="C24" s="37">
        <f>PF!F12</f>
        <v>0.91340833333333327</v>
      </c>
    </row>
    <row r="25" spans="1:3" ht="18.75" x14ac:dyDescent="0.25">
      <c r="A25" s="38" t="s">
        <v>94</v>
      </c>
      <c r="B25" s="694" t="s">
        <v>851</v>
      </c>
      <c r="C25" s="34"/>
    </row>
    <row r="26" spans="1:3" x14ac:dyDescent="0.25">
      <c r="A26" s="6" t="s">
        <v>95</v>
      </c>
      <c r="B26" s="33" t="s">
        <v>852</v>
      </c>
      <c r="C26" s="37"/>
    </row>
    <row r="27" spans="1:3" x14ac:dyDescent="0.25">
      <c r="A27" s="6" t="s">
        <v>96</v>
      </c>
      <c r="B27" s="33" t="s">
        <v>97</v>
      </c>
      <c r="C27" s="37"/>
    </row>
    <row r="28" spans="1:3" x14ac:dyDescent="0.25">
      <c r="A28" s="6" t="s">
        <v>98</v>
      </c>
      <c r="B28" s="33" t="s">
        <v>99</v>
      </c>
      <c r="C28" s="37"/>
    </row>
    <row r="29" spans="1:3" x14ac:dyDescent="0.25">
      <c r="A29" s="6" t="s">
        <v>100</v>
      </c>
      <c r="B29" s="33" t="s">
        <v>101</v>
      </c>
      <c r="C29" s="37" t="str">
        <f>PF!F13</f>
        <v>0</v>
      </c>
    </row>
    <row r="30" spans="1:3" x14ac:dyDescent="0.25">
      <c r="A30" s="6" t="s">
        <v>102</v>
      </c>
      <c r="B30" s="33" t="s">
        <v>853</v>
      </c>
      <c r="C30" s="37" t="str">
        <f>PF!F20</f>
        <v>---</v>
      </c>
    </row>
    <row r="31" spans="1:3" x14ac:dyDescent="0.25">
      <c r="A31" s="6" t="s">
        <v>103</v>
      </c>
      <c r="B31" s="33" t="s">
        <v>104</v>
      </c>
      <c r="C31" s="37"/>
    </row>
    <row r="32" spans="1:3" x14ac:dyDescent="0.25">
      <c r="A32" s="6" t="s">
        <v>105</v>
      </c>
      <c r="B32" s="33" t="s">
        <v>106</v>
      </c>
      <c r="C32" s="37">
        <f>PF!F21</f>
        <v>0</v>
      </c>
    </row>
    <row r="33" spans="1:3" ht="21" x14ac:dyDescent="0.25">
      <c r="A33" s="31" t="s">
        <v>45</v>
      </c>
      <c r="B33" s="694"/>
      <c r="C33" s="34"/>
    </row>
    <row r="34" spans="1:3" ht="18.75" x14ac:dyDescent="0.25">
      <c r="A34" s="38" t="s">
        <v>107</v>
      </c>
      <c r="B34" s="694" t="s">
        <v>854</v>
      </c>
      <c r="C34" s="34"/>
    </row>
    <row r="35" spans="1:3" x14ac:dyDescent="0.25">
      <c r="A35" s="6" t="s">
        <v>66</v>
      </c>
      <c r="B35" s="694" t="s">
        <v>108</v>
      </c>
      <c r="C35" s="34"/>
    </row>
    <row r="36" spans="1:3" ht="18.75" x14ac:dyDescent="0.25">
      <c r="A36" s="38" t="s">
        <v>109</v>
      </c>
      <c r="B36" s="694" t="s">
        <v>855</v>
      </c>
      <c r="C36" s="34"/>
    </row>
    <row r="37" spans="1:3" x14ac:dyDescent="0.25">
      <c r="A37" s="6" t="s">
        <v>72</v>
      </c>
      <c r="B37" s="33" t="s">
        <v>46</v>
      </c>
      <c r="C37" s="37"/>
    </row>
    <row r="38" spans="1:3" x14ac:dyDescent="0.25">
      <c r="A38" s="21" t="s">
        <v>110</v>
      </c>
      <c r="B38" s="33" t="s">
        <v>111</v>
      </c>
      <c r="C38" s="37">
        <f>FQ!F8</f>
        <v>0.93972727272727274</v>
      </c>
    </row>
    <row r="39" spans="1:3" x14ac:dyDescent="0.25">
      <c r="A39" s="21" t="s">
        <v>112</v>
      </c>
      <c r="B39" s="33" t="s">
        <v>113</v>
      </c>
      <c r="C39" s="37" t="str">
        <f>FQ!F9</f>
        <v>0</v>
      </c>
    </row>
    <row r="40" spans="1:3" x14ac:dyDescent="0.25">
      <c r="A40" s="21" t="s">
        <v>114</v>
      </c>
      <c r="B40" s="694" t="s">
        <v>115</v>
      </c>
      <c r="C40" s="37"/>
    </row>
    <row r="41" spans="1:3" ht="18.75" x14ac:dyDescent="0.25">
      <c r="A41" s="38" t="s">
        <v>116</v>
      </c>
      <c r="B41" s="694" t="s">
        <v>856</v>
      </c>
      <c r="C41" s="37"/>
    </row>
    <row r="42" spans="1:3" x14ac:dyDescent="0.25">
      <c r="A42" s="6" t="s">
        <v>117</v>
      </c>
      <c r="B42" s="33" t="s">
        <v>118</v>
      </c>
      <c r="C42" s="37">
        <f>FQ!F25</f>
        <v>0</v>
      </c>
    </row>
    <row r="43" spans="1:3" ht="21" x14ac:dyDescent="0.25">
      <c r="A43" s="31" t="s">
        <v>47</v>
      </c>
      <c r="B43" s="694"/>
      <c r="C43" s="34"/>
    </row>
    <row r="44" spans="1:3" ht="18.75" x14ac:dyDescent="0.25">
      <c r="A44" s="38" t="s">
        <v>119</v>
      </c>
      <c r="B44" s="694" t="s">
        <v>857</v>
      </c>
      <c r="C44" s="34"/>
    </row>
    <row r="45" spans="1:3" x14ac:dyDescent="0.25">
      <c r="A45" s="6" t="s">
        <v>79</v>
      </c>
      <c r="B45" s="694" t="s">
        <v>48</v>
      </c>
      <c r="C45" s="34"/>
    </row>
    <row r="46" spans="1:3" ht="18.75" x14ac:dyDescent="0.25">
      <c r="A46" s="38" t="s">
        <v>120</v>
      </c>
      <c r="B46" s="694" t="s">
        <v>858</v>
      </c>
      <c r="C46" s="34"/>
    </row>
    <row r="47" spans="1:3" x14ac:dyDescent="0.25">
      <c r="A47" s="6" t="s">
        <v>121</v>
      </c>
      <c r="B47" s="33" t="s">
        <v>122</v>
      </c>
      <c r="C47" s="34"/>
    </row>
    <row r="48" spans="1:3" x14ac:dyDescent="0.25">
      <c r="A48" s="21" t="s">
        <v>123</v>
      </c>
      <c r="B48" s="33" t="s">
        <v>124</v>
      </c>
      <c r="C48" s="37"/>
    </row>
    <row r="49" spans="1:3" x14ac:dyDescent="0.25">
      <c r="A49" s="21" t="s">
        <v>125</v>
      </c>
      <c r="B49" s="33" t="s">
        <v>126</v>
      </c>
      <c r="C49" s="37" t="str">
        <f>FQ!F10</f>
        <v>0</v>
      </c>
    </row>
    <row r="50" spans="1:3" x14ac:dyDescent="0.25">
      <c r="A50" s="33" t="s">
        <v>894</v>
      </c>
      <c r="B50" s="694" t="s">
        <v>895</v>
      </c>
      <c r="C50" s="34"/>
    </row>
    <row r="51" spans="1:3" x14ac:dyDescent="0.25">
      <c r="A51" s="33" t="s">
        <v>896</v>
      </c>
      <c r="B51" s="33" t="s">
        <v>897</v>
      </c>
      <c r="C51" s="34"/>
    </row>
    <row r="52" spans="1:3" ht="18.75" x14ac:dyDescent="0.25">
      <c r="A52" s="39" t="s">
        <v>898</v>
      </c>
      <c r="B52" s="694" t="s">
        <v>899</v>
      </c>
      <c r="C52" s="37"/>
    </row>
    <row r="53" spans="1:3" x14ac:dyDescent="0.25">
      <c r="A53" s="6" t="s">
        <v>900</v>
      </c>
      <c r="B53" s="33" t="s">
        <v>901</v>
      </c>
      <c r="C53" s="37"/>
    </row>
    <row r="54" spans="1:3" ht="21" x14ac:dyDescent="0.25">
      <c r="A54" s="696" t="s">
        <v>49</v>
      </c>
      <c r="B54" s="33"/>
      <c r="C54" s="37"/>
    </row>
    <row r="55" spans="1:3" ht="18.75" x14ac:dyDescent="0.25">
      <c r="A55" s="39" t="s">
        <v>127</v>
      </c>
      <c r="B55" s="694" t="s">
        <v>859</v>
      </c>
      <c r="C55" s="37"/>
    </row>
    <row r="56" spans="1:3" x14ac:dyDescent="0.25">
      <c r="A56" s="33" t="s">
        <v>128</v>
      </c>
      <c r="B56" s="33" t="s">
        <v>50</v>
      </c>
      <c r="C56" s="37"/>
    </row>
    <row r="57" spans="1:3" x14ac:dyDescent="0.25">
      <c r="A57" s="6" t="s">
        <v>129</v>
      </c>
      <c r="B57" s="33" t="s">
        <v>860</v>
      </c>
      <c r="C57" s="37" t="str">
        <f>FQ!F11</f>
        <v>0</v>
      </c>
    </row>
    <row r="58" spans="1:3" x14ac:dyDescent="0.25">
      <c r="A58" s="33" t="s">
        <v>130</v>
      </c>
      <c r="B58" s="694" t="s">
        <v>51</v>
      </c>
      <c r="C58" s="37" t="str">
        <f>FQ!F12</f>
        <v>0</v>
      </c>
    </row>
    <row r="59" spans="1:3" x14ac:dyDescent="0.25">
      <c r="A59" s="33" t="s">
        <v>131</v>
      </c>
      <c r="B59" s="33" t="s">
        <v>132</v>
      </c>
      <c r="C59" s="37"/>
    </row>
    <row r="60" spans="1:3" ht="18.75" x14ac:dyDescent="0.25">
      <c r="A60" s="39" t="s">
        <v>133</v>
      </c>
      <c r="B60" s="694" t="s">
        <v>861</v>
      </c>
      <c r="C60" s="34"/>
    </row>
    <row r="61" spans="1:3" x14ac:dyDescent="0.25">
      <c r="A61" s="33" t="s">
        <v>134</v>
      </c>
      <c r="B61" s="33" t="s">
        <v>135</v>
      </c>
      <c r="C61" s="37" t="str">
        <f>FQ!F26</f>
        <v/>
      </c>
    </row>
    <row r="62" spans="1:3" ht="21" x14ac:dyDescent="0.25">
      <c r="A62" s="696" t="s">
        <v>52</v>
      </c>
      <c r="B62" s="33"/>
      <c r="C62" s="37"/>
    </row>
    <row r="63" spans="1:3" ht="18.75" x14ac:dyDescent="0.3">
      <c r="A63" s="695" t="s">
        <v>136</v>
      </c>
      <c r="B63" s="694" t="s">
        <v>862</v>
      </c>
      <c r="C63" s="37"/>
    </row>
    <row r="64" spans="1:3" x14ac:dyDescent="0.25">
      <c r="A64" s="21" t="s">
        <v>137</v>
      </c>
      <c r="B64" s="33" t="s">
        <v>138</v>
      </c>
      <c r="C64" s="37" t="str">
        <f>FQ!F13</f>
        <v>0</v>
      </c>
    </row>
    <row r="65" spans="1:3" ht="18.75" x14ac:dyDescent="0.3">
      <c r="A65" s="695" t="s">
        <v>139</v>
      </c>
      <c r="B65" s="694" t="s">
        <v>863</v>
      </c>
      <c r="C65" s="37"/>
    </row>
    <row r="66" spans="1:3" x14ac:dyDescent="0.25">
      <c r="A66" s="21" t="s">
        <v>140</v>
      </c>
      <c r="B66" s="33" t="s">
        <v>141</v>
      </c>
      <c r="C66" s="37"/>
    </row>
    <row r="67" spans="1:3" x14ac:dyDescent="0.25">
      <c r="A67" s="21" t="s">
        <v>142</v>
      </c>
      <c r="B67" s="33" t="s">
        <v>143</v>
      </c>
      <c r="C67" s="37" t="str">
        <f>FQ!F14</f>
        <v>0</v>
      </c>
    </row>
    <row r="68" spans="1:3" x14ac:dyDescent="0.25">
      <c r="A68" s="21" t="s">
        <v>144</v>
      </c>
      <c r="B68" s="694" t="s">
        <v>145</v>
      </c>
      <c r="C68" s="37" t="str">
        <f>FQ!F15</f>
        <v>0</v>
      </c>
    </row>
    <row r="69" spans="1:3" x14ac:dyDescent="0.25">
      <c r="A69" s="33" t="s">
        <v>902</v>
      </c>
      <c r="B69" s="33" t="s">
        <v>903</v>
      </c>
      <c r="C69" s="34"/>
    </row>
    <row r="70" spans="1:3" x14ac:dyDescent="0.25">
      <c r="A70" s="33" t="s">
        <v>904</v>
      </c>
      <c r="B70" s="694" t="s">
        <v>146</v>
      </c>
      <c r="C70" s="37" t="str">
        <f>FQ!F16</f>
        <v>0</v>
      </c>
    </row>
    <row r="71" spans="1:3" x14ac:dyDescent="0.25">
      <c r="A71" s="6" t="s">
        <v>905</v>
      </c>
      <c r="B71" s="33" t="s">
        <v>147</v>
      </c>
      <c r="C71" s="34"/>
    </row>
    <row r="72" spans="1:3" x14ac:dyDescent="0.25">
      <c r="A72" s="33" t="s">
        <v>906</v>
      </c>
      <c r="B72" s="33" t="s">
        <v>148</v>
      </c>
      <c r="C72" s="37" t="str">
        <f>FQ!F27</f>
        <v/>
      </c>
    </row>
    <row r="73" spans="1:3" ht="18.75" x14ac:dyDescent="0.25">
      <c r="A73" s="39" t="s">
        <v>149</v>
      </c>
      <c r="B73" s="694" t="s">
        <v>864</v>
      </c>
      <c r="C73" s="37"/>
    </row>
    <row r="74" spans="1:3" x14ac:dyDescent="0.25">
      <c r="A74" s="21" t="s">
        <v>150</v>
      </c>
      <c r="B74" s="33" t="s">
        <v>151</v>
      </c>
      <c r="C74" s="37"/>
    </row>
    <row r="75" spans="1:3" ht="18.75" x14ac:dyDescent="0.3">
      <c r="A75" s="695" t="s">
        <v>152</v>
      </c>
      <c r="B75" s="694" t="s">
        <v>865</v>
      </c>
      <c r="C75" s="37"/>
    </row>
    <row r="76" spans="1:3" x14ac:dyDescent="0.25">
      <c r="A76" s="21" t="s">
        <v>153</v>
      </c>
      <c r="B76" s="33" t="s">
        <v>154</v>
      </c>
      <c r="C76" s="37"/>
    </row>
    <row r="77" spans="1:3" x14ac:dyDescent="0.25">
      <c r="A77" s="21" t="s">
        <v>155</v>
      </c>
      <c r="B77" s="694" t="s">
        <v>156</v>
      </c>
      <c r="C77" s="34"/>
    </row>
    <row r="78" spans="1:3" x14ac:dyDescent="0.25">
      <c r="A78" s="33" t="s">
        <v>157</v>
      </c>
      <c r="B78" s="33" t="s">
        <v>54</v>
      </c>
      <c r="C78" s="37" t="str">
        <f>FQ!F17</f>
        <v>0</v>
      </c>
    </row>
    <row r="79" spans="1:3" x14ac:dyDescent="0.25">
      <c r="A79" s="33" t="s">
        <v>158</v>
      </c>
      <c r="B79" s="33" t="s">
        <v>159</v>
      </c>
      <c r="C79" s="34"/>
    </row>
    <row r="80" spans="1:3" x14ac:dyDescent="0.25">
      <c r="A80" s="6" t="s">
        <v>160</v>
      </c>
      <c r="B80" s="33" t="s">
        <v>161</v>
      </c>
      <c r="C80" s="37"/>
    </row>
    <row r="81" spans="1:3" ht="21" x14ac:dyDescent="0.35">
      <c r="A81" s="697" t="s">
        <v>55</v>
      </c>
      <c r="B81" s="33"/>
      <c r="C81" s="37"/>
    </row>
    <row r="82" spans="1:3" ht="18.75" x14ac:dyDescent="0.25">
      <c r="A82" s="39" t="s">
        <v>162</v>
      </c>
      <c r="B82" s="694" t="s">
        <v>866</v>
      </c>
      <c r="C82" s="34"/>
    </row>
    <row r="83" spans="1:3" x14ac:dyDescent="0.25">
      <c r="A83" s="6" t="s">
        <v>66</v>
      </c>
      <c r="B83" s="33" t="s">
        <v>163</v>
      </c>
      <c r="C83" s="37"/>
    </row>
    <row r="84" spans="1:3" x14ac:dyDescent="0.25">
      <c r="A84" s="33" t="s">
        <v>41</v>
      </c>
      <c r="B84" s="694" t="s">
        <v>164</v>
      </c>
      <c r="C84" s="37"/>
    </row>
    <row r="85" spans="1:3" x14ac:dyDescent="0.25">
      <c r="A85" s="33" t="s">
        <v>165</v>
      </c>
      <c r="B85" s="33" t="s">
        <v>166</v>
      </c>
      <c r="C85" s="37" t="str">
        <f>SY!F8</f>
        <v>0</v>
      </c>
    </row>
    <row r="86" spans="1:3" x14ac:dyDescent="0.25">
      <c r="A86" s="6" t="s">
        <v>167</v>
      </c>
      <c r="B86" s="33" t="s">
        <v>168</v>
      </c>
      <c r="C86" s="37" t="str">
        <f>SY!F15</f>
        <v>---</v>
      </c>
    </row>
    <row r="87" spans="1:3" ht="18.75" x14ac:dyDescent="0.25">
      <c r="A87" s="38" t="s">
        <v>169</v>
      </c>
      <c r="B87" s="694" t="s">
        <v>867</v>
      </c>
      <c r="C87" s="34"/>
    </row>
    <row r="88" spans="1:3" x14ac:dyDescent="0.25">
      <c r="A88" s="6" t="s">
        <v>907</v>
      </c>
      <c r="B88" s="33" t="s">
        <v>908</v>
      </c>
      <c r="C88" s="37"/>
    </row>
    <row r="89" spans="1:3" x14ac:dyDescent="0.25">
      <c r="A89" s="33" t="s">
        <v>909</v>
      </c>
      <c r="B89" s="33" t="s">
        <v>171</v>
      </c>
      <c r="C89" s="34"/>
    </row>
    <row r="90" spans="1:3" x14ac:dyDescent="0.25">
      <c r="A90" s="33" t="s">
        <v>910</v>
      </c>
      <c r="B90" s="33" t="s">
        <v>911</v>
      </c>
      <c r="C90" s="34"/>
    </row>
    <row r="91" spans="1:3" ht="18.75" x14ac:dyDescent="0.25">
      <c r="A91" s="38" t="s">
        <v>172</v>
      </c>
      <c r="B91" s="694" t="s">
        <v>868</v>
      </c>
      <c r="C91" s="34"/>
    </row>
    <row r="92" spans="1:3" x14ac:dyDescent="0.25">
      <c r="A92" s="6" t="s">
        <v>173</v>
      </c>
      <c r="B92" s="33" t="s">
        <v>174</v>
      </c>
      <c r="C92" s="34"/>
    </row>
    <row r="93" spans="1:3" ht="21" x14ac:dyDescent="0.35">
      <c r="A93" s="697" t="s">
        <v>56</v>
      </c>
      <c r="B93" s="694"/>
      <c r="C93" s="37"/>
    </row>
    <row r="94" spans="1:3" ht="18.75" x14ac:dyDescent="0.3">
      <c r="A94" s="695" t="s">
        <v>175</v>
      </c>
      <c r="B94" s="694" t="s">
        <v>869</v>
      </c>
      <c r="C94" s="37"/>
    </row>
    <row r="95" spans="1:3" x14ac:dyDescent="0.25">
      <c r="A95" s="33" t="s">
        <v>176</v>
      </c>
      <c r="B95" s="33" t="s">
        <v>177</v>
      </c>
      <c r="C95" s="37" t="str">
        <f>SY!F9</f>
        <v>0</v>
      </c>
    </row>
    <row r="96" spans="1:3" x14ac:dyDescent="0.25">
      <c r="A96" s="33" t="s">
        <v>178</v>
      </c>
      <c r="B96" s="33" t="s">
        <v>179</v>
      </c>
      <c r="C96" s="37"/>
    </row>
    <row r="97" spans="1:3" x14ac:dyDescent="0.25">
      <c r="A97" s="6" t="s">
        <v>180</v>
      </c>
      <c r="B97" s="33" t="s">
        <v>181</v>
      </c>
      <c r="C97" s="34"/>
    </row>
    <row r="98" spans="1:3" ht="18.75" x14ac:dyDescent="0.25">
      <c r="A98" s="38" t="s">
        <v>912</v>
      </c>
      <c r="B98" s="694" t="s">
        <v>913</v>
      </c>
      <c r="C98" s="34"/>
    </row>
    <row r="99" spans="1:3" x14ac:dyDescent="0.25">
      <c r="A99" s="6" t="s">
        <v>914</v>
      </c>
      <c r="B99" s="33" t="s">
        <v>915</v>
      </c>
      <c r="C99" s="34"/>
    </row>
    <row r="100" spans="1:3" x14ac:dyDescent="0.25">
      <c r="A100" s="21" t="s">
        <v>916</v>
      </c>
      <c r="B100" s="694" t="s">
        <v>917</v>
      </c>
      <c r="C100" s="37"/>
    </row>
    <row r="101" spans="1:3" x14ac:dyDescent="0.25">
      <c r="A101" s="21" t="s">
        <v>918</v>
      </c>
      <c r="B101" s="33" t="s">
        <v>919</v>
      </c>
      <c r="C101" s="34"/>
    </row>
    <row r="102" spans="1:3" ht="18.75" x14ac:dyDescent="0.3">
      <c r="A102" s="695" t="s">
        <v>182</v>
      </c>
      <c r="B102" s="694" t="s">
        <v>870</v>
      </c>
      <c r="C102" s="37"/>
    </row>
    <row r="103" spans="1:3" x14ac:dyDescent="0.25">
      <c r="A103" s="21" t="s">
        <v>183</v>
      </c>
      <c r="B103" s="33" t="s">
        <v>871</v>
      </c>
      <c r="C103" s="34"/>
    </row>
    <row r="104" spans="1:3" ht="18.75" x14ac:dyDescent="0.25">
      <c r="A104" s="38" t="s">
        <v>184</v>
      </c>
      <c r="B104" s="694" t="s">
        <v>872</v>
      </c>
      <c r="C104" s="34"/>
    </row>
    <row r="105" spans="1:3" x14ac:dyDescent="0.25">
      <c r="A105" s="33" t="s">
        <v>185</v>
      </c>
      <c r="B105" s="694" t="s">
        <v>186</v>
      </c>
      <c r="C105" s="34"/>
    </row>
    <row r="106" spans="1:3" x14ac:dyDescent="0.25">
      <c r="A106" s="6" t="s">
        <v>187</v>
      </c>
      <c r="B106" s="33" t="s">
        <v>188</v>
      </c>
      <c r="C106" s="34"/>
    </row>
    <row r="107" spans="1:3" x14ac:dyDescent="0.25">
      <c r="A107" s="33" t="s">
        <v>189</v>
      </c>
      <c r="B107" s="694" t="s">
        <v>57</v>
      </c>
      <c r="C107" s="37" t="str">
        <f>SY!F10</f>
        <v>0</v>
      </c>
    </row>
    <row r="108" spans="1:3" x14ac:dyDescent="0.25">
      <c r="A108" s="33" t="s">
        <v>190</v>
      </c>
      <c r="B108" s="33" t="s">
        <v>58</v>
      </c>
      <c r="C108" s="36"/>
    </row>
    <row r="109" spans="1:3" x14ac:dyDescent="0.25">
      <c r="A109" s="33" t="s">
        <v>191</v>
      </c>
      <c r="B109" s="694" t="s">
        <v>192</v>
      </c>
    </row>
    <row r="110" spans="1:3" ht="21" x14ac:dyDescent="0.25">
      <c r="A110" s="31" t="s">
        <v>59</v>
      </c>
      <c r="B110" s="33"/>
    </row>
    <row r="111" spans="1:3" ht="18.75" x14ac:dyDescent="0.25">
      <c r="A111" s="39" t="s">
        <v>193</v>
      </c>
      <c r="B111" s="694" t="s">
        <v>873</v>
      </c>
    </row>
    <row r="112" spans="1:3" x14ac:dyDescent="0.25">
      <c r="A112" s="33" t="s">
        <v>128</v>
      </c>
      <c r="B112" s="33" t="s">
        <v>194</v>
      </c>
    </row>
    <row r="113" spans="1:3" ht="18.75" x14ac:dyDescent="0.25">
      <c r="A113" s="38" t="s">
        <v>195</v>
      </c>
      <c r="B113" s="694" t="s">
        <v>874</v>
      </c>
    </row>
    <row r="114" spans="1:3" x14ac:dyDescent="0.25">
      <c r="A114" s="6" t="s">
        <v>196</v>
      </c>
      <c r="B114" s="694" t="s">
        <v>197</v>
      </c>
    </row>
    <row r="115" spans="1:3" ht="21" x14ac:dyDescent="0.25">
      <c r="A115" s="31" t="s">
        <v>60</v>
      </c>
      <c r="B115" s="33"/>
    </row>
    <row r="116" spans="1:3" ht="18.75" x14ac:dyDescent="0.25">
      <c r="A116" s="39" t="s">
        <v>198</v>
      </c>
      <c r="B116" s="694" t="s">
        <v>875</v>
      </c>
      <c r="C116" s="36"/>
    </row>
    <row r="117" spans="1:3" x14ac:dyDescent="0.25">
      <c r="A117" s="33" t="s">
        <v>199</v>
      </c>
      <c r="B117" s="33" t="s">
        <v>200</v>
      </c>
      <c r="C117" s="704"/>
    </row>
    <row r="118" spans="1:3" ht="18.75" x14ac:dyDescent="0.25">
      <c r="A118" s="38" t="s">
        <v>201</v>
      </c>
      <c r="B118" s="694" t="s">
        <v>876</v>
      </c>
      <c r="C118" s="37"/>
    </row>
    <row r="119" spans="1:3" x14ac:dyDescent="0.25">
      <c r="A119" s="33" t="s">
        <v>202</v>
      </c>
      <c r="B119" s="694" t="s">
        <v>877</v>
      </c>
    </row>
    <row r="120" spans="1:3" ht="21" x14ac:dyDescent="0.25">
      <c r="A120" s="696" t="s">
        <v>61</v>
      </c>
      <c r="B120" s="33"/>
      <c r="C120" s="36"/>
    </row>
    <row r="121" spans="1:3" ht="18.75" x14ac:dyDescent="0.3">
      <c r="A121" s="695" t="s">
        <v>203</v>
      </c>
      <c r="B121" s="694" t="s">
        <v>878</v>
      </c>
    </row>
    <row r="122" spans="1:3" x14ac:dyDescent="0.25">
      <c r="A122" s="21" t="s">
        <v>204</v>
      </c>
      <c r="B122" s="33" t="s">
        <v>205</v>
      </c>
    </row>
    <row r="123" spans="1:3" x14ac:dyDescent="0.25">
      <c r="A123" s="33" t="s">
        <v>206</v>
      </c>
      <c r="B123" s="694" t="s">
        <v>207</v>
      </c>
    </row>
    <row r="124" spans="1:3" x14ac:dyDescent="0.25">
      <c r="A124" s="33" t="s">
        <v>110</v>
      </c>
      <c r="B124" s="33" t="s">
        <v>208</v>
      </c>
      <c r="C124" s="37">
        <f>TF!F8</f>
        <v>0.95300000000000007</v>
      </c>
    </row>
    <row r="125" spans="1:3" x14ac:dyDescent="0.25">
      <c r="A125" s="33" t="s">
        <v>112</v>
      </c>
      <c r="B125" s="33" t="s">
        <v>209</v>
      </c>
      <c r="C125" s="37">
        <f>TF!F9</f>
        <v>0.84</v>
      </c>
    </row>
    <row r="126" spans="1:3" ht="18.75" x14ac:dyDescent="0.25">
      <c r="A126" s="39" t="s">
        <v>210</v>
      </c>
      <c r="B126" s="694" t="s">
        <v>879</v>
      </c>
      <c r="C126" s="37"/>
    </row>
    <row r="127" spans="1:3" x14ac:dyDescent="0.25">
      <c r="A127" s="21" t="s">
        <v>170</v>
      </c>
      <c r="B127" s="694" t="s">
        <v>211</v>
      </c>
      <c r="C127" s="37"/>
    </row>
    <row r="128" spans="1:3" x14ac:dyDescent="0.25">
      <c r="A128" s="21" t="s">
        <v>212</v>
      </c>
      <c r="B128" s="33" t="s">
        <v>213</v>
      </c>
      <c r="C128" s="37"/>
    </row>
    <row r="129" spans="1:3" ht="18.75" x14ac:dyDescent="0.3">
      <c r="A129" s="695" t="s">
        <v>920</v>
      </c>
      <c r="B129" s="694" t="s">
        <v>921</v>
      </c>
      <c r="C129" s="37"/>
    </row>
    <row r="130" spans="1:3" x14ac:dyDescent="0.25">
      <c r="A130" s="33" t="s">
        <v>922</v>
      </c>
      <c r="B130" s="35" t="s">
        <v>923</v>
      </c>
      <c r="C130" s="37" t="str">
        <f>TF!F14</f>
        <v>---</v>
      </c>
    </row>
    <row r="131" spans="1:3" x14ac:dyDescent="0.25">
      <c r="A131" s="6" t="s">
        <v>924</v>
      </c>
      <c r="B131" s="694" t="s">
        <v>925</v>
      </c>
      <c r="C131" s="37" t="str">
        <f>TF!F15</f>
        <v>---</v>
      </c>
    </row>
    <row r="132" spans="1:3" ht="21" x14ac:dyDescent="0.25">
      <c r="A132" s="696" t="s">
        <v>62</v>
      </c>
      <c r="B132" s="33"/>
    </row>
    <row r="133" spans="1:3" ht="18.75" x14ac:dyDescent="0.25">
      <c r="A133" s="38" t="s">
        <v>214</v>
      </c>
      <c r="B133" s="694" t="s">
        <v>880</v>
      </c>
    </row>
    <row r="134" spans="1:3" x14ac:dyDescent="0.25">
      <c r="A134" s="33" t="s">
        <v>215</v>
      </c>
      <c r="B134" s="33" t="s">
        <v>216</v>
      </c>
      <c r="C134" s="37" t="str">
        <f>TF!F16</f>
        <v>---</v>
      </c>
    </row>
    <row r="135" spans="1:3" x14ac:dyDescent="0.25">
      <c r="A135" s="33" t="s">
        <v>217</v>
      </c>
      <c r="B135" s="33" t="s">
        <v>218</v>
      </c>
      <c r="C135" s="37" t="str">
        <f>TF!F17</f>
        <v>---</v>
      </c>
    </row>
    <row r="136" spans="1:3" x14ac:dyDescent="0.25">
      <c r="A136" s="33" t="s">
        <v>219</v>
      </c>
      <c r="B136" s="33" t="s">
        <v>220</v>
      </c>
      <c r="C136" s="37" t="str">
        <f>TF!F18</f>
        <v>---</v>
      </c>
    </row>
    <row r="137" spans="1:3" ht="18.75" x14ac:dyDescent="0.25">
      <c r="A137" s="39" t="s">
        <v>221</v>
      </c>
      <c r="B137" s="694" t="s">
        <v>881</v>
      </c>
    </row>
    <row r="138" spans="1:3" x14ac:dyDescent="0.25">
      <c r="A138" s="21" t="s">
        <v>222</v>
      </c>
      <c r="B138" s="33" t="s">
        <v>223</v>
      </c>
      <c r="C138" s="37" t="str">
        <f>TF!F19</f>
        <v>0</v>
      </c>
    </row>
    <row r="139" spans="1:3" x14ac:dyDescent="0.25">
      <c r="A139" s="21" t="s">
        <v>187</v>
      </c>
      <c r="B139" s="33" t="s">
        <v>224</v>
      </c>
      <c r="C139" s="37"/>
    </row>
    <row r="140" spans="1:3" ht="21" x14ac:dyDescent="0.25">
      <c r="A140" s="31" t="s">
        <v>63</v>
      </c>
      <c r="B140" s="33"/>
      <c r="C140" s="37"/>
    </row>
    <row r="141" spans="1:3" ht="18.75" x14ac:dyDescent="0.25">
      <c r="A141" s="38" t="s">
        <v>225</v>
      </c>
      <c r="B141" s="694" t="s">
        <v>882</v>
      </c>
    </row>
    <row r="142" spans="1:3" x14ac:dyDescent="0.25">
      <c r="A142" s="33" t="s">
        <v>226</v>
      </c>
      <c r="B142" s="35" t="s">
        <v>227</v>
      </c>
    </row>
    <row r="143" spans="1:3" ht="18.75" x14ac:dyDescent="0.25">
      <c r="A143" s="38" t="s">
        <v>228</v>
      </c>
      <c r="B143" s="694" t="s">
        <v>883</v>
      </c>
    </row>
    <row r="144" spans="1:3" x14ac:dyDescent="0.25">
      <c r="A144" s="6" t="s">
        <v>229</v>
      </c>
      <c r="B144" s="694" t="s">
        <v>230</v>
      </c>
    </row>
    <row r="145" spans="1:3" x14ac:dyDescent="0.25">
      <c r="A145" s="21" t="s">
        <v>231</v>
      </c>
      <c r="B145" s="33" t="s">
        <v>232</v>
      </c>
      <c r="C145" s="37"/>
    </row>
    <row r="146" spans="1:3" ht="21" x14ac:dyDescent="0.25">
      <c r="A146" s="31" t="s">
        <v>64</v>
      </c>
      <c r="B146" s="6"/>
    </row>
    <row r="147" spans="1:3" ht="18.75" x14ac:dyDescent="0.25">
      <c r="A147" s="38" t="s">
        <v>233</v>
      </c>
      <c r="B147" s="698" t="s">
        <v>884</v>
      </c>
    </row>
    <row r="148" spans="1:3" x14ac:dyDescent="0.25">
      <c r="A148" s="33" t="s">
        <v>234</v>
      </c>
      <c r="B148" s="698" t="s">
        <v>235</v>
      </c>
    </row>
    <row r="149" spans="1:3" x14ac:dyDescent="0.25">
      <c r="A149" s="6" t="s">
        <v>53</v>
      </c>
      <c r="B149" s="33" t="s">
        <v>236</v>
      </c>
    </row>
    <row r="150" spans="1:3" ht="21" x14ac:dyDescent="0.25">
      <c r="A150" s="31" t="s">
        <v>237</v>
      </c>
      <c r="B150" s="33"/>
    </row>
    <row r="151" spans="1:3" ht="18.75" x14ac:dyDescent="0.25">
      <c r="A151" s="38" t="s">
        <v>238</v>
      </c>
      <c r="B151" s="694" t="s">
        <v>885</v>
      </c>
    </row>
    <row r="152" spans="1:3" x14ac:dyDescent="0.25">
      <c r="A152" s="6" t="s">
        <v>239</v>
      </c>
      <c r="B152" s="33" t="s">
        <v>240</v>
      </c>
    </row>
    <row r="153" spans="1:3" ht="21" x14ac:dyDescent="0.25">
      <c r="A153" s="696" t="s">
        <v>241</v>
      </c>
      <c r="B153" s="33"/>
    </row>
    <row r="154" spans="1:3" ht="18.75" x14ac:dyDescent="0.25">
      <c r="A154" s="38" t="s">
        <v>242</v>
      </c>
      <c r="B154" s="710" t="s">
        <v>886</v>
      </c>
    </row>
    <row r="155" spans="1:3" x14ac:dyDescent="0.25">
      <c r="A155" s="33" t="s">
        <v>243</v>
      </c>
      <c r="B155" s="6" t="s">
        <v>887</v>
      </c>
    </row>
    <row r="156" spans="1:3" x14ac:dyDescent="0.25">
      <c r="A156" s="6" t="s">
        <v>244</v>
      </c>
      <c r="B156" s="33" t="s">
        <v>245</v>
      </c>
    </row>
    <row r="157" spans="1:3" ht="21" x14ac:dyDescent="0.25">
      <c r="A157" s="696" t="s">
        <v>246</v>
      </c>
      <c r="B157" s="33"/>
    </row>
    <row r="158" spans="1:3" ht="18.75" x14ac:dyDescent="0.25">
      <c r="A158" s="38" t="s">
        <v>247</v>
      </c>
      <c r="B158" s="698" t="s">
        <v>888</v>
      </c>
    </row>
    <row r="159" spans="1:3" x14ac:dyDescent="0.25">
      <c r="A159" s="33" t="s">
        <v>248</v>
      </c>
      <c r="B159" s="6" t="s">
        <v>249</v>
      </c>
    </row>
    <row r="160" spans="1:3" x14ac:dyDescent="0.25">
      <c r="A160" s="6" t="s">
        <v>250</v>
      </c>
      <c r="B160" s="33" t="s">
        <v>251</v>
      </c>
    </row>
    <row r="161" spans="1:2" x14ac:dyDescent="0.25">
      <c r="A161" s="33" t="s">
        <v>252</v>
      </c>
      <c r="B161" s="6" t="s">
        <v>253</v>
      </c>
    </row>
    <row r="162" spans="1:2" x14ac:dyDescent="0.25">
      <c r="A162" s="33" t="s">
        <v>254</v>
      </c>
      <c r="B162" s="6" t="s">
        <v>255</v>
      </c>
    </row>
    <row r="163" spans="1:2" x14ac:dyDescent="0.25">
      <c r="A163" s="6" t="s">
        <v>256</v>
      </c>
      <c r="B163" s="33" t="s">
        <v>257</v>
      </c>
    </row>
    <row r="164" spans="1:2" x14ac:dyDescent="0.25">
      <c r="A164" s="6" t="s">
        <v>258</v>
      </c>
      <c r="B164" s="33" t="s">
        <v>259</v>
      </c>
    </row>
    <row r="165" spans="1:2" x14ac:dyDescent="0.25">
      <c r="A165" s="33" t="s">
        <v>260</v>
      </c>
      <c r="B165" s="6" t="s">
        <v>261</v>
      </c>
    </row>
    <row r="166" spans="1:2" x14ac:dyDescent="0.25">
      <c r="A166" s="33" t="s">
        <v>262</v>
      </c>
      <c r="B166" s="6" t="s">
        <v>263</v>
      </c>
    </row>
    <row r="167" spans="1:2" ht="18.75" x14ac:dyDescent="0.25">
      <c r="A167" s="38"/>
      <c r="B167" s="6"/>
    </row>
    <row r="168" spans="1:2" x14ac:dyDescent="0.25">
      <c r="A168" s="6"/>
      <c r="B168" s="33"/>
    </row>
    <row r="169" spans="1:2" x14ac:dyDescent="0.25">
      <c r="A169" s="6"/>
      <c r="B169" s="33"/>
    </row>
    <row r="170" spans="1:2" x14ac:dyDescent="0.25">
      <c r="A170" s="6"/>
      <c r="B170" s="33"/>
    </row>
    <row r="171" spans="1:2" x14ac:dyDescent="0.25">
      <c r="A171" s="6"/>
      <c r="B171" s="33"/>
    </row>
    <row r="172" spans="1:2" x14ac:dyDescent="0.25">
      <c r="A172" s="6"/>
      <c r="B172" s="33"/>
    </row>
    <row r="173" spans="1:2" x14ac:dyDescent="0.25">
      <c r="A173" s="6"/>
      <c r="B173" s="33"/>
    </row>
    <row r="174" spans="1:2" x14ac:dyDescent="0.25">
      <c r="A174" s="6"/>
      <c r="B174" s="33"/>
    </row>
    <row r="175" spans="1:2" x14ac:dyDescent="0.25">
      <c r="A175" s="6"/>
      <c r="B175" s="33"/>
    </row>
    <row r="176" spans="1:2" ht="21" x14ac:dyDescent="0.25">
      <c r="A176" s="696"/>
      <c r="B176" s="35"/>
    </row>
    <row r="177" spans="1:2" x14ac:dyDescent="0.25">
      <c r="A177" s="6"/>
      <c r="B177" s="6"/>
    </row>
    <row r="178" spans="1:2" x14ac:dyDescent="0.25">
      <c r="A178" s="6"/>
      <c r="B178" s="6"/>
    </row>
    <row r="179" spans="1:2" x14ac:dyDescent="0.25">
      <c r="A179" s="6"/>
      <c r="B179" s="6"/>
    </row>
    <row r="180" spans="1:2" x14ac:dyDescent="0.25">
      <c r="A180" s="6"/>
      <c r="B180" s="6"/>
    </row>
    <row r="181" spans="1:2" x14ac:dyDescent="0.25">
      <c r="A181" s="6"/>
      <c r="B181" s="6"/>
    </row>
    <row r="182" spans="1:2" x14ac:dyDescent="0.25">
      <c r="A182" s="6"/>
      <c r="B182" s="6"/>
    </row>
    <row r="183" spans="1:2" ht="21" x14ac:dyDescent="0.25">
      <c r="A183" s="696"/>
      <c r="B183" s="6"/>
    </row>
    <row r="184" spans="1:2" x14ac:dyDescent="0.25">
      <c r="A184" s="6"/>
      <c r="B184" s="6"/>
    </row>
    <row r="185" spans="1:2" x14ac:dyDescent="0.25">
      <c r="A185" s="6"/>
      <c r="B185" s="6"/>
    </row>
    <row r="186" spans="1:2" x14ac:dyDescent="0.25">
      <c r="A186" s="6"/>
      <c r="B186" s="6"/>
    </row>
    <row r="187" spans="1:2" x14ac:dyDescent="0.25">
      <c r="A187" s="6"/>
      <c r="B187" s="6"/>
    </row>
    <row r="188" spans="1:2" x14ac:dyDescent="0.25">
      <c r="A188" s="6"/>
      <c r="B188" s="6"/>
    </row>
    <row r="189" spans="1:2" x14ac:dyDescent="0.25">
      <c r="A189" s="6"/>
      <c r="B189" s="6"/>
    </row>
    <row r="190" spans="1:2" ht="21" x14ac:dyDescent="0.25">
      <c r="A190" s="696"/>
      <c r="B190" s="6"/>
    </row>
    <row r="191" spans="1:2" x14ac:dyDescent="0.25">
      <c r="A191" s="6"/>
      <c r="B191" s="6"/>
    </row>
    <row r="192" spans="1:2" x14ac:dyDescent="0.25">
      <c r="A192" s="6"/>
      <c r="B192" s="6"/>
    </row>
    <row r="193" spans="1:2" x14ac:dyDescent="0.25">
      <c r="A193" s="699"/>
      <c r="B193" s="700"/>
    </row>
    <row r="194" spans="1:2" x14ac:dyDescent="0.25">
      <c r="A194" s="699"/>
      <c r="B194" s="700"/>
    </row>
    <row r="195" spans="1:2" x14ac:dyDescent="0.25">
      <c r="A195" s="21"/>
      <c r="B195" s="700"/>
    </row>
    <row r="196" spans="1:2" x14ac:dyDescent="0.25">
      <c r="A196" s="699"/>
      <c r="B196" s="700"/>
    </row>
    <row r="197" spans="1:2" x14ac:dyDescent="0.25">
      <c r="A197" s="699"/>
      <c r="B197" s="700"/>
    </row>
    <row r="198" spans="1:2" x14ac:dyDescent="0.25">
      <c r="A198" s="699"/>
      <c r="B198" s="700"/>
    </row>
    <row r="199" spans="1:2" x14ac:dyDescent="0.25">
      <c r="A199" s="21"/>
      <c r="B199" s="701"/>
    </row>
    <row r="200" spans="1:2" x14ac:dyDescent="0.25">
      <c r="A200" s="699"/>
      <c r="B200" s="700"/>
    </row>
    <row r="201" spans="1:2" x14ac:dyDescent="0.25">
      <c r="A201" s="699"/>
      <c r="B201" s="700"/>
    </row>
    <row r="202" spans="1:2" x14ac:dyDescent="0.25">
      <c r="A202" s="699"/>
      <c r="B202" s="700"/>
    </row>
    <row r="203" spans="1:2" x14ac:dyDescent="0.25">
      <c r="A203" s="699"/>
      <c r="B203" s="700"/>
    </row>
    <row r="204" spans="1:2" x14ac:dyDescent="0.25">
      <c r="A204" s="699"/>
      <c r="B204" s="700"/>
    </row>
    <row r="205" spans="1:2" x14ac:dyDescent="0.25">
      <c r="A205" s="699"/>
      <c r="B205" s="700"/>
    </row>
    <row r="206" spans="1:2" x14ac:dyDescent="0.25">
      <c r="A206" s="699"/>
      <c r="B206" s="700"/>
    </row>
    <row r="207" spans="1:2" x14ac:dyDescent="0.25">
      <c r="A207" s="699"/>
      <c r="B207" s="700"/>
    </row>
    <row r="208" spans="1:2" x14ac:dyDescent="0.25">
      <c r="A208" s="702"/>
      <c r="B208" s="703"/>
    </row>
    <row r="209" spans="1:2" x14ac:dyDescent="0.25">
      <c r="A209" s="702"/>
      <c r="B209" s="703"/>
    </row>
    <row r="210" spans="1:2" x14ac:dyDescent="0.25">
      <c r="A210" s="702"/>
      <c r="B210" s="703"/>
    </row>
    <row r="211" spans="1:2" x14ac:dyDescent="0.25">
      <c r="A211" s="702"/>
      <c r="B211" s="703"/>
    </row>
    <row r="212" spans="1:2" x14ac:dyDescent="0.25">
      <c r="A212" s="702"/>
      <c r="B212" s="703"/>
    </row>
    <row r="213" spans="1:2" x14ac:dyDescent="0.25">
      <c r="A213" s="21"/>
      <c r="B213" s="21"/>
    </row>
    <row r="214" spans="1:2" x14ac:dyDescent="0.25">
      <c r="A214" s="701"/>
      <c r="B214" s="703"/>
    </row>
    <row r="215" spans="1:2" x14ac:dyDescent="0.25">
      <c r="A215" s="702"/>
      <c r="B215" s="703"/>
    </row>
    <row r="216" spans="1:2" x14ac:dyDescent="0.25">
      <c r="A216" s="702"/>
      <c r="B216" s="703"/>
    </row>
    <row r="217" spans="1:2" x14ac:dyDescent="0.25">
      <c r="A217" s="702"/>
      <c r="B217" s="703"/>
    </row>
    <row r="218" spans="1:2" x14ac:dyDescent="0.25">
      <c r="A218" s="21"/>
      <c r="B218" s="21"/>
    </row>
    <row r="219" spans="1:2" x14ac:dyDescent="0.25">
      <c r="A219" s="701"/>
      <c r="B219" s="21"/>
    </row>
    <row r="220" spans="1:2" x14ac:dyDescent="0.25">
      <c r="A220" s="702"/>
      <c r="B220" s="703"/>
    </row>
    <row r="221" spans="1:2" x14ac:dyDescent="0.25">
      <c r="A221" s="702"/>
      <c r="B221" s="703"/>
    </row>
    <row r="222" spans="1:2" x14ac:dyDescent="0.25">
      <c r="A222" s="21"/>
      <c r="B222" s="21"/>
    </row>
    <row r="223" spans="1:2" x14ac:dyDescent="0.25">
      <c r="A223" s="21"/>
      <c r="B223" s="21"/>
    </row>
    <row r="224" spans="1:2" x14ac:dyDescent="0.25">
      <c r="A224" s="21"/>
      <c r="B224" s="21"/>
    </row>
    <row r="225" spans="1:2" x14ac:dyDescent="0.25">
      <c r="A225" s="21"/>
      <c r="B225" s="21"/>
    </row>
    <row r="226" spans="1:2" x14ac:dyDescent="0.25">
      <c r="A226" s="21"/>
      <c r="B226" s="21"/>
    </row>
    <row r="227" spans="1:2" x14ac:dyDescent="0.25">
      <c r="A227" s="21"/>
      <c r="B227" s="21"/>
    </row>
    <row r="228" spans="1:2" x14ac:dyDescent="0.25">
      <c r="A228" s="21"/>
      <c r="B228" s="21"/>
    </row>
    <row r="229" spans="1:2" x14ac:dyDescent="0.25">
      <c r="A229" s="21"/>
      <c r="B229" s="21"/>
    </row>
    <row r="230" spans="1:2" ht="15.75" x14ac:dyDescent="0.25">
      <c r="A230" s="27"/>
      <c r="B230" s="28"/>
    </row>
    <row r="231" spans="1:2" ht="15.75" x14ac:dyDescent="0.25">
      <c r="A231" s="27"/>
      <c r="B231" s="28"/>
    </row>
    <row r="232" spans="1:2" ht="15.75" x14ac:dyDescent="0.25">
      <c r="A232" s="27"/>
      <c r="B232" s="28"/>
    </row>
    <row r="233" spans="1:2" ht="15.75" x14ac:dyDescent="0.25">
      <c r="A233" s="27"/>
      <c r="B233" s="28"/>
    </row>
    <row r="234" spans="1:2" ht="15.75" x14ac:dyDescent="0.25">
      <c r="A234" s="27"/>
      <c r="B234" s="28"/>
    </row>
    <row r="235" spans="1:2" ht="15.75" x14ac:dyDescent="0.25">
      <c r="A235" s="27"/>
      <c r="B235" s="28"/>
    </row>
    <row r="236" spans="1:2" ht="15.75" x14ac:dyDescent="0.25">
      <c r="A236" s="27"/>
      <c r="B236" s="28"/>
    </row>
    <row r="237" spans="1:2" ht="15.75" x14ac:dyDescent="0.25">
      <c r="A237" s="27"/>
      <c r="B237" s="28"/>
    </row>
    <row r="238" spans="1:2" ht="15.75" x14ac:dyDescent="0.25">
      <c r="A238" s="27"/>
      <c r="B238" s="28"/>
    </row>
    <row r="239" spans="1:2" ht="15.75" x14ac:dyDescent="0.25">
      <c r="A239" s="27"/>
      <c r="B239" s="28"/>
    </row>
    <row r="240" spans="1:2" ht="15.75" x14ac:dyDescent="0.25">
      <c r="A240" s="27"/>
      <c r="B240" s="28"/>
    </row>
    <row r="241" spans="1:2" ht="15.75" x14ac:dyDescent="0.25">
      <c r="A241" s="27"/>
      <c r="B241" s="28"/>
    </row>
    <row r="242" spans="1:2" ht="15.75" x14ac:dyDescent="0.25">
      <c r="A242" s="27"/>
      <c r="B242" s="28"/>
    </row>
    <row r="243" spans="1:2" ht="15.75" x14ac:dyDescent="0.25">
      <c r="A243" s="27"/>
      <c r="B243" s="28"/>
    </row>
    <row r="244" spans="1:2" ht="15.75" x14ac:dyDescent="0.25">
      <c r="A244" s="27"/>
      <c r="B244" s="28"/>
    </row>
    <row r="245" spans="1:2" ht="15.75" x14ac:dyDescent="0.25">
      <c r="A245" s="27"/>
      <c r="B245" s="28"/>
    </row>
    <row r="246" spans="1:2" ht="15.75" x14ac:dyDescent="0.25">
      <c r="A246" s="27"/>
      <c r="B246" s="28"/>
    </row>
    <row r="247" spans="1:2" ht="15.75" x14ac:dyDescent="0.25">
      <c r="A247" s="27"/>
      <c r="B247" s="28"/>
    </row>
    <row r="248" spans="1:2" ht="15.75" x14ac:dyDescent="0.25">
      <c r="A248" s="27"/>
      <c r="B248" s="28"/>
    </row>
    <row r="249" spans="1:2" ht="15.75" x14ac:dyDescent="0.25">
      <c r="A249" s="27"/>
      <c r="B249" s="28"/>
    </row>
    <row r="250" spans="1:2" ht="15.75" x14ac:dyDescent="0.25">
      <c r="A250" s="27"/>
      <c r="B250" s="28"/>
    </row>
    <row r="251" spans="1:2" ht="15.75" x14ac:dyDescent="0.25">
      <c r="A251" s="27"/>
      <c r="B251" s="28"/>
    </row>
    <row r="252" spans="1:2" ht="15.75" x14ac:dyDescent="0.25">
      <c r="A252" s="27"/>
      <c r="B252" s="28"/>
    </row>
    <row r="253" spans="1:2" ht="15.75" x14ac:dyDescent="0.25">
      <c r="A253" s="27"/>
      <c r="B253" s="28"/>
    </row>
    <row r="254" spans="1:2" ht="15.75" x14ac:dyDescent="0.25">
      <c r="A254" s="27"/>
      <c r="B254" s="28"/>
    </row>
    <row r="255" spans="1:2" ht="15.75" x14ac:dyDescent="0.25">
      <c r="A255" s="27"/>
      <c r="B255" s="28"/>
    </row>
    <row r="256" spans="1:2" ht="15.75" x14ac:dyDescent="0.25">
      <c r="A256" s="27"/>
      <c r="B256" s="28"/>
    </row>
    <row r="257" spans="1:2" ht="15.75" x14ac:dyDescent="0.25">
      <c r="A257" s="27"/>
      <c r="B257" s="28"/>
    </row>
    <row r="258" spans="1:2" ht="15.75" x14ac:dyDescent="0.25">
      <c r="A258" s="27"/>
      <c r="B258" s="28"/>
    </row>
    <row r="259" spans="1:2" ht="15.75" x14ac:dyDescent="0.25">
      <c r="A259" s="27"/>
      <c r="B259" s="28"/>
    </row>
    <row r="260" spans="1:2" ht="15.75" x14ac:dyDescent="0.25">
      <c r="A260" s="27"/>
      <c r="B260" s="28"/>
    </row>
    <row r="261" spans="1:2" ht="15.75" x14ac:dyDescent="0.25">
      <c r="A261" s="27"/>
      <c r="B261" s="28"/>
    </row>
    <row r="262" spans="1:2" ht="15.75" x14ac:dyDescent="0.25">
      <c r="A262" s="27"/>
      <c r="B262" s="28"/>
    </row>
    <row r="263" spans="1:2" ht="15.75" x14ac:dyDescent="0.25">
      <c r="A263" s="27"/>
      <c r="B263" s="28"/>
    </row>
    <row r="264" spans="1:2" ht="15.75" x14ac:dyDescent="0.25">
      <c r="A264" s="27"/>
      <c r="B264" s="28"/>
    </row>
    <row r="265" spans="1:2" ht="15.75" x14ac:dyDescent="0.25">
      <c r="A265" s="27"/>
      <c r="B265" s="28"/>
    </row>
    <row r="266" spans="1:2" ht="15.75" x14ac:dyDescent="0.25">
      <c r="A266" s="27"/>
      <c r="B266" s="28"/>
    </row>
    <row r="267" spans="1:2" ht="15.75" x14ac:dyDescent="0.25">
      <c r="A267" s="27"/>
      <c r="B267" s="28"/>
    </row>
    <row r="268" spans="1:2" ht="15.75" x14ac:dyDescent="0.25">
      <c r="A268" s="27"/>
      <c r="B268" s="28"/>
    </row>
    <row r="269" spans="1:2" ht="15.75" x14ac:dyDescent="0.25">
      <c r="A269" s="27"/>
      <c r="B269" s="28"/>
    </row>
    <row r="270" spans="1:2" ht="15.75" x14ac:dyDescent="0.25">
      <c r="A270" s="27"/>
      <c r="B270" s="28"/>
    </row>
    <row r="271" spans="1:2" ht="15.75" x14ac:dyDescent="0.25">
      <c r="A271" s="27"/>
      <c r="B271" s="28"/>
    </row>
    <row r="272" spans="1:2" ht="15.75" x14ac:dyDescent="0.25">
      <c r="A272" s="27"/>
      <c r="B272" s="28"/>
    </row>
    <row r="273" spans="1:2" ht="15.75" x14ac:dyDescent="0.25">
      <c r="A273" s="27"/>
      <c r="B273" s="28"/>
    </row>
    <row r="274" spans="1:2" ht="15.75" x14ac:dyDescent="0.25">
      <c r="A274" s="27"/>
      <c r="B274" s="28"/>
    </row>
    <row r="275" spans="1:2" ht="15.75" x14ac:dyDescent="0.25">
      <c r="A275" s="27"/>
      <c r="B275" s="28"/>
    </row>
    <row r="276" spans="1:2" ht="15.75" x14ac:dyDescent="0.25">
      <c r="A276" s="27"/>
      <c r="B276" s="28"/>
    </row>
    <row r="277" spans="1:2" ht="15.75" x14ac:dyDescent="0.25">
      <c r="A277" s="27"/>
      <c r="B277" s="28"/>
    </row>
    <row r="278" spans="1:2" ht="15.75" x14ac:dyDescent="0.25">
      <c r="A278" s="27"/>
      <c r="B278" s="28"/>
    </row>
    <row r="279" spans="1:2" ht="15.75" x14ac:dyDescent="0.25">
      <c r="A279" s="27"/>
      <c r="B279" s="28"/>
    </row>
    <row r="280" spans="1:2" ht="15.75" x14ac:dyDescent="0.25">
      <c r="A280" s="27"/>
      <c r="B280" s="28"/>
    </row>
    <row r="281" spans="1:2" ht="15.75" x14ac:dyDescent="0.25">
      <c r="A281" s="27"/>
      <c r="B281" s="28"/>
    </row>
    <row r="282" spans="1:2" ht="15.75" x14ac:dyDescent="0.25">
      <c r="A282" s="27"/>
      <c r="B282" s="28"/>
    </row>
    <row r="283" spans="1:2" ht="15.75" x14ac:dyDescent="0.25">
      <c r="A283" s="27"/>
      <c r="B283" s="28"/>
    </row>
    <row r="284" spans="1:2" ht="15.75" x14ac:dyDescent="0.25">
      <c r="A284" s="27"/>
      <c r="B284" s="28"/>
    </row>
    <row r="285" spans="1:2" ht="15.75" x14ac:dyDescent="0.25">
      <c r="A285" s="27"/>
      <c r="B285" s="28"/>
    </row>
    <row r="286" spans="1:2" ht="15.75" x14ac:dyDescent="0.25">
      <c r="A286" s="27"/>
      <c r="B286" s="28"/>
    </row>
    <row r="287" spans="1:2" ht="15.75" x14ac:dyDescent="0.25">
      <c r="A287" s="27"/>
      <c r="B287" s="28"/>
    </row>
    <row r="288" spans="1:2" ht="15.75" x14ac:dyDescent="0.25">
      <c r="A288" s="27"/>
      <c r="B288" s="28"/>
    </row>
    <row r="289" spans="1:2" ht="15.75" x14ac:dyDescent="0.25">
      <c r="A289" s="27"/>
      <c r="B289" s="28"/>
    </row>
    <row r="290" spans="1:2" ht="15.75" x14ac:dyDescent="0.25">
      <c r="A290" s="27"/>
      <c r="B290" s="28"/>
    </row>
    <row r="291" spans="1:2" ht="15.75" x14ac:dyDescent="0.25">
      <c r="A291" s="27"/>
      <c r="B291" s="28"/>
    </row>
    <row r="292" spans="1:2" ht="15.75" x14ac:dyDescent="0.25">
      <c r="A292" s="27"/>
      <c r="B292" s="28"/>
    </row>
    <row r="293" spans="1:2" ht="15.75" x14ac:dyDescent="0.25">
      <c r="A293" s="27"/>
      <c r="B293" s="28"/>
    </row>
    <row r="294" spans="1:2" ht="15.75" x14ac:dyDescent="0.25">
      <c r="A294" s="27"/>
      <c r="B294" s="28"/>
    </row>
    <row r="295" spans="1:2" ht="15.75" x14ac:dyDescent="0.25">
      <c r="A295" s="27"/>
      <c r="B295" s="28"/>
    </row>
    <row r="296" spans="1:2" ht="15.75" x14ac:dyDescent="0.25">
      <c r="A296" s="27"/>
      <c r="B296" s="28"/>
    </row>
    <row r="297" spans="1:2" ht="15.75" x14ac:dyDescent="0.25">
      <c r="A297" s="27"/>
      <c r="B297" s="28"/>
    </row>
    <row r="298" spans="1:2" ht="15.75" x14ac:dyDescent="0.25">
      <c r="A298" s="27"/>
      <c r="B298" s="28"/>
    </row>
    <row r="299" spans="1:2" ht="15.75" x14ac:dyDescent="0.25">
      <c r="A299" s="27"/>
      <c r="B299" s="28"/>
    </row>
    <row r="300" spans="1:2" ht="15.75" x14ac:dyDescent="0.25">
      <c r="A300" s="27"/>
      <c r="B300" s="28"/>
    </row>
  </sheetData>
  <pageMargins left="0.7" right="0.7" top="0.5" bottom="0.5" header="0.3" footer="0.3"/>
  <pageSetup scale="41" fitToHeight="2"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FC8AAA-4496-477C-84F5-4E5CA773807B}">
  <sheetPr codeName="Sheet8">
    <tabColor rgb="FF00B0F0"/>
    <pageSetUpPr fitToPage="1"/>
  </sheetPr>
  <dimension ref="A1:F21"/>
  <sheetViews>
    <sheetView topLeftCell="A7" workbookViewId="0">
      <selection activeCell="A12" sqref="A12"/>
    </sheetView>
  </sheetViews>
  <sheetFormatPr defaultColWidth="9.140625" defaultRowHeight="15" x14ac:dyDescent="0.25"/>
  <cols>
    <col min="1" max="1" width="51.5703125" bestFit="1" customWidth="1"/>
    <col min="2" max="2" width="13.7109375" customWidth="1"/>
    <col min="3" max="3" width="12" customWidth="1"/>
    <col min="4" max="4" width="18.5703125" customWidth="1"/>
    <col min="5" max="5" width="14.28515625" customWidth="1"/>
    <col min="6" max="6" width="17.85546875" customWidth="1"/>
  </cols>
  <sheetData>
    <row r="1" spans="1:6" ht="18.75" x14ac:dyDescent="0.3">
      <c r="A1" s="43" t="str">
        <f>Alibis!A1</f>
        <v>Student</v>
      </c>
      <c r="C1" s="44" t="str">
        <f>Alibis!C1</f>
        <v>Bertke, Fisher</v>
      </c>
    </row>
    <row r="2" spans="1:6" ht="18.75" x14ac:dyDescent="0.3">
      <c r="A2" s="43" t="str">
        <f>Alibis!A2</f>
        <v>Crew Type</v>
      </c>
      <c r="C2" s="44" t="str">
        <f>Alibis!C2</f>
        <v>P</v>
      </c>
      <c r="F2" s="83" t="s">
        <v>266</v>
      </c>
    </row>
    <row r="3" spans="1:6" ht="18.75" x14ac:dyDescent="0.3">
      <c r="A3" s="43" t="str">
        <f>Alibis!A3</f>
        <v>Class</v>
      </c>
      <c r="C3" s="44" t="str">
        <f>Alibis!C3</f>
        <v>26A FTC</v>
      </c>
      <c r="F3" s="3"/>
    </row>
    <row r="4" spans="1:6" ht="19.5" thickBot="1" x14ac:dyDescent="0.35">
      <c r="A4" s="1"/>
      <c r="C4" s="2"/>
      <c r="F4" s="3"/>
    </row>
    <row r="5" spans="1:6" ht="15" customHeight="1" x14ac:dyDescent="0.25">
      <c r="B5" s="902" t="s">
        <v>2</v>
      </c>
      <c r="C5" s="902"/>
      <c r="D5" s="902"/>
      <c r="E5" s="902"/>
      <c r="F5" s="902"/>
    </row>
    <row r="6" spans="1:6" ht="18" customHeight="1" x14ac:dyDescent="0.25">
      <c r="B6" s="903"/>
      <c r="C6" s="903"/>
      <c r="D6" s="903"/>
      <c r="E6" s="903"/>
      <c r="F6" s="903"/>
    </row>
    <row r="7" spans="1:6" ht="37.5" x14ac:dyDescent="0.25">
      <c r="A7" s="8" t="s">
        <v>3</v>
      </c>
      <c r="B7" s="8" t="s">
        <v>4</v>
      </c>
      <c r="C7" s="7" t="s">
        <v>10</v>
      </c>
      <c r="D7" s="8" t="s">
        <v>5</v>
      </c>
      <c r="E7" s="8" t="s">
        <v>6</v>
      </c>
      <c r="F7" s="8" t="s">
        <v>1</v>
      </c>
    </row>
    <row r="8" spans="1:6" x14ac:dyDescent="0.25">
      <c r="A8" s="70" t="s">
        <v>268</v>
      </c>
      <c r="B8" s="67" t="str">
        <f>IF(ISBLANK('PF 6121F'!hdr_acft),"",'PF 6121F'!hdr_acft)</f>
        <v>T-38C</v>
      </c>
      <c r="C8" s="68">
        <f>IF(ISBLANK('PF 6121F'!hdr_time),"",'PF 6121F'!hdr_time)</f>
        <v>1.2</v>
      </c>
      <c r="D8" s="67" t="str">
        <f>IF(ISBLANK('PF 6121F'!hdr_instr),"",'PF 6121F'!hdr_instr)</f>
        <v>Patel</v>
      </c>
      <c r="E8" s="69">
        <f>IF(ISBLANK('PF 6121F'!hdr_date),"",'PF 6121F'!hdr_date)</f>
        <v>46118</v>
      </c>
      <c r="F8" s="201">
        <f>IF(ISBLANK('PF 6121F'!grade),0,'PF 6121F'!grade)</f>
        <v>1</v>
      </c>
    </row>
    <row r="9" spans="1:6" x14ac:dyDescent="0.25">
      <c r="A9" s="70" t="s">
        <v>651</v>
      </c>
      <c r="B9" s="67" t="str">
        <f>IF(ISBLANK('PF 6221F'!hdr_acft),"",'PF 6221F'!hdr_acft)</f>
        <v>T-38C</v>
      </c>
      <c r="C9" s="68">
        <f>IF(ISBLANK('PF 6221F'!hdr_time),"",'PF 6221F'!hdr_time)</f>
        <v>1.1000000000000001</v>
      </c>
      <c r="D9" s="67" t="str">
        <f>IF(ISBLANK('PF 6221F'!hdr_instr),"",'PF 6221F'!hdr_instr)</f>
        <v>Heary</v>
      </c>
      <c r="E9" s="69">
        <f>IF(ISBLANK('PF 6221F'!hdr_date),"",'PF 6221F'!hdr_date)</f>
        <v>46147</v>
      </c>
      <c r="F9" s="201">
        <f>IF(ISBLANK('PF 6221F'!grade),0,'PF 6221F'!grade)</f>
        <v>0.96500000000000008</v>
      </c>
    </row>
    <row r="10" spans="1:6" x14ac:dyDescent="0.25">
      <c r="A10" s="70" t="s">
        <v>724</v>
      </c>
      <c r="B10" s="67" t="str">
        <f>IF(ISBLANK('PF 7112F'!hdr_acft),"",'PF 7112F'!hdr_acft)</f>
        <v>F-16D / 6050</v>
      </c>
      <c r="C10" s="68">
        <f>IF(ISBLANK('PF 7112F'!hdr_time),"",'PF 7112F'!hdr_time)</f>
        <v>1.4</v>
      </c>
      <c r="D10" s="67" t="str">
        <f>IF(ISBLANK('PF 7112F'!hdr_instr),"",'PF 7112F'!hdr_instr)</f>
        <v>Smith, K</v>
      </c>
      <c r="E10" s="69">
        <f>IF(ISBLANK('PF 7112F'!hdr_date),"",'PF 7112F'!hdr_date)</f>
        <v>46093</v>
      </c>
      <c r="F10" s="201">
        <f>IF(ISBLANK('PF 7112F'!grade),0,'PF 7112F'!grade)</f>
        <v>0.95090909090909104</v>
      </c>
    </row>
    <row r="11" spans="1:6" x14ac:dyDescent="0.25">
      <c r="A11" s="70" t="s">
        <v>928</v>
      </c>
      <c r="B11" s="67" t="str">
        <f>IF(ISBLANK('PF 8222F'!hdr_acft),"",'PF 8222F'!hdr_acft)</f>
        <v>F-16D / 378</v>
      </c>
      <c r="C11" s="68">
        <f>IF(ISBLANK('PF 8222F'!hdr_time),"",'PF 8222F'!hdr_time)</f>
        <v>1.1000000000000001</v>
      </c>
      <c r="D11" s="67" t="str">
        <f>IF(ISBLANK('PF 8222F'!hdr_instr),"",'PF 8222F'!hdr_instr)</f>
        <v>Killingsworth</v>
      </c>
      <c r="E11" s="69">
        <f>IF(ISBLANK('PF 8222F'!hdr_date),"",'PF 8222F'!hdr_date)</f>
        <v>46125</v>
      </c>
      <c r="F11" s="201">
        <f>IF(ISBLANK('PF 8222F'!grade),0,'PF 8222F'!grade)</f>
        <v>0.94313461538461552</v>
      </c>
    </row>
    <row r="12" spans="1:6" x14ac:dyDescent="0.25">
      <c r="A12" s="70" t="s">
        <v>947</v>
      </c>
      <c r="B12" s="67" t="str">
        <f>IF(ISBLANK('PF 8231F'!hdr_acft),"",'PF 8231F'!hdr_acft)</f>
        <v>T-38C</v>
      </c>
      <c r="C12" s="68">
        <f>IF(ISBLANK('PF 8231F'!hdr_time),"",'PF 8231F'!hdr_time)</f>
        <v>1.1000000000000001</v>
      </c>
      <c r="D12" s="67" t="str">
        <f>IF(ISBLANK('PF 8231F'!hdr_instr),"",'PF 8231F'!hdr_instr)</f>
        <v>Hutcheson</v>
      </c>
      <c r="E12" s="69">
        <f>IF(ISBLANK('PF 8231F'!hdr_date),"",'PF 8231F'!hdr_date)</f>
        <v>46111</v>
      </c>
      <c r="F12" s="201">
        <f>IF(ISBLANK('PF 8231F'!grade),0,'PF 8231F'!grade)</f>
        <v>0.91340833333333327</v>
      </c>
    </row>
    <row r="13" spans="1:6" x14ac:dyDescent="0.25">
      <c r="A13" s="70" t="s">
        <v>733</v>
      </c>
      <c r="B13" s="67" t="str">
        <f>IF(ISBLANK('PF 8332F'!hdr_acft),"",'PF 8332F'!hdr_acft)</f>
        <v/>
      </c>
      <c r="C13" s="68" t="str">
        <f>IF(ISBLANK('PF 8332F'!hdr_time),"",'PF 8332F'!hdr_time)</f>
        <v/>
      </c>
      <c r="D13" s="67" t="str">
        <f>IF(ISBLANK('PF 8332F'!hdr_instr),"",'PF 8332F'!hdr_instr)</f>
        <v/>
      </c>
      <c r="E13" s="69" t="str">
        <f>IF(ISBLANK('PF 8332F'!hdr_date),"",'PF 8332F'!hdr_date)</f>
        <v/>
      </c>
      <c r="F13" s="201" t="str">
        <f>IF(ISBLANK('PF 8332F'!grade),0,'PF 8332F'!grade)</f>
        <v>0</v>
      </c>
    </row>
    <row r="14" spans="1:6" x14ac:dyDescent="0.25">
      <c r="B14" s="4"/>
      <c r="C14" s="9"/>
      <c r="D14" s="6"/>
      <c r="E14" s="6"/>
      <c r="F14" s="6"/>
    </row>
    <row r="15" spans="1:6" x14ac:dyDescent="0.25">
      <c r="B15" s="4"/>
      <c r="C15" s="9"/>
      <c r="D15" s="6"/>
      <c r="E15" s="6"/>
      <c r="F15" s="6"/>
    </row>
    <row r="16" spans="1:6" x14ac:dyDescent="0.25">
      <c r="B16" s="4"/>
      <c r="C16" s="9"/>
      <c r="D16" s="6"/>
      <c r="E16" s="6"/>
      <c r="F16" s="6"/>
    </row>
    <row r="17" spans="1:6" ht="37.5" x14ac:dyDescent="0.25">
      <c r="A17" s="8" t="s">
        <v>7</v>
      </c>
      <c r="B17" s="8" t="s">
        <v>4</v>
      </c>
      <c r="C17" s="8" t="s">
        <v>8</v>
      </c>
      <c r="D17" s="8" t="s">
        <v>5</v>
      </c>
      <c r="E17" s="8" t="s">
        <v>9</v>
      </c>
      <c r="F17" s="8" t="s">
        <v>1</v>
      </c>
    </row>
    <row r="18" spans="1:6" x14ac:dyDescent="0.25">
      <c r="A18" s="82" t="s">
        <v>401</v>
      </c>
      <c r="B18" s="67"/>
      <c r="C18" s="67"/>
      <c r="D18" s="67" t="str">
        <f>IF(ISBLANK('PF 6241R'!instructor),"",'PF 6241R'!instructor)</f>
        <v/>
      </c>
      <c r="E18" s="69" t="str">
        <f>IF(ISBLANK('PF 6241R'!date),"",'PF 6241R'!date)</f>
        <v/>
      </c>
      <c r="F18" s="201">
        <f>IF(ISBLANK('PF 6241R'!report_grade),"",'PF 6241R'!report_grade)</f>
        <v>0</v>
      </c>
    </row>
    <row r="19" spans="1:6" x14ac:dyDescent="0.25">
      <c r="A19" s="82" t="s">
        <v>430</v>
      </c>
      <c r="B19" s="67"/>
      <c r="C19" s="67"/>
      <c r="D19" s="67" t="str">
        <f>IF(ISBLANK('PF 7121R'!instructor),"",'PF 7121R'!instructor)</f>
        <v>Erb</v>
      </c>
      <c r="E19" s="69">
        <f>IF(ISBLANK('PF 7121R'!date),"",'PF 7121R'!date)</f>
        <v>46160</v>
      </c>
      <c r="F19" s="201">
        <f>IF(ISBLANK('PF 7121R'!report_grade),"",'PF 7121R'!report_grade)</f>
        <v>0.89749999999999996</v>
      </c>
    </row>
    <row r="20" spans="1:6" x14ac:dyDescent="0.25">
      <c r="A20" s="82" t="s">
        <v>963</v>
      </c>
      <c r="B20" s="67"/>
      <c r="C20" s="67"/>
      <c r="D20" s="67" t="str">
        <f>IF(ISBLANK('PF 8340R'!instructor),"",'PF 8340R'!instructor)</f>
        <v/>
      </c>
      <c r="E20" s="69" t="str">
        <f>IF(ISBLANK('PF 8340R'!date),"",'PF 8340R'!date)</f>
        <v/>
      </c>
      <c r="F20" s="201" t="str">
        <f>IF(ISBLANK('PF 8340R'!report_grade),"",'PF 8340R'!report_grade)</f>
        <v>---</v>
      </c>
    </row>
    <row r="21" spans="1:6" x14ac:dyDescent="0.25">
      <c r="A21" s="82" t="s">
        <v>470</v>
      </c>
      <c r="B21" s="67"/>
      <c r="C21" s="67"/>
      <c r="D21" s="67" t="str">
        <f>IF(ISBLANK('PF 8351Y'!instructor),"",'PF 8351Y'!instructor)</f>
        <v/>
      </c>
      <c r="E21" s="69" t="str">
        <f>IF(ISBLANK('PF 8351Y'!date),"",'PF 8351Y'!date)</f>
        <v/>
      </c>
      <c r="F21" s="201">
        <f>IF(ISBLANK('PF 8351Y'!report_grade),"",'PF 8351Y'!report_grade)</f>
        <v>0</v>
      </c>
    </row>
  </sheetData>
  <sheetProtection algorithmName="SHA-512" hashValue="O5Mwa3m8TcKCgTcg4HNAtdIWISfVfXELxJxUjJzh/NFWZAUAv1wc26eP99mt3kJjUniOd+aEUIpbEuoYExeHoQ==" saltValue="SRAtSOjUpls6feDkyKPm6Q==" spinCount="100000" sheet="1"/>
  <mergeCells count="1">
    <mergeCell ref="B5:F6"/>
  </mergeCells>
  <hyperlinks>
    <hyperlink ref="F2" location="Review!A1" display="Review Tab" xr:uid="{817CC5F9-B523-4278-BF01-94C89DC252D7}"/>
    <hyperlink ref="A8" location="'PF 6121F'!A1" display="PF 6121F T-38 Low L/D Flight" xr:uid="{74D245B7-39AA-482A-84E0-0780970939AC}"/>
    <hyperlink ref="A9" location="'PF 6221F'!A1" display="PF 6221F T-38 Aerodynamic Modeling Flight (CSO/P/RPA)" xr:uid="{26DBCFBD-BA60-40EA-AA5C-70DFB4F08233}"/>
    <hyperlink ref="A18" location="'PF 6241R'!A1" display="PF 6241R Model Validation Report" xr:uid="{A63452E4-F8D7-4ED2-91F2-99159A017AF7}"/>
    <hyperlink ref="A10" location="'PF 7112F'!A1" display="PF 7112F F-16/T-38 Tower Flyby Flight (P)" xr:uid="{824C6F0D-D19C-4810-8D8C-538844681315}"/>
    <hyperlink ref="A19" location="'PF 7121R'!A1" display="PF 7121R Air Data System Calibration Report" xr:uid="{B3481847-6407-41C7-A015-6BC8D24E0437}"/>
    <hyperlink ref="A11" location="'PF 8222F'!A1" display="PF 8222F – T-38 Turn Performance Flight (P/RPA)" xr:uid="{237A73E1-F288-477D-8869-498B5BDE6071}"/>
    <hyperlink ref="A12" location="'PF 8231F'!A1" display="PF 8231F – T-38 Level Accel/Sawtooth Climb Flight (P/RPA)" xr:uid="{39C34F46-DD2F-4F43-B27D-545BC65394F1}"/>
    <hyperlink ref="A13" location="'PF 8332F'!A1" display="PF 8332F Multi-Engine Performance Practical (ABM/FTE/P)" xr:uid="{5E704CB1-2E0F-49E8-BE09-0D5784FD1C62}"/>
    <hyperlink ref="A20" location="'PF 8340R'!A1" display="PF 8340R Multi-Engine Performance Practical Written Report" xr:uid="{5EA8CE1D-CADB-4351-8B7A-69266A1854B7}"/>
    <hyperlink ref="A21" location="'PF 8351Y'!A1" display="PF 8351Y Performance Phase Final Test Oral Report" xr:uid="{B315F70E-E144-45C0-8545-E4349B44E1EA}"/>
  </hyperlinks>
  <pageMargins left="0.7" right="0.7" top="0.5" bottom="0.5" header="0.3" footer="0.3"/>
  <pageSetup scale="94" fitToHeight="2"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3118F-7416-4E37-87E5-4A8C960142A8}">
  <sheetPr codeName="Sheet9">
    <tabColor rgb="FF00B050"/>
    <pageSetUpPr fitToPage="1"/>
  </sheetPr>
  <dimension ref="A1:F27"/>
  <sheetViews>
    <sheetView topLeftCell="A5" workbookViewId="0">
      <selection activeCell="A8" sqref="A8"/>
    </sheetView>
  </sheetViews>
  <sheetFormatPr defaultColWidth="9.140625" defaultRowHeight="15" x14ac:dyDescent="0.25"/>
  <cols>
    <col min="1" max="1" width="62.5703125" bestFit="1" customWidth="1"/>
    <col min="2" max="2" width="13.7109375" style="4" customWidth="1"/>
    <col min="3" max="3" width="12" style="9" customWidth="1"/>
    <col min="4" max="4" width="22.85546875" style="6" customWidth="1"/>
    <col min="5" max="5" width="14.28515625" style="6" customWidth="1"/>
    <col min="6" max="6" width="17.85546875" style="6" customWidth="1"/>
  </cols>
  <sheetData>
    <row r="1" spans="1:6" ht="18.75" x14ac:dyDescent="0.3">
      <c r="A1" s="43" t="str">
        <f>Alibis!A1</f>
        <v>Student</v>
      </c>
      <c r="B1"/>
      <c r="C1" s="44" t="str">
        <f>Alibis!C1</f>
        <v>Bertke, Fisher</v>
      </c>
    </row>
    <row r="2" spans="1:6" ht="18.75" x14ac:dyDescent="0.3">
      <c r="A2" s="43" t="str">
        <f>Alibis!A2</f>
        <v>Crew Type</v>
      </c>
      <c r="B2"/>
      <c r="C2" s="44" t="str">
        <f>Alibis!C2</f>
        <v>P</v>
      </c>
      <c r="F2" s="83" t="s">
        <v>266</v>
      </c>
    </row>
    <row r="3" spans="1:6" ht="18.75" x14ac:dyDescent="0.3">
      <c r="A3" s="43" t="str">
        <f>Alibis!A3</f>
        <v>Class</v>
      </c>
      <c r="B3"/>
      <c r="C3" s="44" t="str">
        <f>Alibis!C3</f>
        <v>26A FTC</v>
      </c>
      <c r="F3" s="3"/>
    </row>
    <row r="4" spans="1:6" ht="19.5" thickBot="1" x14ac:dyDescent="0.35">
      <c r="A4" s="1"/>
      <c r="C4" s="5"/>
      <c r="F4" s="3"/>
    </row>
    <row r="5" spans="1:6" ht="15" customHeight="1" x14ac:dyDescent="0.25">
      <c r="B5" s="902" t="s">
        <v>2</v>
      </c>
      <c r="C5" s="902"/>
      <c r="D5" s="902"/>
      <c r="E5" s="902"/>
      <c r="F5" s="902"/>
    </row>
    <row r="6" spans="1:6" ht="21.75" customHeight="1" x14ac:dyDescent="0.25">
      <c r="B6" s="903"/>
      <c r="C6" s="903"/>
      <c r="D6" s="903"/>
      <c r="E6" s="903"/>
      <c r="F6" s="903"/>
    </row>
    <row r="7" spans="1:6" ht="37.5" x14ac:dyDescent="0.25">
      <c r="A7" s="8" t="s">
        <v>3</v>
      </c>
      <c r="B7" s="8" t="s">
        <v>4</v>
      </c>
      <c r="C7" s="7" t="s">
        <v>10</v>
      </c>
      <c r="D7" s="8" t="s">
        <v>5</v>
      </c>
      <c r="E7" s="8" t="s">
        <v>6</v>
      </c>
      <c r="F7" s="8" t="s">
        <v>1</v>
      </c>
    </row>
    <row r="8" spans="1:6" x14ac:dyDescent="0.25">
      <c r="A8" s="70" t="s">
        <v>497</v>
      </c>
      <c r="B8" s="67" t="str">
        <f>IF(ISBLANK('FQ 6241F'!hdr_acft),"",'FQ 6241F'!hdr_acft)</f>
        <v>C-12C/215</v>
      </c>
      <c r="C8" s="68">
        <f>IF(ISBLANK('FQ 6241F'!hdr_time),"",'FQ 6241F'!hdr_time)</f>
        <v>2.5</v>
      </c>
      <c r="D8" s="67" t="str">
        <f>IF(ISBLANK('FQ 6241F'!hdr_instr),"",'FQ 6241F'!hdr_instr)</f>
        <v>Sick</v>
      </c>
      <c r="E8" s="69">
        <f>IF(ISBLANK('FQ 6241F'!hdr_date),"",'FQ 6241F'!hdr_date)</f>
        <v>46171</v>
      </c>
      <c r="F8" s="201">
        <f>IF(ISBLANK('FQ 6241F'!grade),0,'FQ 6241F'!grade)</f>
        <v>0.93972727272727274</v>
      </c>
    </row>
    <row r="9" spans="1:6" x14ac:dyDescent="0.25">
      <c r="A9" s="70" t="s">
        <v>761</v>
      </c>
      <c r="B9" s="67" t="str">
        <f>IF(ISBLANK('FQ 6251F'!hdr_acft),"",'FQ 6251F'!hdr_acft)</f>
        <v/>
      </c>
      <c r="C9" s="68" t="str">
        <f>IF(ISBLANK('FQ 6251F'!hdr_time),"",'FQ 6251F'!hdr_time)</f>
        <v/>
      </c>
      <c r="D9" s="67" t="str">
        <f>IF(ISBLANK('FQ 6251F'!hdr_instr),"",'FQ 6251F'!hdr_instr)</f>
        <v/>
      </c>
      <c r="E9" s="69" t="str">
        <f>IF(ISBLANK('FQ 6251F'!hdr_date),"",'FQ 6251F'!hdr_date)</f>
        <v/>
      </c>
      <c r="F9" s="201" t="str">
        <f>IF(ISBLANK('FQ 6251F'!grade),0,'FQ 6251F'!grade)</f>
        <v>0</v>
      </c>
    </row>
    <row r="10" spans="1:6" x14ac:dyDescent="0.25">
      <c r="A10" s="70" t="s">
        <v>689</v>
      </c>
      <c r="B10" s="67" t="str">
        <f>IF(ISBLANK('FQ 7232F'!hdr_acft),"",'FQ 7232F'!hdr_acft)</f>
        <v/>
      </c>
      <c r="C10" s="68" t="str">
        <f>IF(ISBLANK('FQ 7232F'!hdr_time),"",'FQ 7232F'!hdr_time)</f>
        <v/>
      </c>
      <c r="D10" s="67" t="str">
        <f>IF(ISBLANK('FQ 7232F'!hdr_instr),"",'FQ 7232F'!hdr_instr)</f>
        <v/>
      </c>
      <c r="E10" s="69" t="str">
        <f>IF(ISBLANK('FQ 7232F'!hdr_date),"",'FQ 7232F'!hdr_date)</f>
        <v/>
      </c>
      <c r="F10" s="201" t="str">
        <f>IF(ISBLANK('FQ 7232F'!grade),0,'FQ 7232F'!grade)</f>
        <v>0</v>
      </c>
    </row>
    <row r="11" spans="1:6" x14ac:dyDescent="0.25">
      <c r="A11" s="70" t="s">
        <v>546</v>
      </c>
      <c r="B11" s="67" t="str">
        <f>IF(ISBLANK('FQ 8121F'!hdr_acft),"",'FQ 8121F'!hdr_acft)</f>
        <v/>
      </c>
      <c r="C11" s="68" t="str">
        <f>IF(ISBLANK('FQ 8121F'!hdr_time),"",'FQ 8121F'!hdr_time)</f>
        <v/>
      </c>
      <c r="D11" s="67" t="str">
        <f>IF(ISBLANK('FQ 8121F'!hdr_instr),"",'FQ 8121F'!hdr_instr)</f>
        <v/>
      </c>
      <c r="E11" s="69" t="str">
        <f>IF(ISBLANK('FQ 8121F'!hdr_date),"",'FQ 8121F'!hdr_date)</f>
        <v/>
      </c>
      <c r="F11" s="201" t="str">
        <f>IF(ISBLANK('FQ 8121F'!grade),0,'FQ 8121F'!grade)</f>
        <v>0</v>
      </c>
    </row>
    <row r="12" spans="1:6" x14ac:dyDescent="0.25">
      <c r="A12" s="70" t="s">
        <v>775</v>
      </c>
      <c r="B12" s="67" t="str">
        <f>IF(ISBLANK('FQ 8141F'!hdr_acft),"",'FQ 8141F'!hdr_acft)</f>
        <v/>
      </c>
      <c r="C12" s="68" t="str">
        <f>IF(ISBLANK('FQ 8141F'!hdr_time),"",'FQ 8141F'!hdr_time)</f>
        <v/>
      </c>
      <c r="D12" s="67" t="str">
        <f>IF(ISBLANK('FQ 8141F'!hdr_instr),"",'FQ 8141F'!hdr_instr)</f>
        <v/>
      </c>
      <c r="E12" s="69" t="str">
        <f>IF(ISBLANK('FQ 8141F'!hdr_date),"",'FQ 8141F'!hdr_date)</f>
        <v/>
      </c>
      <c r="F12" s="201" t="str">
        <f>IF(ISBLANK('FQ 8141F'!grade),0,'FQ 8141F'!grade)</f>
        <v>0</v>
      </c>
    </row>
    <row r="13" spans="1:6" x14ac:dyDescent="0.25">
      <c r="A13" s="70" t="s">
        <v>588</v>
      </c>
      <c r="B13" s="67" t="str">
        <f>IF(ISBLANK('FQ 9111F'!hdr_acft),"",'FQ 9111F'!hdr_acft)</f>
        <v/>
      </c>
      <c r="C13" s="68" t="str">
        <f>IF(ISBLANK('FQ 9111F'!hdr_time),"",'FQ 9111F'!hdr_time)</f>
        <v/>
      </c>
      <c r="D13" s="67" t="str">
        <f>IF(ISBLANK('FQ 9111F'!hdr_instr),"",'FQ 9111F'!hdr_instr)</f>
        <v/>
      </c>
      <c r="E13" s="69" t="str">
        <f>IF(ISBLANK('FQ 9111F'!hdr_date),"",'FQ 9111F'!hdr_date)</f>
        <v/>
      </c>
      <c r="F13" s="201" t="str">
        <f>IF(ISBLANK('FQ 9111F'!grade),0,'FQ 9111F'!grade)</f>
        <v>0</v>
      </c>
    </row>
    <row r="14" spans="1:6" x14ac:dyDescent="0.25">
      <c r="A14" s="70" t="s">
        <v>789</v>
      </c>
      <c r="B14" s="67" t="str">
        <f>IF(ISBLANK('FQ 9211F'!hdr_acft),"",'FQ 9211F'!hdr_acft)</f>
        <v/>
      </c>
      <c r="C14" s="68" t="str">
        <f>IF(ISBLANK('FQ 9211F'!hdr_time),"",'FQ 9211F'!hdr_time)</f>
        <v/>
      </c>
      <c r="D14" s="67" t="str">
        <f>IF(ISBLANK('FQ 9211F'!hdr_instr),"",'FQ 9211F'!hdr_instr)</f>
        <v/>
      </c>
      <c r="E14" s="69" t="str">
        <f>IF(ISBLANK('FQ 9211F'!hdr_date),"",'FQ 9211F'!hdr_date)</f>
        <v/>
      </c>
      <c r="F14" s="201" t="str">
        <f>IF(ISBLANK('FQ 9211F'!grade),0,'FQ 9211F'!grade)</f>
        <v>0</v>
      </c>
    </row>
    <row r="15" spans="1:6" x14ac:dyDescent="0.25">
      <c r="A15" s="70" t="s">
        <v>793</v>
      </c>
      <c r="B15" s="67" t="str">
        <f>IF(ISBLANK('FQ 9221F'!hdr_acft),"",'FQ 9221F'!hdr_acft)</f>
        <v/>
      </c>
      <c r="C15" s="68" t="str">
        <f>IF(ISBLANK('FQ 9221F'!hdr_time),"",'FQ 9221F'!hdr_time)</f>
        <v/>
      </c>
      <c r="D15" s="67" t="str">
        <f>IF(ISBLANK('FQ 9221F'!hdr_instr),"",'FQ 9221F'!hdr_instr)</f>
        <v/>
      </c>
      <c r="E15" s="69" t="str">
        <f>IF(ISBLANK('FQ 9221F'!hdr_date),"",'FQ 9221F'!hdr_date)</f>
        <v/>
      </c>
      <c r="F15" s="201" t="str">
        <f>IF(ISBLANK('FQ 9221F'!grade),0,'FQ 9221F'!grade)</f>
        <v>0</v>
      </c>
    </row>
    <row r="16" spans="1:6" x14ac:dyDescent="0.25">
      <c r="A16" s="70" t="s">
        <v>927</v>
      </c>
      <c r="B16" s="67" t="str">
        <f>IF(ISBLANK('FQ 9246F'!hdr_acft),"",'FQ 9246F'!hdr_acft)</f>
        <v/>
      </c>
      <c r="C16" s="68" t="str">
        <f>IF(ISBLANK('FQ 9246F'!hdr_time),"",'FQ 9246F'!hdr_time)</f>
        <v/>
      </c>
      <c r="D16" s="67" t="str">
        <f>IF(ISBLANK('FQ 9246F'!hdr_instr),"",'FQ 9246F'!hdr_instr)</f>
        <v/>
      </c>
      <c r="E16" s="69" t="str">
        <f>IF(ISBLANK('FQ 9246F'!hdr_date),"",'FQ 9246F'!hdr_date)</f>
        <v/>
      </c>
      <c r="F16" s="201" t="str">
        <f>IF(ISBLANK('FQ 9246F'!grade),0,'FQ 9246F'!grade)</f>
        <v>0</v>
      </c>
    </row>
    <row r="17" spans="1:6" x14ac:dyDescent="0.25">
      <c r="A17" s="70" t="s">
        <v>804</v>
      </c>
      <c r="B17" s="67" t="str">
        <f>IF(ISBLANK('FQ 9511F'!hdr_acft),"",'FQ 9511F'!hdr_acft)</f>
        <v>T-38C</v>
      </c>
      <c r="C17" s="68" t="str">
        <f>IF(ISBLANK('FQ 9511F'!hdr_time),"",'FQ 9511F'!hdr_time)</f>
        <v/>
      </c>
      <c r="D17" s="67" t="str">
        <f>IF(ISBLANK('FQ 9511F'!hdr_instr),"",'FQ 9511F'!hdr_instr)</f>
        <v/>
      </c>
      <c r="E17" s="69" t="str">
        <f>IF(ISBLANK('FQ 9511F'!hdr_date),"",'FQ 9511F'!hdr_date)</f>
        <v/>
      </c>
      <c r="F17" s="201" t="str">
        <f>IF(ISBLANK('FQ 9511F'!grade),0,'FQ 9511F'!grade)</f>
        <v>0</v>
      </c>
    </row>
    <row r="18" spans="1:6" ht="18.75" x14ac:dyDescent="0.25">
      <c r="A18" s="13"/>
      <c r="B18" s="13"/>
      <c r="C18" s="12"/>
      <c r="D18" s="13"/>
      <c r="E18" s="13"/>
      <c r="F18" s="13"/>
    </row>
    <row r="19" spans="1:6" ht="18.75" x14ac:dyDescent="0.25">
      <c r="A19" s="13"/>
      <c r="B19" s="13"/>
      <c r="C19" s="12"/>
      <c r="D19" s="13"/>
      <c r="E19" s="13"/>
      <c r="F19" s="13"/>
    </row>
    <row r="20" spans="1:6" ht="18.75" x14ac:dyDescent="0.25">
      <c r="A20" s="13"/>
      <c r="B20" s="13"/>
      <c r="C20" s="12"/>
      <c r="D20" s="13"/>
      <c r="E20" s="13"/>
      <c r="F20" s="13"/>
    </row>
    <row r="24" spans="1:6" ht="37.5" x14ac:dyDescent="0.25">
      <c r="A24" s="8" t="s">
        <v>7</v>
      </c>
      <c r="B24" s="8" t="s">
        <v>4</v>
      </c>
      <c r="C24" s="8" t="s">
        <v>8</v>
      </c>
      <c r="D24" s="8" t="s">
        <v>5</v>
      </c>
      <c r="E24" s="8" t="s">
        <v>9</v>
      </c>
      <c r="F24" s="8" t="s">
        <v>1</v>
      </c>
    </row>
    <row r="25" spans="1:6" x14ac:dyDescent="0.25">
      <c r="A25" s="82" t="s">
        <v>505</v>
      </c>
      <c r="B25" s="67"/>
      <c r="C25" s="67"/>
      <c r="D25" s="67" t="str">
        <f>IF(ISBLANK('FQ 6321R'!instructor),"",'FQ 6321R'!instructor)</f>
        <v/>
      </c>
      <c r="E25" s="69" t="str">
        <f>IF(ISBLANK('FQ 6321R'!date),"",'FQ 6321R'!date)</f>
        <v/>
      </c>
      <c r="F25" s="201">
        <f>IF(ISBLANK('FQ 6321R'!report_grade),"",'FQ 6321R'!report_grade)</f>
        <v>0</v>
      </c>
    </row>
    <row r="26" spans="1:6" x14ac:dyDescent="0.25">
      <c r="A26" s="82" t="s">
        <v>565</v>
      </c>
      <c r="B26" s="67"/>
      <c r="C26" s="67"/>
      <c r="D26" s="67" t="str">
        <f>IF(ISBLANK('FQ 8210Y'!instructor),"",'FQ 8210Y'!instructor)</f>
        <v/>
      </c>
      <c r="E26" s="69" t="str">
        <f>IF(ISBLANK('FQ 8210Y'!date),"",'FQ 8210Y'!date)</f>
        <v/>
      </c>
      <c r="F26" s="201" t="str">
        <f>IF(ISBLANK('FQ 8210Y'!report_grade),"",'FQ 8210Y'!report_grade)</f>
        <v/>
      </c>
    </row>
    <row r="27" spans="1:6" x14ac:dyDescent="0.25">
      <c r="A27" s="82" t="s">
        <v>1008</v>
      </c>
      <c r="B27" s="67"/>
      <c r="C27" s="67"/>
      <c r="D27" s="67" t="str">
        <f>IF(ISBLANK('FQ 9248Y'!instructor),"",'FQ 9248Y'!instructor)</f>
        <v/>
      </c>
      <c r="E27" s="69" t="str">
        <f>IF(ISBLANK('FQ 9248Y'!date),"",'FQ 9248Y'!date)</f>
        <v/>
      </c>
      <c r="F27" s="201" t="str">
        <f>IF(ISBLANK('FQ 9248Y'!report_grade),"",'FQ 9248Y'!report_grade)</f>
        <v/>
      </c>
    </row>
  </sheetData>
  <sheetProtection algorithmName="SHA-512" hashValue="/+t+U/FmphrKCf6f6QyU1Ua5PFIsToE0NIcRuXkn/RZ0QnO5IwgtSSXVZCB7ZlGq3E5sMdBaK1OYVaVVe/CFrw==" saltValue="142PUcn2q7Pk50KF0VainA==" spinCount="100000" sheet="1"/>
  <mergeCells count="1">
    <mergeCell ref="B5:F6"/>
  </mergeCells>
  <hyperlinks>
    <hyperlink ref="F2" location="Review!A1" display="Review Tab" xr:uid="{1CC08C46-8BA1-46FB-BF19-B95D21AC4B23}"/>
    <hyperlink ref="A8" location="'FQ 6241F'!A1" display="FQ 6241F C-12 Static Stability Flight" xr:uid="{674B8551-FF6D-4170-BF4D-6D1ADCE1CC78}"/>
    <hyperlink ref="A9" location="'FQ 6251F'!A1" display="FQ 6251F T-38 Dynamics Flight" xr:uid="{8937670C-3B1E-40D6-B272-FAB09D730344}"/>
    <hyperlink ref="A25" location="'FQ 6321R'!A1" display="FQ 6321R Flying Qualities Test Plan Oral Report" xr:uid="{BF8A1FA6-1F4B-45CC-AC57-42750AF70A3D}"/>
    <hyperlink ref="A10" location="'FQ 7232F'!A1" display="FQ 7232F F-16 Structures Envelope Expansion (CSO/P/RPA)" xr:uid="{B421824E-2260-41A2-99E2-5C96BC3FD853}"/>
    <hyperlink ref="A11" location="'FQ 8121F'!A1" display="FQ 8121F C-12 Multi-Engine Handling Qualities Flight" xr:uid="{9EA75B3D-4F63-4E24-9F20-6E74289F49F6}"/>
    <hyperlink ref="A12" location="'FQ 8141F'!A1" display="FQ 8141F T-38 Handling Qualities Flight (P/RPA)" xr:uid="{86514471-403F-436A-A74B-BEBC3CC27B31}"/>
    <hyperlink ref="A26" location="'FQ 8210Y'!A1" display="FQ 8210Y T-38 Handling Qualities Test Plan Oral Report" xr:uid="{232065CC-1E1C-4D8B-8895-13F5A9209EAF}"/>
    <hyperlink ref="A13" location="'FQ 9111F'!A1" display="FQ 9111F KC-135/C-12 Engine Out Testing Flight" xr:uid="{4087F927-6A07-45EA-9FC4-A3C3BD824266}"/>
    <hyperlink ref="A14" location="'FQ 9211F'!A1" display="FQ 9211 Glider Spin Flight" xr:uid="{5CA9BFB1-2D14-4343-AB5E-02109CE3B18F}"/>
    <hyperlink ref="A15" location="'FQ 9221F'!A1" display="FQ 9221F T-38 Stall Flight (P/RPA)" xr:uid="{C50EB742-1C21-404F-90FE-5F5820B105F0}"/>
    <hyperlink ref="A16" location="'FQ 9246F'!A1" display="FQ 9246F F-16 High AOA Envelope Expansion Data Flight (CSO/P/RPA)  " xr:uid="{FD0AA40D-52C4-4EA9-A4DC-FB14008DB2F4}"/>
    <hyperlink ref="A27" location="'FQ 9248Y'!A1" display="FQ 9248Y High AOA Envelope Expansion Oral Report" xr:uid="{035D435A-5465-4537-AC0A-3D7C4D4F8676}"/>
    <hyperlink ref="A17" location="'FQ 9511F'!A1" display="FQ 9511F T-38 Flying Qualities Practical Exam (P)" xr:uid="{78534F47-CA24-44F7-9B18-102D21FD9092}"/>
  </hyperlinks>
  <pageMargins left="0.7" right="0.7" top="0.5" bottom="0.5" header="0.3" footer="0.3"/>
  <pageSetup scale="90" fitToHeight="2"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F2EE4-4040-4C69-BD8C-E0C45B8337F9}">
  <sheetPr codeName="Sheet10">
    <tabColor rgb="FFFF0000"/>
    <pageSetUpPr fitToPage="1"/>
  </sheetPr>
  <dimension ref="A1:F15"/>
  <sheetViews>
    <sheetView zoomScaleNormal="100" workbookViewId="0">
      <selection activeCell="F2" sqref="F2"/>
    </sheetView>
  </sheetViews>
  <sheetFormatPr defaultColWidth="9.140625" defaultRowHeight="15" x14ac:dyDescent="0.25"/>
  <cols>
    <col min="1" max="1" width="46.85546875" bestFit="1" customWidth="1"/>
    <col min="2" max="2" width="13.7109375" customWidth="1"/>
    <col min="3" max="3" width="12" style="16" customWidth="1"/>
    <col min="4" max="4" width="22.85546875" customWidth="1"/>
    <col min="5" max="5" width="14.28515625" customWidth="1"/>
    <col min="6" max="6" width="17.85546875" customWidth="1"/>
  </cols>
  <sheetData>
    <row r="1" spans="1:6" ht="18.75" x14ac:dyDescent="0.3">
      <c r="A1" s="43" t="str">
        <f>Alibis!A1</f>
        <v>Student</v>
      </c>
      <c r="C1" s="44" t="str">
        <f>Alibis!C1</f>
        <v>Bertke, Fisher</v>
      </c>
    </row>
    <row r="2" spans="1:6" ht="18.75" x14ac:dyDescent="0.3">
      <c r="A2" s="43" t="str">
        <f>Alibis!A2</f>
        <v>Crew Type</v>
      </c>
      <c r="C2" s="44" t="str">
        <f>Alibis!C2</f>
        <v>P</v>
      </c>
      <c r="F2" s="83" t="s">
        <v>266</v>
      </c>
    </row>
    <row r="3" spans="1:6" ht="18.75" x14ac:dyDescent="0.3">
      <c r="A3" s="43" t="str">
        <f>Alibis!A3</f>
        <v>Class</v>
      </c>
      <c r="C3" s="44" t="str">
        <f>Alibis!C3</f>
        <v>26A FTC</v>
      </c>
      <c r="F3" s="3"/>
    </row>
    <row r="4" spans="1:6" ht="19.5" thickBot="1" x14ac:dyDescent="0.35">
      <c r="A4" s="1"/>
      <c r="C4" s="2"/>
      <c r="F4" s="3"/>
    </row>
    <row r="5" spans="1:6" ht="15" customHeight="1" x14ac:dyDescent="0.25">
      <c r="B5" s="902" t="s">
        <v>2</v>
      </c>
      <c r="C5" s="902"/>
      <c r="D5" s="902"/>
      <c r="E5" s="902"/>
      <c r="F5" s="902"/>
    </row>
    <row r="6" spans="1:6" ht="17.25" customHeight="1" x14ac:dyDescent="0.25">
      <c r="B6" s="903"/>
      <c r="C6" s="903"/>
      <c r="D6" s="903"/>
      <c r="E6" s="903"/>
      <c r="F6" s="903"/>
    </row>
    <row r="7" spans="1:6" ht="37.5" x14ac:dyDescent="0.25">
      <c r="A7" s="8" t="s">
        <v>3</v>
      </c>
      <c r="B7" s="8" t="s">
        <v>4</v>
      </c>
      <c r="C7" s="7" t="s">
        <v>10</v>
      </c>
      <c r="D7" s="8" t="s">
        <v>5</v>
      </c>
      <c r="E7" s="8" t="s">
        <v>6</v>
      </c>
      <c r="F7" s="8" t="s">
        <v>1</v>
      </c>
    </row>
    <row r="8" spans="1:6" x14ac:dyDescent="0.25">
      <c r="A8" s="70" t="s">
        <v>604</v>
      </c>
      <c r="B8" s="67" t="str">
        <f>IF(ISBLANK('SY 6131F'!hdr_acft),"",'SY 6131F'!hdr_acft)</f>
        <v/>
      </c>
      <c r="C8" s="68" t="str">
        <f>IF(ISBLANK('SY 6131F'!hdr_time),"",'SY 6131F'!hdr_time)</f>
        <v/>
      </c>
      <c r="D8" s="67" t="str">
        <f>IF(ISBLANK('SY 6131F'!hdr_instr),"",'SY 6131F'!hdr_instr)</f>
        <v/>
      </c>
      <c r="E8" s="69" t="str">
        <f>IF(ISBLANK('SY 6131F'!hdr_date),"",'SY 6131F'!hdr_date)</f>
        <v/>
      </c>
      <c r="F8" s="201" t="str">
        <f>IF(ISBLANK('SY 6131F'!grade),0,'SY 6131F'!grade)</f>
        <v>0</v>
      </c>
    </row>
    <row r="9" spans="1:6" x14ac:dyDescent="0.25">
      <c r="A9" s="70" t="s">
        <v>709</v>
      </c>
      <c r="B9" s="67" t="str">
        <f>IF(ISBLANK('SY 7212F'!hdr_acft),"",'SY 7212F'!hdr_acft)</f>
        <v/>
      </c>
      <c r="C9" s="68" t="str">
        <f>IF(ISBLANK('SY 7212F'!hdr_time),"",'SY 7212F'!hdr_time)</f>
        <v/>
      </c>
      <c r="D9" s="67" t="str">
        <f>IF(ISBLANK('SY 7212F'!hdr_instr),"",'SY 7212F'!hdr_instr)</f>
        <v/>
      </c>
      <c r="E9" s="69" t="str">
        <f>IF(ISBLANK('SY 7212F'!hdr_date),"",'SY 7212F'!hdr_date)</f>
        <v/>
      </c>
      <c r="F9" s="201" t="str">
        <f>IF(ISBLANK('SY 7212F'!grade),0,'SY 7212F'!grade)</f>
        <v>0</v>
      </c>
    </row>
    <row r="10" spans="1:6" x14ac:dyDescent="0.25">
      <c r="A10" s="70" t="s">
        <v>824</v>
      </c>
      <c r="B10" s="67" t="str">
        <f>IF(ISBLANK('SY 7511F'!hdr_acft),"",'SY 7511F'!hdr_acft)</f>
        <v/>
      </c>
      <c r="C10" s="68" t="str">
        <f>IF(ISBLANK('SY 7511F'!hdr_time),"",'SY 7511F'!hdr_time)</f>
        <v/>
      </c>
      <c r="D10" s="67" t="str">
        <f>IF(ISBLANK('SY 7511F'!hdr_instr),"",'SY 7511F'!hdr_instr)</f>
        <v/>
      </c>
      <c r="E10" s="69" t="str">
        <f>IF(ISBLANK('SY 7511F'!hdr_date),"",'SY 7511F'!hdr_date)</f>
        <v/>
      </c>
      <c r="F10" s="201" t="str">
        <f>IF(ISBLANK('SY 7511F'!grade),0,'SY 7511F'!grade)</f>
        <v>0</v>
      </c>
    </row>
    <row r="11" spans="1:6" ht="18.75" x14ac:dyDescent="0.25">
      <c r="A11" s="10"/>
      <c r="B11" s="11"/>
      <c r="C11" s="12"/>
      <c r="D11" s="13"/>
      <c r="E11" s="14"/>
      <c r="F11" s="15"/>
    </row>
    <row r="12" spans="1:6" ht="18.75" x14ac:dyDescent="0.25">
      <c r="A12" s="10"/>
      <c r="B12" s="11"/>
      <c r="C12" s="12"/>
      <c r="D12" s="13"/>
      <c r="E12" s="14"/>
      <c r="F12" s="15"/>
    </row>
    <row r="14" spans="1:6" ht="37.5" x14ac:dyDescent="0.25">
      <c r="A14" s="8" t="s">
        <v>7</v>
      </c>
      <c r="B14" s="8" t="s">
        <v>4</v>
      </c>
      <c r="C14" s="8" t="s">
        <v>8</v>
      </c>
      <c r="D14" s="8" t="s">
        <v>5</v>
      </c>
      <c r="E14" s="8" t="s">
        <v>9</v>
      </c>
      <c r="F14" s="8" t="s">
        <v>1</v>
      </c>
    </row>
    <row r="15" spans="1:6" x14ac:dyDescent="0.25">
      <c r="A15" s="82" t="s">
        <v>617</v>
      </c>
      <c r="B15" s="67"/>
      <c r="C15" s="67"/>
      <c r="D15" s="67" t="str">
        <f>IF(ISBLANK('SY 6132R'!instructor),"",'SY 6132R'!instructor)</f>
        <v/>
      </c>
      <c r="E15" s="69" t="str">
        <f>IF(ISBLANK('SY 6132R'!date),"",'SY 6132R'!date)</f>
        <v/>
      </c>
      <c r="F15" s="201" t="str">
        <f>IF(ISBLANK('SY 6132R'!report_grade),"",'SY 6132R'!report_grade)</f>
        <v>---</v>
      </c>
    </row>
  </sheetData>
  <sheetProtection algorithmName="SHA-512" hashValue="qkl24kVKbbbxpCEcg8iWfB3d12uKgqUMCJGDOhIZXnw4J527PqOjorwX8/KUYxiHN/QRPp8+Nn8/FXglCwmAbw==" saltValue="CR7ghFS8FBm6OexLyY5DEg==" spinCount="100000" sheet="1"/>
  <mergeCells count="1">
    <mergeCell ref="B5:F6"/>
  </mergeCells>
  <hyperlinks>
    <hyperlink ref="F2" location="Review!A1" display="Review Tab" xr:uid="{7CB1572A-20A5-458F-95EB-919CB8CB99E6}"/>
    <hyperlink ref="A8" location="'SY 6131F'!A1" display="SY 6131F F-16 Sensors Flight (FTC)" xr:uid="{F3B51863-2C90-4D62-86CB-E521854DD989}"/>
    <hyperlink ref="A15" location="'SY 6132R'!A1" display="SY 6132R F-16 Sensors Flight Written Report (FTC)" xr:uid="{226C6BF1-C3A6-46F8-9DE0-6F637982E75F}"/>
    <hyperlink ref="A9" location="'SY 7212F'!A1" display="SY 7212F F-16 Weapons Delivery Flight (CSO/P/RPA) " xr:uid="{B758CF4D-C500-4D66-93E5-6C5A6C06075A}"/>
    <hyperlink ref="A10" location="'SY 7511F'!A1" display="SY 7511F F-16 Systems Practical Exam Flight (P)" xr:uid="{A37017EE-70F9-4019-AE2E-3CA8EB3F8636}"/>
  </hyperlinks>
  <pageMargins left="0.7" right="0.7" top="0.5" bottom="0.5" header="0.3" footer="0.3"/>
  <pageSetup scale="90" fitToHeight="2"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6E728-56DB-4F1D-B779-16B446599C40}">
  <sheetPr codeName="Sheet11">
    <tabColor rgb="FFFFFF00"/>
    <pageSetUpPr fitToPage="1"/>
  </sheetPr>
  <dimension ref="A1:F19"/>
  <sheetViews>
    <sheetView workbookViewId="0">
      <selection activeCell="A9" sqref="A9"/>
    </sheetView>
  </sheetViews>
  <sheetFormatPr defaultColWidth="9.140625" defaultRowHeight="15" x14ac:dyDescent="0.25"/>
  <cols>
    <col min="1" max="1" width="49.140625" style="17" bestFit="1" customWidth="1"/>
    <col min="2" max="2" width="13.7109375" style="17" customWidth="1"/>
    <col min="3" max="3" width="12" style="17" customWidth="1"/>
    <col min="4" max="4" width="18.5703125" style="17" customWidth="1"/>
    <col min="5" max="5" width="14.28515625" style="17" customWidth="1"/>
    <col min="6" max="6" width="17.85546875" style="17" customWidth="1"/>
  </cols>
  <sheetData>
    <row r="1" spans="1:6" ht="18.75" x14ac:dyDescent="0.3">
      <c r="A1" s="43" t="str">
        <f>Alibis!A1</f>
        <v>Student</v>
      </c>
      <c r="B1"/>
      <c r="C1" s="44" t="str">
        <f>Alibis!C1</f>
        <v>Bertke, Fisher</v>
      </c>
      <c r="D1"/>
      <c r="E1"/>
      <c r="F1"/>
    </row>
    <row r="2" spans="1:6" ht="18.75" x14ac:dyDescent="0.3">
      <c r="A2" s="43" t="str">
        <f>Alibis!A2</f>
        <v>Crew Type</v>
      </c>
      <c r="B2"/>
      <c r="C2" s="44" t="str">
        <f>Alibis!C2</f>
        <v>P</v>
      </c>
      <c r="D2"/>
      <c r="E2"/>
      <c r="F2" s="83" t="s">
        <v>266</v>
      </c>
    </row>
    <row r="3" spans="1:6" ht="18.75" x14ac:dyDescent="0.3">
      <c r="A3" s="43" t="str">
        <f>Alibis!A3</f>
        <v>Class</v>
      </c>
      <c r="B3"/>
      <c r="C3" s="44" t="str">
        <f>Alibis!C3</f>
        <v>26A FTC</v>
      </c>
      <c r="D3"/>
      <c r="E3"/>
      <c r="F3" s="3"/>
    </row>
    <row r="4" spans="1:6" ht="19.5" thickBot="1" x14ac:dyDescent="0.35">
      <c r="A4" s="1"/>
      <c r="B4"/>
      <c r="C4" s="2"/>
      <c r="D4"/>
      <c r="E4"/>
      <c r="F4" s="3"/>
    </row>
    <row r="5" spans="1:6" ht="15" customHeight="1" x14ac:dyDescent="0.25">
      <c r="A5"/>
      <c r="B5" s="902" t="s">
        <v>2</v>
      </c>
      <c r="C5" s="902"/>
      <c r="D5" s="902"/>
      <c r="E5" s="902"/>
      <c r="F5" s="902"/>
    </row>
    <row r="6" spans="1:6" ht="18.75" customHeight="1" x14ac:dyDescent="0.25">
      <c r="A6"/>
      <c r="B6" s="903"/>
      <c r="C6" s="903"/>
      <c r="D6" s="903"/>
      <c r="E6" s="903"/>
      <c r="F6" s="903"/>
    </row>
    <row r="7" spans="1:6" ht="37.5" x14ac:dyDescent="0.25">
      <c r="A7" s="8" t="s">
        <v>3</v>
      </c>
      <c r="B7" s="8" t="s">
        <v>4</v>
      </c>
      <c r="C7" s="7" t="s">
        <v>10</v>
      </c>
      <c r="D7" s="8" t="s">
        <v>5</v>
      </c>
      <c r="E7" s="8" t="s">
        <v>6</v>
      </c>
      <c r="F7" s="8" t="s">
        <v>1</v>
      </c>
    </row>
    <row r="8" spans="1:6" x14ac:dyDescent="0.25">
      <c r="A8" s="70" t="s">
        <v>624</v>
      </c>
      <c r="B8" s="67" t="str">
        <f>IF(ISBLANK('TF 6241F'!hdr_acft),"",'TF 6241F'!hdr_acft)</f>
        <v>C-12/0158</v>
      </c>
      <c r="C8" s="68">
        <f>IF(ISBLANK('TF 6241F'!hdr_time),"",'TF 6241F'!hdr_time)</f>
        <v>2.1</v>
      </c>
      <c r="D8" s="67" t="str">
        <f>IF(ISBLANK('TF 6241F'!hdr_instr),"",'TF 6241F'!hdr_instr)</f>
        <v>Ames</v>
      </c>
      <c r="E8" s="69">
        <f>IF(ISBLANK('TF 6241F'!hdr_date),"",'TF 6241F'!hdr_date)</f>
        <v>46113</v>
      </c>
      <c r="F8" s="201">
        <f>IF(ISBLANK('TF 6241F'!grade),0,'TF 6241F'!grade)</f>
        <v>0.95300000000000007</v>
      </c>
    </row>
    <row r="9" spans="1:6" x14ac:dyDescent="0.25">
      <c r="A9" s="70" t="s">
        <v>625</v>
      </c>
      <c r="B9" s="67" t="str">
        <f>IF(ISBLANK('TF 6251F'!hdr_acft),"",'TF 6251F'!hdr_acft)</f>
        <v>C-12C/215</v>
      </c>
      <c r="C9" s="68">
        <f>IF(ISBLANK('TF 6251F'!hdr_time),"",'TF 6251F'!hdr_time)</f>
        <v>1.8</v>
      </c>
      <c r="D9" s="67" t="str">
        <f>IF(ISBLANK('TF 6251F'!hdr_instr),"",'TF 6251F'!hdr_instr)</f>
        <v>Sick</v>
      </c>
      <c r="E9" s="69">
        <f>IF(ISBLANK('TF 6251F'!hdr_date),"",'TF 6251F'!hdr_date)</f>
        <v>46160</v>
      </c>
      <c r="F9" s="201">
        <f>IF(ISBLANK('TF 6251F'!grade),0,'TF 6251F'!grade)</f>
        <v>0.84</v>
      </c>
    </row>
    <row r="10" spans="1:6" ht="18.75" x14ac:dyDescent="0.25">
      <c r="A10" s="10"/>
      <c r="B10" s="11"/>
      <c r="C10" s="12"/>
      <c r="D10" s="13"/>
      <c r="E10" s="14"/>
      <c r="F10" s="15"/>
    </row>
    <row r="11" spans="1:6" s="17" customFormat="1" ht="18.75" customHeight="1" x14ac:dyDescent="0.25">
      <c r="A11" s="10"/>
      <c r="B11" s="11"/>
      <c r="C11" s="12"/>
      <c r="D11" s="13"/>
      <c r="E11" s="14"/>
      <c r="F11" s="15"/>
    </row>
    <row r="12" spans="1:6" x14ac:dyDescent="0.25">
      <c r="A12"/>
      <c r="B12"/>
      <c r="C12" s="16"/>
      <c r="D12"/>
      <c r="E12"/>
      <c r="F12"/>
    </row>
    <row r="13" spans="1:6" ht="37.5" x14ac:dyDescent="0.25">
      <c r="A13" s="8" t="s">
        <v>7</v>
      </c>
      <c r="B13" s="8" t="s">
        <v>4</v>
      </c>
      <c r="C13" s="8" t="s">
        <v>8</v>
      </c>
      <c r="D13" s="8" t="s">
        <v>5</v>
      </c>
      <c r="E13" s="8" t="s">
        <v>9</v>
      </c>
      <c r="F13" s="8" t="s">
        <v>1</v>
      </c>
    </row>
    <row r="14" spans="1:6" x14ac:dyDescent="0.25">
      <c r="A14" s="82" t="s">
        <v>993</v>
      </c>
      <c r="B14" s="67"/>
      <c r="C14" s="67"/>
      <c r="D14" s="67" t="str">
        <f>IF(ISBLANK('TF 6402R'!instructor),"",'TF 6402R'!instructor)</f>
        <v/>
      </c>
      <c r="E14" s="69" t="str">
        <f>IF(ISBLANK('TF 6402R'!date),"",'TF 6402R'!date)</f>
        <v/>
      </c>
      <c r="F14" s="201" t="str">
        <f>IF(ISBLANK('TF 6402R'!report_grade),"",'TF 6402R'!report_grade)</f>
        <v>---</v>
      </c>
    </row>
    <row r="15" spans="1:6" x14ac:dyDescent="0.25">
      <c r="A15" s="82" t="s">
        <v>997</v>
      </c>
      <c r="B15" s="67"/>
      <c r="C15" s="67"/>
      <c r="D15" s="67" t="str">
        <f>IF(ISBLANK('TF 6403R'!instructor),"",'TF 6403R'!instructor)</f>
        <v/>
      </c>
      <c r="E15" s="69" t="str">
        <f>IF(ISBLANK('TF 6403R'!date),"",'TF 6403R'!date)</f>
        <v/>
      </c>
      <c r="F15" s="201" t="str">
        <f>IF(ISBLANK('TF 6403R'!report_grade),"",'TF 6403R'!report_grade)</f>
        <v>---</v>
      </c>
    </row>
    <row r="16" spans="1:6" x14ac:dyDescent="0.25">
      <c r="A16" s="82" t="s">
        <v>626</v>
      </c>
      <c r="B16" s="67"/>
      <c r="C16" s="67"/>
      <c r="D16" s="67" t="str">
        <f>IF(ISBLANK('TF 7113R'!instructor),"",'TF 7113R'!instructor)</f>
        <v/>
      </c>
      <c r="E16" s="69" t="str">
        <f>IF(ISBLANK('TF 7113R'!date),"",'TF 7113R'!date)</f>
        <v/>
      </c>
      <c r="F16" s="201" t="str">
        <f>IF(ISBLANK('TF 7113R'!report_grade),"",'TF 7113R'!report_grade)</f>
        <v>---</v>
      </c>
    </row>
    <row r="17" spans="1:6" x14ac:dyDescent="0.25">
      <c r="A17" s="82" t="s">
        <v>628</v>
      </c>
      <c r="B17" s="67"/>
      <c r="C17" s="67"/>
      <c r="D17" s="67" t="str">
        <f>IF(ISBLANK('TF 7123R'!instructor),"",'TF 7123R'!instructor)</f>
        <v/>
      </c>
      <c r="E17" s="69" t="str">
        <f>IF(ISBLANK('TF 7123R'!date),"",'TF 7123R'!date)</f>
        <v/>
      </c>
      <c r="F17" s="201" t="str">
        <f>IF(ISBLANK('TF 7123R'!report_grade),"",'TF 7123R'!report_grade)</f>
        <v>---</v>
      </c>
    </row>
    <row r="18" spans="1:6" x14ac:dyDescent="0.25">
      <c r="A18" s="82" t="s">
        <v>629</v>
      </c>
      <c r="B18" s="67"/>
      <c r="C18" s="67"/>
      <c r="D18" s="67" t="str">
        <f>IF(ISBLANK('TF 7133R'!instructor),"",'TF 7133R'!instructor)</f>
        <v/>
      </c>
      <c r="E18" s="69" t="str">
        <f>IF(ISBLANK('TF 7133R'!date),"",'TF 7133R'!date)</f>
        <v/>
      </c>
      <c r="F18" s="201" t="str">
        <f>IF(ISBLANK('TF 7133R'!report_grade),"",'TF 7133R'!report_grade)</f>
        <v>---</v>
      </c>
    </row>
    <row r="19" spans="1:6" x14ac:dyDescent="0.25">
      <c r="A19" s="82" t="s">
        <v>630</v>
      </c>
      <c r="B19" s="67"/>
      <c r="C19" s="67"/>
      <c r="D19" s="67" t="str">
        <f>IF(ISBLANK('TF 7502R'!instructor),"",'TF 7502R'!instructor)</f>
        <v/>
      </c>
      <c r="E19" s="69" t="str">
        <f>IF(ISBLANK('TF 7502R'!date),"",'TF 7502R'!date)</f>
        <v/>
      </c>
      <c r="F19" s="201" t="str">
        <f>IF(ISBLANK('TF 7502R'!report_grade),"",'TF 7502R'!report_grade)</f>
        <v>0</v>
      </c>
    </row>
  </sheetData>
  <sheetProtection algorithmName="SHA-512" hashValue="kYWS1AmRg/JusIG2Rs3dE498Ye7Nkb3+2o/jriVCfkiAZqeCb6PypTSJ6rb5WCGb7bfEJa0DmDlhZOb379Qmig==" saltValue="ssdKVxuZAMoY3E6ZufEhqA==" spinCount="100000" sheet="1"/>
  <mergeCells count="1">
    <mergeCell ref="B5:F6"/>
  </mergeCells>
  <hyperlinks>
    <hyperlink ref="F2" location="Review!A1" display="Review Tab" xr:uid="{C5AC4F20-7630-472C-83F2-4BDCA6BAA45F}"/>
    <hyperlink ref="A8" location="'TF 6241F'!A1" display="TF 6241F C-12 Airborne Test Conduct Intro" xr:uid="{B37CC446-40DC-4B1F-A152-6E2CF6FE9809}"/>
    <hyperlink ref="A9" location="'TF 6251F'!A1" display="TF 6251F C-12 Intermediate Airborne Test Conduct (FTC)" xr:uid="{FD0DA940-FA54-4B06-A00D-A790BE42E5C5}"/>
    <hyperlink ref="A14" location="'TF 6402R'!A1" display="TF 6402R Individual Reporting Assignment" xr:uid="{AD81433E-4968-4AE5-88F3-9CFB5E35BC29}"/>
    <hyperlink ref="A15" location="'TF 6403R'!A1" display="TF 6403R Group Reporting Assignment" xr:uid="{488DB174-C46C-4C49-9588-7DD5171B1AF8}"/>
    <hyperlink ref="A16" location="'TF 7113R'!A1" display="TF 7113R Graded Qual Eval 1 Report" xr:uid="{23DE696C-8547-464E-A61A-CCA12C3EDE09}"/>
    <hyperlink ref="A17" location="'TF 7123R'!A1" display="TF 7123R Graded Qual Eval 2 Report" xr:uid="{D5E83387-8BD6-4EAD-BC9A-10158EDDB436}"/>
    <hyperlink ref="A18" location="'TF 7133R'!A1" display="TF 7133R Graded Qual Eval 3 Report" xr:uid="{9EA3E42B-0D11-468B-AB86-885126B1982B}"/>
    <hyperlink ref="A19" location="'TF 7502R'!A1" display="TF 7502R Capstone Qual Eval Test Plan" xr:uid="{A50FF64A-BCD2-4F24-8F3D-C1BB2C20D5CB}"/>
  </hyperlinks>
  <pageMargins left="0.7" right="0.7" top="0.5" bottom="0.5" header="0.3" footer="0.3"/>
  <pageSetup scale="94" fitToHeight="2"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2209C-F51E-4017-8965-C7FCD5175D38}">
  <sheetPr codeName="Sheet19">
    <tabColor rgb="FF00B0F0"/>
    <pageSetUpPr autoPageBreaks="0"/>
  </sheetPr>
  <dimension ref="B1:BU66"/>
  <sheetViews>
    <sheetView showGridLines="0" showRowColHeaders="0" topLeftCell="A2" zoomScaleNormal="100" zoomScaleSheetLayoutView="100" workbookViewId="0">
      <selection activeCell="L8" sqref="L8:R39"/>
    </sheetView>
  </sheetViews>
  <sheetFormatPr defaultColWidth="9.140625" defaultRowHeight="12.75" x14ac:dyDescent="0.2"/>
  <cols>
    <col min="1" max="1" width="1.5703125" style="87" customWidth="1"/>
    <col min="2" max="2" width="3.5703125" style="87" customWidth="1"/>
    <col min="3" max="3" width="5.5703125" style="87" customWidth="1"/>
    <col min="4" max="4" width="9.140625" style="87" customWidth="1"/>
    <col min="5" max="5" width="14" style="87" customWidth="1"/>
    <col min="6" max="6" width="7.85546875" style="87" customWidth="1"/>
    <col min="7" max="11" width="5.140625" style="87" customWidth="1"/>
    <col min="12" max="12" width="21.5703125" style="87" customWidth="1"/>
    <col min="13" max="13" width="6.5703125" style="87" customWidth="1"/>
    <col min="14" max="14" width="12.5703125" style="87" customWidth="1"/>
    <col min="15" max="15" width="7.85546875" style="87" customWidth="1"/>
    <col min="16" max="16" width="2.7109375" style="87" customWidth="1"/>
    <col min="17" max="17" width="4.85546875" style="87" customWidth="1"/>
    <col min="18" max="18" width="7.28515625" style="87" customWidth="1"/>
    <col min="19" max="19" width="1.7109375" style="87" customWidth="1"/>
    <col min="20" max="20" width="19.140625" style="88" hidden="1" customWidth="1"/>
    <col min="21" max="21" width="31.140625" style="88" hidden="1" customWidth="1"/>
    <col min="22" max="22" width="5.140625" style="88" hidden="1" customWidth="1"/>
    <col min="23" max="24" width="6.28515625" style="88" hidden="1" customWidth="1"/>
    <col min="25" max="25" width="8.42578125" style="88" hidden="1" customWidth="1"/>
    <col min="26" max="26" width="7.85546875" style="88" hidden="1" customWidth="1"/>
    <col min="27" max="27" width="10.7109375" style="88" hidden="1" customWidth="1"/>
    <col min="28" max="28" width="8" style="88" hidden="1" customWidth="1"/>
    <col min="29" max="31" width="5.140625" style="88" hidden="1" customWidth="1"/>
    <col min="32" max="34" width="5.85546875" style="88" hidden="1" customWidth="1"/>
    <col min="35" max="35" width="8.5703125" style="89" hidden="1" customWidth="1"/>
    <col min="36" max="36" width="7" style="88" hidden="1" customWidth="1"/>
    <col min="37" max="38" width="5.28515625" style="88" hidden="1" customWidth="1"/>
    <col min="39" max="40" width="7" style="88" hidden="1" customWidth="1"/>
    <col min="41" max="41" width="5.140625" style="88" hidden="1" customWidth="1"/>
    <col min="42" max="42" width="11.28515625" style="88" hidden="1" customWidth="1"/>
    <col min="43" max="43" width="6.42578125" style="88" hidden="1" customWidth="1"/>
    <col min="44" max="44" width="8.28515625" style="88" hidden="1" customWidth="1"/>
    <col min="45" max="45" width="8.85546875" style="88" hidden="1" customWidth="1"/>
    <col min="46" max="46" width="10.7109375" style="88" hidden="1" customWidth="1"/>
    <col min="47" max="47" width="8.85546875" style="88" hidden="1" customWidth="1"/>
    <col min="48" max="48" width="6.28515625" style="88" hidden="1" customWidth="1"/>
    <col min="49" max="49" width="10" style="88" hidden="1" customWidth="1"/>
    <col min="50" max="50" width="7.5703125" style="88" hidden="1" customWidth="1"/>
    <col min="51" max="51" width="7" style="88" hidden="1" customWidth="1"/>
    <col min="52" max="52" width="8.140625" style="88" hidden="1" customWidth="1"/>
    <col min="53" max="53" width="12.5703125" style="88" hidden="1" customWidth="1"/>
    <col min="54" max="54" width="7.7109375" style="88" hidden="1" customWidth="1"/>
    <col min="55" max="55" width="12.7109375" style="88" hidden="1" customWidth="1"/>
    <col min="56" max="56" width="7" style="88" hidden="1" customWidth="1"/>
    <col min="57" max="57" width="15.5703125" style="88" hidden="1" customWidth="1"/>
    <col min="58" max="58" width="9.140625" style="88" hidden="1" customWidth="1"/>
    <col min="59" max="59" width="10" style="88" hidden="1" customWidth="1"/>
    <col min="60" max="60" width="5.28515625" style="88" hidden="1" customWidth="1"/>
    <col min="61" max="61" width="4" style="88" hidden="1" customWidth="1"/>
    <col min="62" max="62" width="4.7109375" style="88" hidden="1" customWidth="1"/>
    <col min="63" max="63" width="5.5703125" style="88" hidden="1" customWidth="1"/>
    <col min="64" max="64" width="5.28515625" style="88" hidden="1" customWidth="1"/>
    <col min="65" max="65" width="4" style="88" hidden="1" customWidth="1"/>
    <col min="66" max="66" width="5.5703125" style="88" hidden="1" customWidth="1"/>
    <col min="67" max="67" width="5.140625" style="90" customWidth="1"/>
    <col min="68" max="73" width="5.140625" style="87" customWidth="1"/>
    <col min="74" max="16384" width="9.140625" style="87"/>
  </cols>
  <sheetData>
    <row r="1" spans="2:73" s="84" customFormat="1" ht="12" hidden="1" x14ac:dyDescent="0.2">
      <c r="T1" s="85"/>
      <c r="U1" s="85"/>
      <c r="V1" s="85"/>
      <c r="W1" s="85"/>
      <c r="X1" s="85"/>
      <c r="Y1" s="85"/>
      <c r="Z1" s="85"/>
      <c r="AA1" s="85"/>
      <c r="AB1" s="85"/>
      <c r="AC1" s="85"/>
      <c r="AD1" s="85"/>
      <c r="AE1" s="85"/>
      <c r="AF1" s="85"/>
      <c r="AG1" s="85"/>
      <c r="AH1" s="85"/>
      <c r="AI1" s="86"/>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row>
    <row r="2" spans="2:73" ht="13.5" thickBot="1" x14ac:dyDescent="0.25"/>
    <row r="3" spans="2:73" ht="13.5" customHeight="1" thickTop="1" x14ac:dyDescent="0.2">
      <c r="B3" s="967" t="s">
        <v>267</v>
      </c>
      <c r="C3" s="968"/>
      <c r="D3" s="968"/>
      <c r="E3" s="968"/>
      <c r="F3" s="968"/>
      <c r="G3" s="969"/>
      <c r="H3" s="970" t="s">
        <v>268</v>
      </c>
      <c r="I3" s="971"/>
      <c r="J3" s="971"/>
      <c r="K3" s="971"/>
      <c r="L3" s="971"/>
      <c r="M3" s="971"/>
      <c r="N3" s="972"/>
      <c r="O3" s="973" t="s">
        <v>269</v>
      </c>
      <c r="P3" s="974"/>
      <c r="Q3" s="973" t="s">
        <v>270</v>
      </c>
      <c r="R3" s="975"/>
      <c r="S3" s="91"/>
      <c r="T3" s="92"/>
      <c r="U3" s="92"/>
      <c r="V3" s="92"/>
      <c r="W3" s="92"/>
      <c r="X3" s="92"/>
      <c r="Y3" s="92"/>
      <c r="Z3" s="92"/>
      <c r="AA3" s="92"/>
      <c r="AB3" s="92"/>
      <c r="AC3" s="92"/>
      <c r="AD3" s="92"/>
      <c r="AE3" s="92"/>
      <c r="AF3" s="92"/>
      <c r="AG3" s="92"/>
      <c r="AH3" s="92"/>
      <c r="AI3" s="93"/>
      <c r="AJ3" s="92"/>
      <c r="AK3" s="92"/>
      <c r="AL3" s="92"/>
      <c r="AM3" s="92"/>
      <c r="AN3" s="92"/>
      <c r="AO3" s="92"/>
      <c r="AP3" s="92"/>
      <c r="AQ3" s="85"/>
      <c r="AR3" s="85"/>
      <c r="AW3" s="88" t="s">
        <v>271</v>
      </c>
      <c r="AX3" s="88" t="s">
        <v>272</v>
      </c>
      <c r="AY3" s="88" t="s">
        <v>273</v>
      </c>
      <c r="AZ3" s="88" t="s">
        <v>274</v>
      </c>
      <c r="BA3" s="88" t="s">
        <v>275</v>
      </c>
      <c r="BB3" s="88" t="s">
        <v>276</v>
      </c>
      <c r="BP3" s="976" t="s">
        <v>842</v>
      </c>
      <c r="BQ3" s="976"/>
      <c r="BR3" s="976"/>
      <c r="BS3" s="976"/>
      <c r="BT3" s="976"/>
      <c r="BU3" s="976"/>
    </row>
    <row r="4" spans="2:73" s="94" customFormat="1" ht="15.75" customHeight="1" x14ac:dyDescent="0.2">
      <c r="B4" s="994" t="s">
        <v>277</v>
      </c>
      <c r="C4" s="995"/>
      <c r="D4" s="995"/>
      <c r="E4" s="995"/>
      <c r="F4" s="995"/>
      <c r="G4" s="996"/>
      <c r="H4" s="937" t="s">
        <v>722</v>
      </c>
      <c r="I4" s="938"/>
      <c r="J4" s="938"/>
      <c r="K4" s="938"/>
      <c r="L4" s="938"/>
      <c r="M4" s="938"/>
      <c r="N4" s="939"/>
      <c r="O4" s="940" t="s">
        <v>1029</v>
      </c>
      <c r="P4" s="941"/>
      <c r="Q4" s="942">
        <v>46118</v>
      </c>
      <c r="R4" s="943"/>
      <c r="S4" s="95"/>
      <c r="T4" s="96"/>
      <c r="U4" s="96"/>
      <c r="V4" s="96"/>
      <c r="W4" s="96"/>
      <c r="X4" s="96"/>
      <c r="Y4" s="96"/>
      <c r="Z4" s="96"/>
      <c r="AA4" s="96"/>
      <c r="AB4" s="96"/>
      <c r="AC4" s="96"/>
      <c r="AD4" s="96"/>
      <c r="AE4" s="96"/>
      <c r="AF4" s="96"/>
      <c r="AG4" s="96"/>
      <c r="AH4" s="96"/>
      <c r="AI4" s="97"/>
      <c r="AJ4" s="96"/>
      <c r="AK4" s="96"/>
      <c r="AL4" s="96"/>
      <c r="AM4" s="96"/>
      <c r="AN4" s="96"/>
      <c r="AO4" s="96"/>
      <c r="AP4" s="96"/>
      <c r="AQ4" s="98"/>
      <c r="AR4" s="98"/>
      <c r="AS4" s="99"/>
      <c r="AT4" s="100" t="s">
        <v>278</v>
      </c>
      <c r="AU4" s="101" t="b">
        <v>1</v>
      </c>
      <c r="AV4" s="99">
        <v>5</v>
      </c>
      <c r="AW4" s="99" t="b">
        <f>IF(ISERR(OR(AW8:AW39)),"UNK",IF(AND(graded_aca_events&gt;=1,input_test),FALSE,OR(AW8:AW39)))</f>
        <v>0</v>
      </c>
      <c r="AX4" s="99" t="b">
        <f>IF(ISERR(OR(AX8:AX39)),"UNK",IF(AND(graded_aca_events&gt;=1,input_test),FALSE,OR(AX8:AX39)))</f>
        <v>0</v>
      </c>
      <c r="AY4" s="99" t="b">
        <f>IF(ISERR(OR(AY8:AY39)),"UNK",OR(AY8:AY39))</f>
        <v>0</v>
      </c>
      <c r="AZ4" s="99" t="b">
        <f>IF(ISERR(OR(AZ8:AZ39)),"UNK",OR(AZ8:AZ39))</f>
        <v>0</v>
      </c>
      <c r="BA4" s="99" t="b">
        <f>IF(ISERR(OR(BA8:BA39)),"UNK",OR(BA8:BA39))</f>
        <v>0</v>
      </c>
      <c r="BB4" s="99" t="b">
        <f>IF(ISERR(OR(BB8:BB39)),"UNK",OR(BB8:BB39))</f>
        <v>0</v>
      </c>
      <c r="BC4" s="102" t="b">
        <f>OR(BC8:BC39)</f>
        <v>0</v>
      </c>
      <c r="BD4" s="102" t="b">
        <f>OR(BD8:BD39)</f>
        <v>0</v>
      </c>
      <c r="BE4" s="102" t="b">
        <f>OR(BE8:BE39)</f>
        <v>0</v>
      </c>
      <c r="BF4" s="102"/>
      <c r="BG4" s="99"/>
      <c r="BH4" s="944" t="s">
        <v>279</v>
      </c>
      <c r="BI4" s="944"/>
      <c r="BJ4" s="944"/>
      <c r="BK4" s="944"/>
      <c r="BL4" s="977" t="s">
        <v>280</v>
      </c>
      <c r="BM4" s="977"/>
      <c r="BN4" s="977"/>
      <c r="BO4" s="90"/>
      <c r="BP4" s="976"/>
      <c r="BQ4" s="976"/>
      <c r="BR4" s="976"/>
      <c r="BS4" s="976"/>
      <c r="BT4" s="976"/>
      <c r="BU4" s="976"/>
    </row>
    <row r="5" spans="2:73" s="91" customFormat="1" ht="7.5" customHeight="1" x14ac:dyDescent="0.25">
      <c r="B5" s="978" t="s">
        <v>281</v>
      </c>
      <c r="C5" s="979"/>
      <c r="D5" s="979"/>
      <c r="E5" s="980"/>
      <c r="F5" s="981" t="s">
        <v>282</v>
      </c>
      <c r="G5" s="980"/>
      <c r="H5" s="981" t="s">
        <v>283</v>
      </c>
      <c r="I5" s="979"/>
      <c r="J5" s="979"/>
      <c r="K5" s="979"/>
      <c r="L5" s="980"/>
      <c r="M5" s="982" t="s">
        <v>284</v>
      </c>
      <c r="N5" s="983"/>
      <c r="O5" s="984" t="s">
        <v>285</v>
      </c>
      <c r="P5" s="985"/>
      <c r="Q5" s="981" t="str">
        <f>IF(AU41=0,"GRADE","GRADE (inc. bonus)")</f>
        <v>GRADE (inc. bonus)</v>
      </c>
      <c r="R5" s="986"/>
      <c r="T5" s="92"/>
      <c r="U5" s="92"/>
      <c r="V5" s="92"/>
      <c r="W5" s="92"/>
      <c r="X5" s="92"/>
      <c r="Y5" s="92"/>
      <c r="Z5" s="92"/>
      <c r="AA5" s="92"/>
      <c r="AB5" s="92"/>
      <c r="AC5" s="92"/>
      <c r="AD5" s="92"/>
      <c r="AE5" s="92"/>
      <c r="AF5" s="92"/>
      <c r="AG5" s="92"/>
      <c r="AH5" s="92"/>
      <c r="AI5" s="93"/>
      <c r="AJ5" s="92"/>
      <c r="AK5" s="92"/>
      <c r="AL5" s="92"/>
      <c r="AM5" s="92"/>
      <c r="AN5" s="92"/>
      <c r="AO5" s="92"/>
      <c r="AP5" s="92"/>
      <c r="AQ5" s="92"/>
      <c r="AR5" s="92"/>
      <c r="AS5" s="92"/>
      <c r="AT5" s="92"/>
      <c r="AU5" s="92"/>
      <c r="AV5" s="92"/>
      <c r="AW5" s="92"/>
      <c r="AX5" s="92"/>
      <c r="AY5" s="92"/>
      <c r="AZ5" s="92"/>
      <c r="BA5" s="92"/>
      <c r="BB5" s="92"/>
      <c r="BC5" s="92"/>
      <c r="BD5" s="92"/>
      <c r="BE5" s="92"/>
      <c r="BF5" s="92"/>
      <c r="BG5" s="92"/>
      <c r="BH5" s="944"/>
      <c r="BI5" s="944"/>
      <c r="BJ5" s="944"/>
      <c r="BK5" s="944"/>
      <c r="BL5" s="977"/>
      <c r="BM5" s="977"/>
      <c r="BN5" s="977"/>
      <c r="BO5" s="103"/>
    </row>
    <row r="6" spans="2:73" s="94" customFormat="1" ht="15.75" customHeight="1" thickBot="1" x14ac:dyDescent="0.25">
      <c r="B6" s="987" t="s">
        <v>1025</v>
      </c>
      <c r="C6" s="988"/>
      <c r="D6" s="988"/>
      <c r="E6" s="989"/>
      <c r="F6" s="990" t="s">
        <v>286</v>
      </c>
      <c r="G6" s="991"/>
      <c r="H6" s="992" t="s">
        <v>1039</v>
      </c>
      <c r="I6" s="993"/>
      <c r="J6" s="993"/>
      <c r="K6" s="993"/>
      <c r="L6" s="991"/>
      <c r="M6" s="945" t="s">
        <v>805</v>
      </c>
      <c r="N6" s="946"/>
      <c r="O6" s="947">
        <v>1.2</v>
      </c>
      <c r="P6" s="948"/>
      <c r="Q6" s="949">
        <f>IF((graded_aca_events+graded_amn_events)&lt;1,"0",IF(ISERROR(AR46),"",IF(F41&lt;&gt;"COMPLETE","INCOMPLETE",AR46)))</f>
        <v>1</v>
      </c>
      <c r="R6" s="950"/>
      <c r="S6" s="87"/>
      <c r="T6" s="99"/>
      <c r="U6" s="99">
        <v>2</v>
      </c>
      <c r="V6" s="99">
        <v>3</v>
      </c>
      <c r="W6" s="99">
        <v>6</v>
      </c>
      <c r="X6" s="99">
        <v>7</v>
      </c>
      <c r="Y6" s="99">
        <v>11</v>
      </c>
      <c r="Z6" s="99">
        <v>8</v>
      </c>
      <c r="AA6" s="99">
        <v>9</v>
      </c>
      <c r="AB6" s="99">
        <v>10</v>
      </c>
      <c r="AC6" s="99">
        <v>5</v>
      </c>
      <c r="AD6" s="99">
        <v>4</v>
      </c>
      <c r="AE6" s="99">
        <v>12</v>
      </c>
      <c r="AF6" s="99">
        <v>13</v>
      </c>
      <c r="AG6" s="99"/>
      <c r="AH6" s="99"/>
      <c r="AI6" s="104"/>
      <c r="AJ6" s="105"/>
      <c r="AK6" s="105"/>
      <c r="AL6" s="105"/>
      <c r="AM6" s="105" t="b">
        <f>IF(COUNT(AM8:AM39)&gt;0,TRUE,FALSE)</f>
        <v>1</v>
      </c>
      <c r="AN6" s="105" t="b">
        <f>IF(COUNT(AN8:AN39)&gt;0,TRUE,FALSE)</f>
        <v>1</v>
      </c>
      <c r="AO6" s="99"/>
      <c r="AP6" s="99"/>
      <c r="AQ6" s="98"/>
      <c r="AR6" s="98"/>
      <c r="AS6" s="99"/>
      <c r="AT6" s="106">
        <v>0.2</v>
      </c>
      <c r="AU6" s="99"/>
      <c r="AV6" s="107">
        <f>0.01*input_maxb</f>
        <v>0.05</v>
      </c>
      <c r="AW6" s="108" t="s">
        <v>287</v>
      </c>
      <c r="AX6" s="109"/>
      <c r="AY6" s="108" t="s">
        <v>288</v>
      </c>
      <c r="AZ6" s="109"/>
      <c r="BA6" s="110" t="s">
        <v>289</v>
      </c>
      <c r="BB6" s="110"/>
      <c r="BC6" s="108" t="s">
        <v>290</v>
      </c>
      <c r="BD6" s="110"/>
      <c r="BE6" s="111"/>
      <c r="BF6" s="112"/>
      <c r="BG6" s="99" t="s">
        <v>291</v>
      </c>
      <c r="BH6" s="944"/>
      <c r="BI6" s="944"/>
      <c r="BJ6" s="944"/>
      <c r="BK6" s="944"/>
      <c r="BL6" s="977"/>
      <c r="BM6" s="977"/>
      <c r="BN6" s="977"/>
      <c r="BO6" s="90"/>
    </row>
    <row r="7" spans="2:73" ht="27" customHeight="1" thickBot="1" x14ac:dyDescent="0.25">
      <c r="B7" s="951" t="s">
        <v>292</v>
      </c>
      <c r="C7" s="952"/>
      <c r="D7" s="952"/>
      <c r="E7" s="952"/>
      <c r="F7" s="953"/>
      <c r="G7" s="113" t="s">
        <v>293</v>
      </c>
      <c r="H7" s="114" t="s">
        <v>294</v>
      </c>
      <c r="I7" s="115" t="s">
        <v>295</v>
      </c>
      <c r="J7" s="116" t="s">
        <v>296</v>
      </c>
      <c r="K7" s="117" t="s">
        <v>297</v>
      </c>
      <c r="L7" s="954" t="s">
        <v>298</v>
      </c>
      <c r="M7" s="952"/>
      <c r="N7" s="952"/>
      <c r="O7" s="952"/>
      <c r="P7" s="952"/>
      <c r="Q7" s="952"/>
      <c r="R7" s="955"/>
      <c r="T7" s="118" t="s">
        <v>299</v>
      </c>
      <c r="U7" s="118"/>
      <c r="V7" s="118" t="s">
        <v>300</v>
      </c>
      <c r="W7" s="118" t="s">
        <v>301</v>
      </c>
      <c r="X7" s="118" t="s">
        <v>302</v>
      </c>
      <c r="Y7" s="118" t="s">
        <v>303</v>
      </c>
      <c r="Z7" s="118" t="s">
        <v>304</v>
      </c>
      <c r="AA7" s="118" t="s">
        <v>305</v>
      </c>
      <c r="AB7" s="118" t="s">
        <v>306</v>
      </c>
      <c r="AC7" s="118" t="s">
        <v>307</v>
      </c>
      <c r="AD7" s="118" t="s">
        <v>308</v>
      </c>
      <c r="AE7" s="118" t="s">
        <v>309</v>
      </c>
      <c r="AF7" s="118" t="s">
        <v>310</v>
      </c>
      <c r="AG7" s="118" t="s">
        <v>311</v>
      </c>
      <c r="AH7" s="118" t="s">
        <v>312</v>
      </c>
      <c r="AI7" s="119" t="s">
        <v>313</v>
      </c>
      <c r="AJ7" s="120" t="s">
        <v>314</v>
      </c>
      <c r="AK7" s="121" t="s">
        <v>315</v>
      </c>
      <c r="AL7" s="121" t="s">
        <v>316</v>
      </c>
      <c r="AM7" s="121" t="s">
        <v>317</v>
      </c>
      <c r="AN7" s="121" t="s">
        <v>318</v>
      </c>
      <c r="AO7" s="120" t="s">
        <v>319</v>
      </c>
      <c r="AP7" s="120" t="s">
        <v>320</v>
      </c>
      <c r="AQ7" s="122" t="s">
        <v>321</v>
      </c>
      <c r="AR7" s="123" t="s">
        <v>1</v>
      </c>
      <c r="AS7" s="122" t="s">
        <v>322</v>
      </c>
      <c r="AT7" s="123" t="s">
        <v>1</v>
      </c>
      <c r="AU7" s="122" t="s">
        <v>323</v>
      </c>
      <c r="AV7" s="124" t="s">
        <v>324</v>
      </c>
      <c r="AW7" s="125" t="s">
        <v>325</v>
      </c>
      <c r="AX7" s="126" t="s">
        <v>326</v>
      </c>
      <c r="AY7" s="125" t="s">
        <v>327</v>
      </c>
      <c r="AZ7" s="126" t="s">
        <v>328</v>
      </c>
      <c r="BA7" s="127" t="s">
        <v>329</v>
      </c>
      <c r="BB7" s="127" t="s">
        <v>330</v>
      </c>
      <c r="BC7" s="128" t="s">
        <v>331</v>
      </c>
      <c r="BD7" s="129" t="s">
        <v>332</v>
      </c>
      <c r="BE7" s="130" t="s">
        <v>333</v>
      </c>
      <c r="BF7" s="131" t="s">
        <v>334</v>
      </c>
      <c r="BH7" s="88" t="s">
        <v>335</v>
      </c>
      <c r="BI7" s="88" t="s">
        <v>336</v>
      </c>
      <c r="BJ7" s="118" t="s">
        <v>337</v>
      </c>
      <c r="BK7" s="88" t="s">
        <v>338</v>
      </c>
      <c r="BL7" s="88" t="s">
        <v>335</v>
      </c>
      <c r="BM7" s="88" t="s">
        <v>336</v>
      </c>
      <c r="BN7" s="88" t="s">
        <v>338</v>
      </c>
    </row>
    <row r="8" spans="2:73" ht="12.95" customHeight="1" x14ac:dyDescent="0.2">
      <c r="B8" s="132" t="str">
        <f>IF(ISNA(Z8),"",IF(OR(Z8=1,Z8=2),"",1))</f>
        <v/>
      </c>
      <c r="C8" s="956" t="str">
        <f t="shared" ref="C8:C36" si="0">IF(ISNA(Z8),"",CONCATENATE($U8,IF(ISNUMBER(AI8),TEXT(ROUND($AI8,3)," (0.0%)"),""),IF(AU8&gt;0," Bonus","")))</f>
        <v>Airmanship Tasks (20.0%)</v>
      </c>
      <c r="D8" s="956"/>
      <c r="E8" s="956"/>
      <c r="F8" s="957"/>
      <c r="G8" s="133" t="str">
        <f t="shared" ref="G8:G39" si="1">BH8</f>
        <v/>
      </c>
      <c r="H8" s="134" t="str">
        <f t="shared" ref="H8:I39" si="2">BJ8</f>
        <v/>
      </c>
      <c r="I8" s="135" t="str">
        <f t="shared" si="2"/>
        <v/>
      </c>
      <c r="J8" s="136" t="s">
        <v>340</v>
      </c>
      <c r="K8" s="137" t="s">
        <v>340</v>
      </c>
      <c r="L8" s="958" t="s">
        <v>1040</v>
      </c>
      <c r="M8" s="959"/>
      <c r="N8" s="959"/>
      <c r="O8" s="959"/>
      <c r="P8" s="959"/>
      <c r="Q8" s="959"/>
      <c r="R8" s="960"/>
      <c r="T8" s="88">
        <v>1</v>
      </c>
      <c r="U8" s="88" t="s">
        <v>339</v>
      </c>
      <c r="V8" s="453" t="s">
        <v>340</v>
      </c>
      <c r="W8" s="453" t="s">
        <v>340</v>
      </c>
      <c r="X8" s="453" t="s">
        <v>340</v>
      </c>
      <c r="Y8" s="453" t="s">
        <v>340</v>
      </c>
      <c r="Z8" s="453">
        <v>1</v>
      </c>
      <c r="AA8" s="453">
        <v>0</v>
      </c>
      <c r="AB8" s="453">
        <v>0</v>
      </c>
      <c r="AC8" s="453" t="s">
        <v>340</v>
      </c>
      <c r="AD8" s="453" t="s">
        <v>340</v>
      </c>
      <c r="AE8" s="453">
        <v>0</v>
      </c>
      <c r="AF8" s="453" t="s">
        <v>340</v>
      </c>
      <c r="AG8" s="453" t="str">
        <f t="shared" ref="AG8:AG39" si="3">IF(CrewSoloQual="Yes",$AC8,$AD8)</f>
        <v/>
      </c>
      <c r="AH8" s="453" t="str">
        <f t="shared" ref="AH8:AH39" si="4">IF(ISNUMBER(AC8),IF(CrewSoloQual="Yes",$AC8-1,$AD8-1),"")</f>
        <v/>
      </c>
      <c r="AI8" s="138">
        <f>IF(NOT(OR(Z8=1,Z8=2)),IF(AQ8&gt;0,$AR$44*AQ8/SUMIF($AQ$8:$AQ$39,"&gt;0"),IF(AU8&gt;0,$AV$44*AU8/SUMIF($AU$8:$AU$39,"&gt;0"),IF(AS8&gt;0,$AT$44*AS8/SUMIF($AS$8:$AS$39,"&gt;0"),""))),IF(SUMIF(AJ9:$AJ$39,"=" &amp; AJ8,AI9:$AI$39)=0,"",SUMIF(AJ9:$AJ$39,"=" &amp; AJ8,AI9:$AI$39)))</f>
        <v>0.2</v>
      </c>
      <c r="AJ8" s="139">
        <f>0</f>
        <v>0</v>
      </c>
      <c r="AK8" s="453" t="str">
        <f>BI8</f>
        <v/>
      </c>
      <c r="AL8" s="453" t="str">
        <f>IF(ISBLANK(K8),"",K8)</f>
        <v/>
      </c>
      <c r="AM8" s="453" t="str">
        <f>IF(ISNUMBER(AK8),IF(ISNUMBER(AL8),1,""),"")</f>
        <v/>
      </c>
      <c r="AN8" s="453" t="str">
        <f t="shared" ref="AN8:AN36" si="5">IF(ISNUMBER(AH8),IF(AND(AB8=0,ISNUMBER(AC8),ISNUMBER(AL8)),1,""),"")</f>
        <v/>
      </c>
      <c r="AO8" s="453" t="str">
        <f t="shared" ref="AO8:AO39" si="6">IF(AB8=0,IF(CrewSoloQual="No",BI8,BK8),"")</f>
        <v/>
      </c>
      <c r="AP8" s="453" t="str">
        <f t="shared" ref="AP8:AP39" si="7">IF(ISNA(Z8),"",IF(AND(ISNUMBER(B8),G8&gt;=1,H8&lt;&gt;"NG"),IF(K8&lt;BK8,TRUE,FALSE),IF(AND(G8&gt;=1,J8="NA"),TRUE,IF(AND(AM8=1,G8=0,AL8&lt;BI8),TRUE,""))))</f>
        <v/>
      </c>
      <c r="AQ8" s="140">
        <f>IF(ISNA(Z8),0,IF(OR(J8="NA",W8="",AB8=0),0,W8))</f>
        <v>0</v>
      </c>
      <c r="AR8" s="141" t="str">
        <f t="shared" ref="AR8:AR39" si="8">IF(ISNA(Z8),"",IF(AND(NOT(OR(Z8=1,Z8=2,AK8="NG",AB8=0)),IF(ISNUMBER(AL8),AL8&gt;=0,FALSE)),VLOOKUP((10*AD8+AC8),$AQ$50:$AV$58,2+AL8,FALSE),IF(AND(input_test=TRUE,ISNUMBER(AD8),V8&lt;&gt;0),VLOOKUP((10*AD8+AC8),$AQ$50:$AV$58,2,FALSE),"")))</f>
        <v/>
      </c>
      <c r="AS8" s="142">
        <f>IF(ISNA(Z8),0,IF(OR(J8="NA",X8="",AB8=1),0,X8))</f>
        <v>0</v>
      </c>
      <c r="AT8" s="141" t="str">
        <f t="shared" ref="AT8:AT39" si="9">IF(ISNA(Z8),"",IF(AND(NOT(OR(Z8=1,Z8=2,AK8="NG",AB8=1)),IF(ISNUMBER(AL8),AL8&gt;=0,FALSE)),VLOOKUP((10*AH8+AG8),$AQ$50:$AV$58,2+AL8,FALSE),IF(AND(input_test=TRUE,ISNUMBER(AD8),V8&lt;&gt;0),VLOOKUP((10*AH8+AG8),$AQ$50:$AV$58,2,FALSE),"")))</f>
        <v/>
      </c>
      <c r="AU8" s="143">
        <f t="shared" ref="AU8:AU39" si="10">IF(ISNA(Z8),0,IF(OR(J8="NA",Y8=""),0,Y8))</f>
        <v>0</v>
      </c>
      <c r="AV8" s="144" t="str">
        <f t="shared" ref="AV8:AV39" si="11">AR8</f>
        <v/>
      </c>
      <c r="AW8" s="143" t="b">
        <f t="shared" ref="AW8:AW39" si="12">IF(ISNA(Z8),FALSE,IF(OR(AB8=1,G8=0,Z8=1,Z8=2),FALSE,IF(OR(J8="NA",J8&gt;=G8),FALSE,TRUE)))</f>
        <v>0</v>
      </c>
      <c r="AX8" s="145" t="b">
        <f t="shared" ref="AX8:AX39" si="13">IF(ISNA(Z8),FALSE,IF(OR(AB8=0,G8=0,Z8=1,Z8=2,J8="NA"),FALSE,IF(AK8="NG",IF(NOT(ISBLANK(K8)),FALSE,TRUE),IF(J8&gt;=G8,FALSE,TRUE))))</f>
        <v>0</v>
      </c>
      <c r="AY8" s="143" t="b">
        <f t="shared" ref="AY8:AY39" si="14">IF(ISNA(Z8),FALSE,IF(OR(AB8=1,G8&lt;1,Z8=1,Z8=2,AE8=0,ISBLANK(K8)),FALSE,IF(OR(J8="NA",K8&gt;=BI8),FALSE,TRUE)))</f>
        <v>0</v>
      </c>
      <c r="AZ8" s="145" t="b">
        <f t="shared" ref="AZ8:AZ39" si="15">IF(ISNA(Z8),FALSE,IF(OR(AB8=0,G8=0,Z8=1,Z8=2,AE8=0,BI8="NG",K8="",ISBLANK(K8)),FALSE,IF(OR(J8="NA",K8&gt;=AK8),FALSE,TRUE)))</f>
        <v>0</v>
      </c>
      <c r="BA8" s="453" t="b">
        <f t="shared" ref="BA8:BA39" si="16">IF(ISNA(Z8),FALSE,IF(OR(AB8=1,G8&lt;1,Z8=1,Z8=2,AE8=0),FALSE,IF(J8="NA",TRUE,FALSE)))</f>
        <v>0</v>
      </c>
      <c r="BB8" s="453" t="b">
        <f t="shared" ref="BB8:BB39" si="17">IF(ISNA(Z8),FALSE,IF(OR(AB8=0,G8=0,Z8=1,Z8=2),FALSE,IF(J8="NA",TRUE,FALSE)))</f>
        <v>0</v>
      </c>
      <c r="BC8" s="143" t="b">
        <f t="shared" ref="BC8:BC39" si="18">IF(OR(ISNA($Z8),ISNUMBER($Z8),NOT(ISNUMBER($J8)),K8="D"),FALSE,IF(AND(NOT(ISNUMBER($K8)),J8&gt;0),TRUE,FALSE))</f>
        <v>0</v>
      </c>
      <c r="BD8" s="146" t="b">
        <f>IF(OR(ISNA($Z8),ISNUMBER($Z8),NOT(ISNUMBER(K8))),FALSE,OR(NOT(ISNUMBER(J8)),J8=0,AND(J8=0,K8&lt;&gt;0)))</f>
        <v>0</v>
      </c>
      <c r="BE8" s="145" t="b">
        <f t="shared" ref="BE8:BE21" si="19">IF(OR(ISNA($Z8),K8&lt;&gt;"D"),FALSE,IF(OR(AND(H8="NG",J8=0),AND(H8&lt;&gt;"NG",NOT(OR(J8="NA",J8=0)))),TRUE,FALSE))</f>
        <v>0</v>
      </c>
      <c r="BF8" s="147" t="b">
        <f t="shared" ref="BF8:BF30" si="20">IF(OR(ISNA($Z8),H8&lt;&gt;"NG"),FALSE,IF(AND(J8="NA",K8&lt;&gt;""),TRUE,FALSE))</f>
        <v>0</v>
      </c>
      <c r="BG8" s="453" t="b">
        <f t="shared" ref="BG8:BG21" si="21">IF(ISNA($Z8),"NA",IF(OR(AZ8,AY8,AX8,AW8,AP8,BA8,BB8),TRUE,FALSE))</f>
        <v>0</v>
      </c>
      <c r="BH8" s="148" t="str">
        <f>IF(ISNA($Z8),"",IF(OR($Z8=1,$Z8=2),"",$V8))</f>
        <v/>
      </c>
      <c r="BI8" s="453" t="str">
        <f t="shared" ref="BI8:BI39" si="22">IF(ISNA($Z8),"",IF(OR($Z8=1,$Z8=2,$G8=""),"",IF(AB8=0,AH8,$AD8)))</f>
        <v/>
      </c>
      <c r="BJ8" s="453" t="str">
        <f t="shared" ref="BJ8:BJ39" si="23">IF(ISNA(AE8),"",IF(OR(Z8=1,Z8=2),"",IF(OR(AE8=0,AD8="NG"),TEXT(BI8,"0"),CONCATENATE(TEXT(BI8,"0"),"*"))))</f>
        <v/>
      </c>
      <c r="BK8" s="453" t="str">
        <f t="shared" ref="BK8:BK39" si="24">IF(ISNA($Z8),"",IF(OR($Z8=1,$Z8=2,$G8=""),"",IF(AB8=0,AG8,$AC8)))</f>
        <v/>
      </c>
      <c r="BL8" s="148" t="str">
        <f>IF(ISBLANK(BH8),"",IF(BH8=0,"",BH8))</f>
        <v/>
      </c>
      <c r="BM8" s="453" t="str">
        <f t="shared" ref="BM8:BM39" si="25">IF($BH8=0,"",IF($BI8="NG","D",$BI8))</f>
        <v/>
      </c>
      <c r="BN8" s="453" t="str">
        <f t="shared" ref="BN8:BN39" si="26">IF(ISNA(U8),"",IF($BH8=0,"",IF($BI8="NG","D",BK8)))</f>
        <v/>
      </c>
      <c r="BO8" s="149" t="s">
        <v>341</v>
      </c>
      <c r="BP8" s="150"/>
    </row>
    <row r="9" spans="2:73" s="94" customFormat="1" ht="12.95" customHeight="1" x14ac:dyDescent="0.2">
      <c r="B9" s="151">
        <f>IF(ISNA(Z9),"",IF(OR(Z9=1,Z9=2),"    ",MAX($B$8:B8)+1))</f>
        <v>1</v>
      </c>
      <c r="C9" s="904" t="str">
        <f t="shared" si="0"/>
        <v>Basic Aircraft Procedures (4.0%)</v>
      </c>
      <c r="D9" s="904"/>
      <c r="E9" s="904"/>
      <c r="F9" s="905"/>
      <c r="G9" s="133">
        <f t="shared" si="1"/>
        <v>1</v>
      </c>
      <c r="H9" s="134" t="str">
        <f t="shared" si="2"/>
        <v>2*</v>
      </c>
      <c r="I9" s="152">
        <f t="shared" si="2"/>
        <v>3</v>
      </c>
      <c r="J9" s="480">
        <v>1</v>
      </c>
      <c r="K9" s="159">
        <v>4</v>
      </c>
      <c r="L9" s="961"/>
      <c r="M9" s="962"/>
      <c r="N9" s="962"/>
      <c r="O9" s="962"/>
      <c r="P9" s="962"/>
      <c r="Q9" s="962"/>
      <c r="R9" s="963"/>
      <c r="T9" s="99">
        <v>2</v>
      </c>
      <c r="U9" s="88" t="s">
        <v>342</v>
      </c>
      <c r="V9" s="453">
        <v>1</v>
      </c>
      <c r="W9" s="453" t="s">
        <v>340</v>
      </c>
      <c r="X9" s="453">
        <v>1</v>
      </c>
      <c r="Y9" s="453" t="s">
        <v>340</v>
      </c>
      <c r="Z9" s="146" t="s">
        <v>340</v>
      </c>
      <c r="AA9" s="146">
        <v>1</v>
      </c>
      <c r="AB9" s="146">
        <v>0</v>
      </c>
      <c r="AC9" s="453">
        <v>3</v>
      </c>
      <c r="AD9" s="453">
        <v>2</v>
      </c>
      <c r="AE9" s="453">
        <v>1</v>
      </c>
      <c r="AF9" s="453" t="b">
        <v>1</v>
      </c>
      <c r="AG9" s="453">
        <f t="shared" si="3"/>
        <v>3</v>
      </c>
      <c r="AH9" s="453">
        <f t="shared" si="4"/>
        <v>2</v>
      </c>
      <c r="AI9" s="138">
        <f>IF(NOT(OR(Z9=1,Z9=2)),IF(AQ9&gt;0,$AR$44*AQ9/SUMIF($AQ$8:$AQ$39,"&gt;0"),IF(AU9&gt;0,$AV$44*AU9/SUMIF($AU$8:$AU$39,"&gt;0"),IF(AS9&gt;0,$AT$44*AS9/SUMIF($AS$8:$AS$39,"&gt;0"),""))),IF(SUMIF(AJ10:$AJ$39,"=" &amp; AJ9,AI10:$AI$39)=0,"",SUMIF(AJ10:$AJ$39,"=" &amp; AJ9,AI10:$AI$39)))</f>
        <v>0.04</v>
      </c>
      <c r="AJ9" s="139">
        <f>IF(OR(Z9=1,Z9=2,AA9&lt;AA8),AJ8+1,AJ8)</f>
        <v>0</v>
      </c>
      <c r="AK9" s="453">
        <f t="shared" ref="AK9:AK39" si="27">BI9</f>
        <v>2</v>
      </c>
      <c r="AL9" s="146">
        <f t="shared" ref="AL9:AL39" si="28">IF(ISBLANK(K9),"",K9)</f>
        <v>4</v>
      </c>
      <c r="AM9" s="146">
        <f>IF(ISNUMBER(AK9),IF(ISNUMBER(AL9),1,""),"")</f>
        <v>1</v>
      </c>
      <c r="AN9" s="146">
        <f t="shared" si="5"/>
        <v>1</v>
      </c>
      <c r="AO9" s="146">
        <f t="shared" si="6"/>
        <v>3</v>
      </c>
      <c r="AP9" s="453" t="b">
        <f>IF(ISNA(Z9),"",IF(AND(ISNUMBER(B9),G9&gt;=1,H9&lt;&gt;"NG"),IF(K9&lt;BK9,TRUE,FALSE),IF(AND(G9&gt;=1,J9="NA"),TRUE,IF(AND(AM9=1,G9=0,AL9&lt;BI9),TRUE,""))))</f>
        <v>0</v>
      </c>
      <c r="AQ9" s="140">
        <f t="shared" ref="AQ9:AQ39" si="29">IF(ISNA(Z9),0,IF(OR(J9="NA",W9="",AB9=0),0,W9))</f>
        <v>0</v>
      </c>
      <c r="AR9" s="141" t="str">
        <f>IF(ISNA(Z9),"",IF(AND(NOT(OR(Z9=1,Z9=2,AK9="NG",AB9=0)),IF(ISNUMBER(AL9),AL9&gt;=0,FALSE)),VLOOKUP((10*AD9+AC9),$AQ$50:$AV$58,2+AL9,FALSE),IF(AND(input_test=TRUE,ISNUMBER(AD9),V9&lt;&gt;0),VLOOKUP((10*AD9+AC9),$AQ$50:$AV$58,2,FALSE),"")))</f>
        <v/>
      </c>
      <c r="AS9" s="142">
        <f t="shared" ref="AS9:AS39" si="30">IF(ISNA(Z9),0,IF(OR(J9="NA",X9="",AB9=1),0,X9))</f>
        <v>1</v>
      </c>
      <c r="AT9" s="141">
        <f>IF(ISNA(Z9),"",IF(AND(NOT(OR(Z9=1,Z9=2,AK9="NG",AB9=1)),IF(ISNUMBER(AL9),AL9&gt;=0,FALSE)),VLOOKUP((10*AH9+AG9),$AQ$50:$AV$58,2+AL9,FALSE),IF(AND(input_test=TRUE,ISNUMBER(AD9),V9&lt;&gt;0),VLOOKUP((10*AH9+AG9),$AQ$50:$AV$58,2,FALSE),"")))</f>
        <v>1</v>
      </c>
      <c r="AU9" s="143">
        <f t="shared" si="10"/>
        <v>0</v>
      </c>
      <c r="AV9" s="144" t="str">
        <f t="shared" si="11"/>
        <v/>
      </c>
      <c r="AW9" s="143" t="b">
        <f t="shared" si="12"/>
        <v>0</v>
      </c>
      <c r="AX9" s="145" t="b">
        <f t="shared" si="13"/>
        <v>0</v>
      </c>
      <c r="AY9" s="143" t="b">
        <f t="shared" si="14"/>
        <v>0</v>
      </c>
      <c r="AZ9" s="145" t="b">
        <f t="shared" si="15"/>
        <v>0</v>
      </c>
      <c r="BA9" s="453" t="b">
        <f t="shared" si="16"/>
        <v>0</v>
      </c>
      <c r="BB9" s="453" t="b">
        <f t="shared" si="17"/>
        <v>0</v>
      </c>
      <c r="BC9" s="143" t="b">
        <f t="shared" si="18"/>
        <v>0</v>
      </c>
      <c r="BD9" s="146" t="b">
        <f t="shared" ref="BD9:BD39" si="31">IF(OR(ISNA($Z9),ISNUMBER($Z9),NOT(ISNUMBER(K9))),FALSE,OR(NOT(ISNUMBER(J9)),J9=0,AND(J9=0,K9&lt;&gt;0)))</f>
        <v>0</v>
      </c>
      <c r="BE9" s="145" t="b">
        <f t="shared" si="19"/>
        <v>0</v>
      </c>
      <c r="BF9" s="147" t="b">
        <f t="shared" si="20"/>
        <v>0</v>
      </c>
      <c r="BG9" s="453" t="b">
        <f t="shared" si="21"/>
        <v>0</v>
      </c>
      <c r="BH9" s="453">
        <f t="shared" ref="BH9:BH39" si="32">IF(ISNA($Z9),"",IF(OR($Z9=1,$Z9=2),"",$V9))</f>
        <v>1</v>
      </c>
      <c r="BI9" s="453">
        <f t="shared" si="22"/>
        <v>2</v>
      </c>
      <c r="BJ9" s="453" t="str">
        <f t="shared" si="23"/>
        <v>2*</v>
      </c>
      <c r="BK9" s="453">
        <f t="shared" si="24"/>
        <v>3</v>
      </c>
      <c r="BL9" s="148">
        <f t="shared" ref="BL9:BL39" si="33">IF(ISBLANK(BH9),"",IF(BH9=0,"",BH9))</f>
        <v>1</v>
      </c>
      <c r="BM9" s="453">
        <f t="shared" si="25"/>
        <v>2</v>
      </c>
      <c r="BN9" s="453">
        <f t="shared" si="26"/>
        <v>3</v>
      </c>
      <c r="BO9" s="155" t="s">
        <v>343</v>
      </c>
      <c r="BP9" s="156" t="s">
        <v>344</v>
      </c>
    </row>
    <row r="10" spans="2:73" s="94" customFormat="1" ht="12.95" customHeight="1" x14ac:dyDescent="0.2">
      <c r="B10" s="151">
        <f>IF(ISNA(Z10),"",IF(OR(Z10=1,Z10=2),"    ",MAX($B$8:B9)+1))</f>
        <v>2</v>
      </c>
      <c r="C10" s="904" t="str">
        <f t="shared" si="0"/>
        <v>Basic Aircraft Handling (4.0%)</v>
      </c>
      <c r="D10" s="904"/>
      <c r="E10" s="904"/>
      <c r="F10" s="905"/>
      <c r="G10" s="133">
        <f t="shared" si="1"/>
        <v>1</v>
      </c>
      <c r="H10" s="134" t="str">
        <f t="shared" si="2"/>
        <v>2*</v>
      </c>
      <c r="I10" s="152">
        <f t="shared" si="2"/>
        <v>3</v>
      </c>
      <c r="J10" s="158">
        <v>1</v>
      </c>
      <c r="K10" s="159">
        <v>4</v>
      </c>
      <c r="L10" s="961"/>
      <c r="M10" s="962"/>
      <c r="N10" s="962"/>
      <c r="O10" s="962"/>
      <c r="P10" s="962"/>
      <c r="Q10" s="962"/>
      <c r="R10" s="963"/>
      <c r="T10" s="99">
        <v>3</v>
      </c>
      <c r="U10" s="88" t="s">
        <v>551</v>
      </c>
      <c r="V10" s="453">
        <v>1</v>
      </c>
      <c r="W10" s="453" t="s">
        <v>340</v>
      </c>
      <c r="X10" s="453">
        <v>1</v>
      </c>
      <c r="Y10" s="453" t="s">
        <v>340</v>
      </c>
      <c r="Z10" s="146" t="s">
        <v>340</v>
      </c>
      <c r="AA10" s="146">
        <v>1</v>
      </c>
      <c r="AB10" s="146">
        <v>0</v>
      </c>
      <c r="AC10" s="453">
        <v>3</v>
      </c>
      <c r="AD10" s="453">
        <v>2</v>
      </c>
      <c r="AE10" s="453">
        <v>1</v>
      </c>
      <c r="AF10" s="453" t="b">
        <v>1</v>
      </c>
      <c r="AG10" s="453">
        <f t="shared" si="3"/>
        <v>3</v>
      </c>
      <c r="AH10" s="453">
        <f t="shared" si="4"/>
        <v>2</v>
      </c>
      <c r="AI10" s="138">
        <f>IF(NOT(OR(Z10=1,Z10=2)),IF(AQ10&gt;0,$AR$44*AQ10/SUMIF($AQ$8:$AQ$39,"&gt;0"),IF(AU10&gt;0,$AV$44*AU10/SUMIF($AU$8:$AU$39,"&gt;0"),IF(AS10&gt;0,$AT$44*AS10/SUMIF($AS$8:$AS$39,"&gt;0"),""))),IF(SUMIF(AJ11:$AJ$39,"=" &amp; AJ10,AI11:$AI$39)=0,"",SUMIF(AJ11:$AJ$39,"=" &amp; AJ10,AI11:$AI$39)))</f>
        <v>0.04</v>
      </c>
      <c r="AJ10" s="139">
        <f t="shared" ref="AJ10:AJ39" si="34">IF(OR(Z10=1,Z10=2,AA10&lt;AA9),AJ9+1,AJ9)</f>
        <v>0</v>
      </c>
      <c r="AK10" s="453">
        <f t="shared" si="27"/>
        <v>2</v>
      </c>
      <c r="AL10" s="146">
        <f t="shared" si="28"/>
        <v>4</v>
      </c>
      <c r="AM10" s="146">
        <f t="shared" ref="AM10:AM39" si="35">IF(ISNUMBER(AK10),IF(ISNUMBER(AL10),1,""),"")</f>
        <v>1</v>
      </c>
      <c r="AN10" s="146">
        <f t="shared" si="5"/>
        <v>1</v>
      </c>
      <c r="AO10" s="146">
        <f t="shared" si="6"/>
        <v>3</v>
      </c>
      <c r="AP10" s="453" t="b">
        <f t="shared" si="7"/>
        <v>0</v>
      </c>
      <c r="AQ10" s="140">
        <f t="shared" si="29"/>
        <v>0</v>
      </c>
      <c r="AR10" s="141" t="str">
        <f t="shared" si="8"/>
        <v/>
      </c>
      <c r="AS10" s="142">
        <f t="shared" si="30"/>
        <v>1</v>
      </c>
      <c r="AT10" s="141">
        <f t="shared" si="9"/>
        <v>1</v>
      </c>
      <c r="AU10" s="143">
        <f t="shared" si="10"/>
        <v>0</v>
      </c>
      <c r="AV10" s="144" t="str">
        <f t="shared" si="11"/>
        <v/>
      </c>
      <c r="AW10" s="143" t="b">
        <f t="shared" si="12"/>
        <v>0</v>
      </c>
      <c r="AX10" s="145" t="b">
        <f t="shared" si="13"/>
        <v>0</v>
      </c>
      <c r="AY10" s="143" t="b">
        <f t="shared" si="14"/>
        <v>0</v>
      </c>
      <c r="AZ10" s="145" t="b">
        <f t="shared" si="15"/>
        <v>0</v>
      </c>
      <c r="BA10" s="453" t="b">
        <f t="shared" si="16"/>
        <v>0</v>
      </c>
      <c r="BB10" s="453" t="b">
        <f t="shared" si="17"/>
        <v>0</v>
      </c>
      <c r="BC10" s="143" t="b">
        <f t="shared" si="18"/>
        <v>0</v>
      </c>
      <c r="BD10" s="146" t="b">
        <f t="shared" si="31"/>
        <v>0</v>
      </c>
      <c r="BE10" s="145" t="b">
        <f t="shared" si="19"/>
        <v>0</v>
      </c>
      <c r="BF10" s="147" t="b">
        <f t="shared" si="20"/>
        <v>0</v>
      </c>
      <c r="BG10" s="453" t="b">
        <f t="shared" si="21"/>
        <v>0</v>
      </c>
      <c r="BH10" s="453">
        <f t="shared" si="32"/>
        <v>1</v>
      </c>
      <c r="BI10" s="453">
        <f t="shared" si="22"/>
        <v>2</v>
      </c>
      <c r="BJ10" s="453" t="str">
        <f t="shared" si="23"/>
        <v>2*</v>
      </c>
      <c r="BK10" s="453">
        <f t="shared" si="24"/>
        <v>3</v>
      </c>
      <c r="BL10" s="148">
        <f t="shared" si="33"/>
        <v>1</v>
      </c>
      <c r="BM10" s="453">
        <f t="shared" si="25"/>
        <v>2</v>
      </c>
      <c r="BN10" s="453">
        <f t="shared" si="26"/>
        <v>3</v>
      </c>
      <c r="BO10" s="155">
        <v>0</v>
      </c>
      <c r="BP10" s="156" t="s">
        <v>346</v>
      </c>
    </row>
    <row r="11" spans="2:73" s="94" customFormat="1" ht="12.95" customHeight="1" x14ac:dyDescent="0.2">
      <c r="B11" s="151">
        <f>IF(ISNA(Z11),"",IF(OR(Z11=1,Z11=2),"    ",MAX($B$8:B10)+1))</f>
        <v>3</v>
      </c>
      <c r="C11" s="904" t="str">
        <f t="shared" si="0"/>
        <v>Local Area Proc./Orientation/Comm (4.0%)</v>
      </c>
      <c r="D11" s="904"/>
      <c r="E11" s="904"/>
      <c r="F11" s="905"/>
      <c r="G11" s="133">
        <f t="shared" si="1"/>
        <v>1</v>
      </c>
      <c r="H11" s="134" t="str">
        <f t="shared" si="2"/>
        <v>2*</v>
      </c>
      <c r="I11" s="152">
        <f t="shared" si="2"/>
        <v>3</v>
      </c>
      <c r="J11" s="158">
        <v>1</v>
      </c>
      <c r="K11" s="159">
        <v>4</v>
      </c>
      <c r="L11" s="961"/>
      <c r="M11" s="962"/>
      <c r="N11" s="962"/>
      <c r="O11" s="962"/>
      <c r="P11" s="962"/>
      <c r="Q11" s="962"/>
      <c r="R11" s="963"/>
      <c r="T11" s="99">
        <v>4</v>
      </c>
      <c r="U11" s="88" t="s">
        <v>345</v>
      </c>
      <c r="V11" s="453">
        <v>1</v>
      </c>
      <c r="W11" s="453" t="s">
        <v>340</v>
      </c>
      <c r="X11" s="453">
        <v>1</v>
      </c>
      <c r="Y11" s="453" t="s">
        <v>340</v>
      </c>
      <c r="Z11" s="146" t="s">
        <v>340</v>
      </c>
      <c r="AA11" s="146">
        <v>1</v>
      </c>
      <c r="AB11" s="146">
        <v>0</v>
      </c>
      <c r="AC11" s="453">
        <v>3</v>
      </c>
      <c r="AD11" s="453">
        <v>3</v>
      </c>
      <c r="AE11" s="453">
        <v>1</v>
      </c>
      <c r="AF11" s="453" t="b">
        <v>1</v>
      </c>
      <c r="AG11" s="453">
        <f t="shared" si="3"/>
        <v>3</v>
      </c>
      <c r="AH11" s="453">
        <f t="shared" si="4"/>
        <v>2</v>
      </c>
      <c r="AI11" s="138">
        <f>IF(NOT(OR(Z11=1,Z11=2)),IF(AQ11&gt;0,$AR$44*AQ11/SUMIF($AQ$8:$AQ$39,"&gt;0"),IF(AU11&gt;0,$AV$44*AU11/SUMIF($AU$8:$AU$39,"&gt;0"),IF(AS11&gt;0,$AT$44*AS11/SUMIF($AS$8:$AS$39,"&gt;0"),""))),IF(SUMIF(AJ12:$AJ$39,"=" &amp; AJ11,AI12:$AI$39)=0,"",SUMIF(AJ12:$AJ$39,"=" &amp; AJ11,AI12:$AI$39)))</f>
        <v>0.04</v>
      </c>
      <c r="AJ11" s="139">
        <f t="shared" si="34"/>
        <v>0</v>
      </c>
      <c r="AK11" s="453">
        <f t="shared" si="27"/>
        <v>2</v>
      </c>
      <c r="AL11" s="146">
        <f t="shared" si="28"/>
        <v>4</v>
      </c>
      <c r="AM11" s="146">
        <f t="shared" si="35"/>
        <v>1</v>
      </c>
      <c r="AN11" s="146">
        <f t="shared" si="5"/>
        <v>1</v>
      </c>
      <c r="AO11" s="146">
        <f t="shared" si="6"/>
        <v>3</v>
      </c>
      <c r="AP11" s="453" t="b">
        <f t="shared" si="7"/>
        <v>0</v>
      </c>
      <c r="AQ11" s="140">
        <f t="shared" si="29"/>
        <v>0</v>
      </c>
      <c r="AR11" s="141" t="str">
        <f t="shared" si="8"/>
        <v/>
      </c>
      <c r="AS11" s="142">
        <f t="shared" si="30"/>
        <v>1</v>
      </c>
      <c r="AT11" s="141">
        <f t="shared" si="9"/>
        <v>1</v>
      </c>
      <c r="AU11" s="143">
        <f t="shared" si="10"/>
        <v>0</v>
      </c>
      <c r="AV11" s="144" t="str">
        <f t="shared" si="11"/>
        <v/>
      </c>
      <c r="AW11" s="143" t="b">
        <f t="shared" si="12"/>
        <v>0</v>
      </c>
      <c r="AX11" s="145" t="b">
        <f t="shared" si="13"/>
        <v>0</v>
      </c>
      <c r="AY11" s="143" t="b">
        <f t="shared" si="14"/>
        <v>0</v>
      </c>
      <c r="AZ11" s="145" t="b">
        <f t="shared" si="15"/>
        <v>0</v>
      </c>
      <c r="BA11" s="453" t="b">
        <f t="shared" si="16"/>
        <v>0</v>
      </c>
      <c r="BB11" s="453" t="b">
        <f t="shared" si="17"/>
        <v>0</v>
      </c>
      <c r="BC11" s="143" t="b">
        <f t="shared" si="18"/>
        <v>0</v>
      </c>
      <c r="BD11" s="146" t="b">
        <f t="shared" si="31"/>
        <v>0</v>
      </c>
      <c r="BE11" s="145" t="b">
        <f t="shared" si="19"/>
        <v>0</v>
      </c>
      <c r="BF11" s="147" t="b">
        <f t="shared" si="20"/>
        <v>0</v>
      </c>
      <c r="BG11" s="453" t="b">
        <f t="shared" si="21"/>
        <v>0</v>
      </c>
      <c r="BH11" s="453">
        <f t="shared" si="32"/>
        <v>1</v>
      </c>
      <c r="BI11" s="453">
        <f t="shared" si="22"/>
        <v>2</v>
      </c>
      <c r="BJ11" s="453" t="str">
        <f t="shared" si="23"/>
        <v>2*</v>
      </c>
      <c r="BK11" s="453">
        <f t="shared" si="24"/>
        <v>3</v>
      </c>
      <c r="BL11" s="148">
        <f t="shared" si="33"/>
        <v>1</v>
      </c>
      <c r="BM11" s="453">
        <f t="shared" si="25"/>
        <v>2</v>
      </c>
      <c r="BN11" s="453">
        <f t="shared" si="26"/>
        <v>3</v>
      </c>
      <c r="BO11" s="155">
        <v>1</v>
      </c>
      <c r="BP11" s="156" t="s">
        <v>348</v>
      </c>
    </row>
    <row r="12" spans="2:73" s="94" customFormat="1" ht="12.95" customHeight="1" x14ac:dyDescent="0.2">
      <c r="B12" s="151">
        <f>IF(ISNA(Z12),"",IF(OR(Z12=1,Z12=2),"    ",MAX($B$8:B11)+1))</f>
        <v>4</v>
      </c>
      <c r="C12" s="904" t="str">
        <f t="shared" si="0"/>
        <v>Situational Awareness/Judgement (4.0%)</v>
      </c>
      <c r="D12" s="904"/>
      <c r="E12" s="904"/>
      <c r="F12" s="905"/>
      <c r="G12" s="133">
        <f t="shared" si="1"/>
        <v>1</v>
      </c>
      <c r="H12" s="134" t="str">
        <f t="shared" si="2"/>
        <v>2*</v>
      </c>
      <c r="I12" s="152">
        <f t="shared" si="2"/>
        <v>3</v>
      </c>
      <c r="J12" s="158">
        <v>1</v>
      </c>
      <c r="K12" s="159">
        <v>4</v>
      </c>
      <c r="L12" s="961"/>
      <c r="M12" s="962"/>
      <c r="N12" s="962"/>
      <c r="O12" s="962"/>
      <c r="P12" s="962"/>
      <c r="Q12" s="962"/>
      <c r="R12" s="963"/>
      <c r="T12" s="99">
        <v>5</v>
      </c>
      <c r="U12" s="88" t="s">
        <v>347</v>
      </c>
      <c r="V12" s="453">
        <v>1</v>
      </c>
      <c r="W12" s="453" t="s">
        <v>340</v>
      </c>
      <c r="X12" s="453">
        <v>1</v>
      </c>
      <c r="Y12" s="453" t="s">
        <v>340</v>
      </c>
      <c r="Z12" s="146" t="s">
        <v>340</v>
      </c>
      <c r="AA12" s="146">
        <v>1</v>
      </c>
      <c r="AB12" s="146">
        <v>0</v>
      </c>
      <c r="AC12" s="453">
        <v>3</v>
      </c>
      <c r="AD12" s="453">
        <v>3</v>
      </c>
      <c r="AE12" s="453">
        <v>1</v>
      </c>
      <c r="AF12" s="453" t="b">
        <v>1</v>
      </c>
      <c r="AG12" s="453">
        <f t="shared" si="3"/>
        <v>3</v>
      </c>
      <c r="AH12" s="453">
        <f t="shared" si="4"/>
        <v>2</v>
      </c>
      <c r="AI12" s="138">
        <f>IF(NOT(OR(Z12=1,Z12=2)),IF(AQ12&gt;0,$AR$44*AQ12/SUMIF($AQ$8:$AQ$39,"&gt;0"),IF(AU12&gt;0,$AV$44*AU12/SUMIF($AU$8:$AU$39,"&gt;0"),IF(AS12&gt;0,$AT$44*AS12/SUMIF($AS$8:$AS$39,"&gt;0"),""))),IF(SUMIF(AJ13:$AJ$39,"=" &amp; AJ12,AI13:$AI$39)=0,"",SUMIF(AJ13:$AJ$39,"=" &amp; AJ12,AI13:$AI$39)))</f>
        <v>0.04</v>
      </c>
      <c r="AJ12" s="139">
        <f t="shared" si="34"/>
        <v>0</v>
      </c>
      <c r="AK12" s="453">
        <f t="shared" si="27"/>
        <v>2</v>
      </c>
      <c r="AL12" s="146">
        <f t="shared" si="28"/>
        <v>4</v>
      </c>
      <c r="AM12" s="146">
        <f t="shared" si="35"/>
        <v>1</v>
      </c>
      <c r="AN12" s="146">
        <f t="shared" si="5"/>
        <v>1</v>
      </c>
      <c r="AO12" s="146">
        <f t="shared" si="6"/>
        <v>3</v>
      </c>
      <c r="AP12" s="453" t="b">
        <f t="shared" si="7"/>
        <v>0</v>
      </c>
      <c r="AQ12" s="140">
        <f t="shared" si="29"/>
        <v>0</v>
      </c>
      <c r="AR12" s="141" t="str">
        <f t="shared" si="8"/>
        <v/>
      </c>
      <c r="AS12" s="142">
        <f t="shared" si="30"/>
        <v>1</v>
      </c>
      <c r="AT12" s="141">
        <f t="shared" si="9"/>
        <v>1</v>
      </c>
      <c r="AU12" s="143">
        <f t="shared" si="10"/>
        <v>0</v>
      </c>
      <c r="AV12" s="144" t="str">
        <f t="shared" si="11"/>
        <v/>
      </c>
      <c r="AW12" s="143" t="b">
        <f t="shared" si="12"/>
        <v>0</v>
      </c>
      <c r="AX12" s="145" t="b">
        <f t="shared" si="13"/>
        <v>0</v>
      </c>
      <c r="AY12" s="143" t="b">
        <f t="shared" si="14"/>
        <v>0</v>
      </c>
      <c r="AZ12" s="145" t="b">
        <f t="shared" si="15"/>
        <v>0</v>
      </c>
      <c r="BA12" s="453" t="b">
        <f t="shared" si="16"/>
        <v>0</v>
      </c>
      <c r="BB12" s="453" t="b">
        <f t="shared" si="17"/>
        <v>0</v>
      </c>
      <c r="BC12" s="143" t="b">
        <f t="shared" si="18"/>
        <v>0</v>
      </c>
      <c r="BD12" s="146" t="b">
        <f t="shared" si="31"/>
        <v>0</v>
      </c>
      <c r="BE12" s="145" t="b">
        <f t="shared" si="19"/>
        <v>0</v>
      </c>
      <c r="BF12" s="147" t="b">
        <f t="shared" si="20"/>
        <v>0</v>
      </c>
      <c r="BG12" s="453" t="b">
        <f t="shared" si="21"/>
        <v>0</v>
      </c>
      <c r="BH12" s="453">
        <f t="shared" si="32"/>
        <v>1</v>
      </c>
      <c r="BI12" s="453">
        <f t="shared" si="22"/>
        <v>2</v>
      </c>
      <c r="BJ12" s="453" t="str">
        <f t="shared" si="23"/>
        <v>2*</v>
      </c>
      <c r="BK12" s="453">
        <f t="shared" si="24"/>
        <v>3</v>
      </c>
      <c r="BL12" s="148">
        <f t="shared" si="33"/>
        <v>1</v>
      </c>
      <c r="BM12" s="453">
        <f t="shared" si="25"/>
        <v>2</v>
      </c>
      <c r="BN12" s="453">
        <f t="shared" si="26"/>
        <v>3</v>
      </c>
      <c r="BO12" s="155">
        <v>2</v>
      </c>
      <c r="BP12" s="156" t="s">
        <v>350</v>
      </c>
    </row>
    <row r="13" spans="2:73" s="94" customFormat="1" ht="12.95" customHeight="1" x14ac:dyDescent="0.2">
      <c r="B13" s="151">
        <f>IF(ISNA(Z13),"",IF(OR(Z13=1,Z13=2),"    ",MAX($B$8:B12)+1))</f>
        <v>5</v>
      </c>
      <c r="C13" s="904" t="str">
        <f t="shared" si="0"/>
        <v>Clearing/Visual Lookout (4.0%)</v>
      </c>
      <c r="D13" s="904"/>
      <c r="E13" s="904"/>
      <c r="F13" s="905"/>
      <c r="G13" s="133">
        <f t="shared" si="1"/>
        <v>1</v>
      </c>
      <c r="H13" s="134" t="str">
        <f t="shared" si="2"/>
        <v>2*</v>
      </c>
      <c r="I13" s="152">
        <f t="shared" si="2"/>
        <v>3</v>
      </c>
      <c r="J13" s="158">
        <v>1</v>
      </c>
      <c r="K13" s="159">
        <v>4</v>
      </c>
      <c r="L13" s="961"/>
      <c r="M13" s="962"/>
      <c r="N13" s="962"/>
      <c r="O13" s="962"/>
      <c r="P13" s="962"/>
      <c r="Q13" s="962"/>
      <c r="R13" s="963"/>
      <c r="T13" s="99">
        <v>6</v>
      </c>
      <c r="U13" s="88" t="s">
        <v>349</v>
      </c>
      <c r="V13" s="453">
        <v>1</v>
      </c>
      <c r="W13" s="453" t="s">
        <v>340</v>
      </c>
      <c r="X13" s="453">
        <v>1</v>
      </c>
      <c r="Y13" s="453" t="s">
        <v>340</v>
      </c>
      <c r="Z13" s="146" t="s">
        <v>340</v>
      </c>
      <c r="AA13" s="146">
        <v>1</v>
      </c>
      <c r="AB13" s="146">
        <v>0</v>
      </c>
      <c r="AC13" s="453">
        <v>3</v>
      </c>
      <c r="AD13" s="453">
        <v>3</v>
      </c>
      <c r="AE13" s="453">
        <v>1</v>
      </c>
      <c r="AF13" s="453" t="b">
        <v>1</v>
      </c>
      <c r="AG13" s="453">
        <f t="shared" si="3"/>
        <v>3</v>
      </c>
      <c r="AH13" s="453">
        <f t="shared" si="4"/>
        <v>2</v>
      </c>
      <c r="AI13" s="138">
        <f>IF(NOT(OR(Z13=1,Z13=2)),IF(AQ13&gt;0,$AR$44*AQ13/SUMIF($AQ$8:$AQ$39,"&gt;0"),IF(AU13&gt;0,$AV$44*AU13/SUMIF($AU$8:$AU$39,"&gt;0"),IF(AS13&gt;0,$AT$44*AS13/SUMIF($AS$8:$AS$39,"&gt;0"),""))),IF(SUMIF(AJ14:$AJ$39,"=" &amp; AJ13,AI14:$AI$39)=0,"",SUMIF(AJ14:$AJ$39,"=" &amp; AJ13,AI14:$AI$39)))</f>
        <v>0.04</v>
      </c>
      <c r="AJ13" s="139">
        <f t="shared" si="34"/>
        <v>0</v>
      </c>
      <c r="AK13" s="453">
        <f t="shared" si="27"/>
        <v>2</v>
      </c>
      <c r="AL13" s="146">
        <f t="shared" si="28"/>
        <v>4</v>
      </c>
      <c r="AM13" s="146">
        <f t="shared" si="35"/>
        <v>1</v>
      </c>
      <c r="AN13" s="146">
        <f t="shared" si="5"/>
        <v>1</v>
      </c>
      <c r="AO13" s="146">
        <f t="shared" si="6"/>
        <v>3</v>
      </c>
      <c r="AP13" s="453" t="b">
        <f t="shared" si="7"/>
        <v>0</v>
      </c>
      <c r="AQ13" s="140">
        <f t="shared" si="29"/>
        <v>0</v>
      </c>
      <c r="AR13" s="141" t="str">
        <f t="shared" si="8"/>
        <v/>
      </c>
      <c r="AS13" s="142">
        <f t="shared" si="30"/>
        <v>1</v>
      </c>
      <c r="AT13" s="141">
        <f t="shared" si="9"/>
        <v>1</v>
      </c>
      <c r="AU13" s="143">
        <f t="shared" si="10"/>
        <v>0</v>
      </c>
      <c r="AV13" s="144" t="str">
        <f t="shared" si="11"/>
        <v/>
      </c>
      <c r="AW13" s="143" t="b">
        <f t="shared" si="12"/>
        <v>0</v>
      </c>
      <c r="AX13" s="145" t="b">
        <f t="shared" si="13"/>
        <v>0</v>
      </c>
      <c r="AY13" s="143" t="b">
        <f t="shared" si="14"/>
        <v>0</v>
      </c>
      <c r="AZ13" s="145" t="b">
        <f t="shared" si="15"/>
        <v>0</v>
      </c>
      <c r="BA13" s="453" t="b">
        <f t="shared" si="16"/>
        <v>0</v>
      </c>
      <c r="BB13" s="453" t="b">
        <f t="shared" si="17"/>
        <v>0</v>
      </c>
      <c r="BC13" s="143" t="b">
        <f t="shared" si="18"/>
        <v>0</v>
      </c>
      <c r="BD13" s="146" t="b">
        <f t="shared" si="31"/>
        <v>0</v>
      </c>
      <c r="BE13" s="145" t="b">
        <f t="shared" si="19"/>
        <v>0</v>
      </c>
      <c r="BF13" s="147" t="b">
        <f t="shared" si="20"/>
        <v>0</v>
      </c>
      <c r="BG13" s="453" t="b">
        <f t="shared" si="21"/>
        <v>0</v>
      </c>
      <c r="BH13" s="453">
        <f t="shared" si="32"/>
        <v>1</v>
      </c>
      <c r="BI13" s="453">
        <f t="shared" si="22"/>
        <v>2</v>
      </c>
      <c r="BJ13" s="453" t="str">
        <f t="shared" si="23"/>
        <v>2*</v>
      </c>
      <c r="BK13" s="453">
        <f t="shared" si="24"/>
        <v>3</v>
      </c>
      <c r="BL13" s="148">
        <f t="shared" si="33"/>
        <v>1</v>
      </c>
      <c r="BM13" s="453">
        <f t="shared" si="25"/>
        <v>2</v>
      </c>
      <c r="BN13" s="453">
        <f t="shared" si="26"/>
        <v>3</v>
      </c>
      <c r="BO13" s="155">
        <v>3</v>
      </c>
      <c r="BP13" s="156" t="s">
        <v>352</v>
      </c>
    </row>
    <row r="14" spans="2:73" s="94" customFormat="1" ht="12.95" customHeight="1" x14ac:dyDescent="0.2">
      <c r="B14" s="151" t="str">
        <f>IF(ISNA(Z14),"",IF(OR(Z14=1,Z14=2),"    ",MAX($B$8:B13)+1))</f>
        <v xml:space="preserve">    </v>
      </c>
      <c r="C14" s="904" t="str">
        <f t="shared" si="0"/>
        <v>Academic Tasks</v>
      </c>
      <c r="D14" s="904"/>
      <c r="E14" s="904"/>
      <c r="F14" s="905"/>
      <c r="G14" s="133" t="str">
        <f t="shared" si="1"/>
        <v/>
      </c>
      <c r="H14" s="134" t="str">
        <f t="shared" si="2"/>
        <v/>
      </c>
      <c r="I14" s="152" t="str">
        <f t="shared" si="2"/>
        <v/>
      </c>
      <c r="J14" s="158" t="s">
        <v>340</v>
      </c>
      <c r="K14" s="159" t="s">
        <v>340</v>
      </c>
      <c r="L14" s="961"/>
      <c r="M14" s="962"/>
      <c r="N14" s="962"/>
      <c r="O14" s="962"/>
      <c r="P14" s="962"/>
      <c r="Q14" s="962"/>
      <c r="R14" s="963"/>
      <c r="T14" s="99">
        <v>7</v>
      </c>
      <c r="U14" s="88" t="s">
        <v>351</v>
      </c>
      <c r="V14" s="453" t="s">
        <v>340</v>
      </c>
      <c r="W14" s="453" t="s">
        <v>340</v>
      </c>
      <c r="X14" s="453" t="s">
        <v>340</v>
      </c>
      <c r="Y14" s="453" t="s">
        <v>340</v>
      </c>
      <c r="Z14" s="146">
        <v>1</v>
      </c>
      <c r="AA14" s="146">
        <v>0</v>
      </c>
      <c r="AB14" s="146">
        <v>1</v>
      </c>
      <c r="AC14" s="453" t="s">
        <v>340</v>
      </c>
      <c r="AD14" s="453" t="s">
        <v>340</v>
      </c>
      <c r="AE14" s="453">
        <v>0</v>
      </c>
      <c r="AF14" s="453" t="s">
        <v>340</v>
      </c>
      <c r="AG14" s="453" t="str">
        <f t="shared" si="3"/>
        <v/>
      </c>
      <c r="AH14" s="453" t="str">
        <f t="shared" si="4"/>
        <v/>
      </c>
      <c r="AI14" s="138" t="str">
        <f>IF(NOT(OR(Z14=1,Z14=2)),IF(AQ14&gt;0,$AR$44*AQ14/SUMIF($AQ$8:$AQ$39,"&gt;0"),IF(AU14&gt;0,$AV$44*AU14/SUMIF($AU$8:$AU$39,"&gt;0"),IF(AS14&gt;0,$AT$44*AS14/SUMIF($AS$8:$AS$39,"&gt;0"),""))),IF(SUMIF(AJ15:$AJ$39,"=" &amp; AJ14,AI15:$AI$39)=0,"",SUMIF(AJ15:$AJ$39,"=" &amp; AJ14,AI15:$AI$39)))</f>
        <v/>
      </c>
      <c r="AJ14" s="139">
        <f t="shared" si="34"/>
        <v>1</v>
      </c>
      <c r="AK14" s="453" t="str">
        <f t="shared" si="27"/>
        <v/>
      </c>
      <c r="AL14" s="146" t="str">
        <f t="shared" si="28"/>
        <v/>
      </c>
      <c r="AM14" s="146" t="str">
        <f t="shared" si="35"/>
        <v/>
      </c>
      <c r="AN14" s="146" t="str">
        <f t="shared" si="5"/>
        <v/>
      </c>
      <c r="AO14" s="146" t="str">
        <f t="shared" si="6"/>
        <v/>
      </c>
      <c r="AP14" s="453" t="str">
        <f t="shared" si="7"/>
        <v/>
      </c>
      <c r="AQ14" s="140">
        <f t="shared" si="29"/>
        <v>0</v>
      </c>
      <c r="AR14" s="141" t="str">
        <f t="shared" si="8"/>
        <v/>
      </c>
      <c r="AS14" s="142">
        <f t="shared" si="30"/>
        <v>0</v>
      </c>
      <c r="AT14" s="141" t="str">
        <f t="shared" si="9"/>
        <v/>
      </c>
      <c r="AU14" s="143">
        <f t="shared" si="10"/>
        <v>0</v>
      </c>
      <c r="AV14" s="144" t="str">
        <f t="shared" si="11"/>
        <v/>
      </c>
      <c r="AW14" s="143" t="b">
        <f t="shared" si="12"/>
        <v>0</v>
      </c>
      <c r="AX14" s="145" t="b">
        <f t="shared" si="13"/>
        <v>0</v>
      </c>
      <c r="AY14" s="143" t="b">
        <f t="shared" si="14"/>
        <v>0</v>
      </c>
      <c r="AZ14" s="145" t="b">
        <f t="shared" si="15"/>
        <v>0</v>
      </c>
      <c r="BA14" s="453" t="b">
        <f t="shared" si="16"/>
        <v>0</v>
      </c>
      <c r="BB14" s="453" t="b">
        <f t="shared" si="17"/>
        <v>0</v>
      </c>
      <c r="BC14" s="143" t="b">
        <f t="shared" si="18"/>
        <v>0</v>
      </c>
      <c r="BD14" s="146" t="b">
        <f t="shared" si="31"/>
        <v>0</v>
      </c>
      <c r="BE14" s="145" t="b">
        <f t="shared" si="19"/>
        <v>0</v>
      </c>
      <c r="BF14" s="147" t="b">
        <f t="shared" si="20"/>
        <v>0</v>
      </c>
      <c r="BG14" s="453" t="b">
        <f t="shared" si="21"/>
        <v>0</v>
      </c>
      <c r="BH14" s="453" t="str">
        <f t="shared" si="32"/>
        <v/>
      </c>
      <c r="BI14" s="453" t="str">
        <f t="shared" si="22"/>
        <v/>
      </c>
      <c r="BJ14" s="453" t="str">
        <f t="shared" si="23"/>
        <v/>
      </c>
      <c r="BK14" s="453" t="str">
        <f t="shared" si="24"/>
        <v/>
      </c>
      <c r="BL14" s="148" t="str">
        <f t="shared" si="33"/>
        <v/>
      </c>
      <c r="BM14" s="453" t="str">
        <f t="shared" si="25"/>
        <v/>
      </c>
      <c r="BN14" s="453" t="str">
        <f t="shared" si="26"/>
        <v/>
      </c>
      <c r="BO14" s="155">
        <v>4</v>
      </c>
      <c r="BP14" s="156" t="s">
        <v>354</v>
      </c>
    </row>
    <row r="15" spans="2:73" s="94" customFormat="1" ht="12.95" customHeight="1" x14ac:dyDescent="0.2">
      <c r="B15" s="151" t="str">
        <f>IF(ISNA(Z15),"",IF(OR(Z15=1,Z15=2),"    ",MAX($B$8:B14)+1))</f>
        <v xml:space="preserve">    </v>
      </c>
      <c r="C15" s="904" t="str">
        <f t="shared" si="0"/>
        <v>Test Conduct (30.0%)</v>
      </c>
      <c r="D15" s="904"/>
      <c r="E15" s="904"/>
      <c r="F15" s="905"/>
      <c r="G15" s="133" t="str">
        <f t="shared" si="1"/>
        <v/>
      </c>
      <c r="H15" s="134" t="str">
        <f t="shared" si="2"/>
        <v/>
      </c>
      <c r="I15" s="152" t="str">
        <f t="shared" si="2"/>
        <v/>
      </c>
      <c r="J15" s="158" t="s">
        <v>340</v>
      </c>
      <c r="K15" s="159" t="s">
        <v>340</v>
      </c>
      <c r="L15" s="961"/>
      <c r="M15" s="962"/>
      <c r="N15" s="962"/>
      <c r="O15" s="962"/>
      <c r="P15" s="962"/>
      <c r="Q15" s="962"/>
      <c r="R15" s="963"/>
      <c r="T15" s="99">
        <v>8</v>
      </c>
      <c r="U15" s="88" t="s">
        <v>353</v>
      </c>
      <c r="V15" s="453" t="s">
        <v>340</v>
      </c>
      <c r="W15" s="453" t="s">
        <v>340</v>
      </c>
      <c r="X15" s="453" t="s">
        <v>340</v>
      </c>
      <c r="Y15" s="453" t="s">
        <v>340</v>
      </c>
      <c r="Z15" s="146">
        <v>2</v>
      </c>
      <c r="AA15" s="146">
        <v>1</v>
      </c>
      <c r="AB15" s="146">
        <v>1</v>
      </c>
      <c r="AC15" s="453" t="s">
        <v>340</v>
      </c>
      <c r="AD15" s="453" t="s">
        <v>340</v>
      </c>
      <c r="AE15" s="453" t="s">
        <v>340</v>
      </c>
      <c r="AF15" s="453" t="s">
        <v>340</v>
      </c>
      <c r="AG15" s="453" t="str">
        <f t="shared" si="3"/>
        <v/>
      </c>
      <c r="AH15" s="453" t="str">
        <f t="shared" si="4"/>
        <v/>
      </c>
      <c r="AI15" s="138">
        <f>IF(NOT(OR(Z15=1,Z15=2)),IF(AQ15&gt;0,$AR$44*AQ15/SUMIF($AQ$8:$AQ$39,"&gt;0"),IF(AU15&gt;0,$AV$44*AU15/SUMIF($AU$8:$AU$39,"&gt;0"),IF(AS15&gt;0,$AT$44*AS15/SUMIF($AS$8:$AS$39,"&gt;0"),""))),IF(SUMIF(AJ16:$AJ$39,"=" &amp; AJ15,AI16:$AI$39)=0,"",SUMIF(AJ16:$AJ$39,"=" &amp; AJ15,AI16:$AI$39)))</f>
        <v>0.30000000000000004</v>
      </c>
      <c r="AJ15" s="139">
        <f t="shared" si="34"/>
        <v>2</v>
      </c>
      <c r="AK15" s="453" t="str">
        <f t="shared" si="27"/>
        <v/>
      </c>
      <c r="AL15" s="146" t="str">
        <f t="shared" si="28"/>
        <v/>
      </c>
      <c r="AM15" s="146" t="str">
        <f t="shared" si="35"/>
        <v/>
      </c>
      <c r="AN15" s="146" t="str">
        <f t="shared" si="5"/>
        <v/>
      </c>
      <c r="AO15" s="146" t="str">
        <f t="shared" si="6"/>
        <v/>
      </c>
      <c r="AP15" s="453" t="str">
        <f t="shared" si="7"/>
        <v/>
      </c>
      <c r="AQ15" s="140">
        <f t="shared" si="29"/>
        <v>0</v>
      </c>
      <c r="AR15" s="141" t="str">
        <f t="shared" si="8"/>
        <v/>
      </c>
      <c r="AS15" s="142">
        <f t="shared" si="30"/>
        <v>0</v>
      </c>
      <c r="AT15" s="141" t="str">
        <f t="shared" si="9"/>
        <v/>
      </c>
      <c r="AU15" s="143">
        <f t="shared" si="10"/>
        <v>0</v>
      </c>
      <c r="AV15" s="144" t="str">
        <f t="shared" si="11"/>
        <v/>
      </c>
      <c r="AW15" s="143" t="b">
        <f t="shared" si="12"/>
        <v>0</v>
      </c>
      <c r="AX15" s="145" t="b">
        <f t="shared" si="13"/>
        <v>0</v>
      </c>
      <c r="AY15" s="143" t="b">
        <f t="shared" si="14"/>
        <v>0</v>
      </c>
      <c r="AZ15" s="145" t="b">
        <f t="shared" si="15"/>
        <v>0</v>
      </c>
      <c r="BA15" s="453" t="b">
        <f t="shared" si="16"/>
        <v>0</v>
      </c>
      <c r="BB15" s="453" t="b">
        <f t="shared" si="17"/>
        <v>0</v>
      </c>
      <c r="BC15" s="143" t="b">
        <f t="shared" si="18"/>
        <v>0</v>
      </c>
      <c r="BD15" s="146" t="b">
        <f t="shared" si="31"/>
        <v>0</v>
      </c>
      <c r="BE15" s="145" t="b">
        <f t="shared" si="19"/>
        <v>0</v>
      </c>
      <c r="BF15" s="147" t="b">
        <f t="shared" si="20"/>
        <v>0</v>
      </c>
      <c r="BG15" s="453" t="b">
        <f t="shared" si="21"/>
        <v>0</v>
      </c>
      <c r="BH15" s="453" t="str">
        <f t="shared" si="32"/>
        <v/>
      </c>
      <c r="BI15" s="453" t="str">
        <f t="shared" si="22"/>
        <v/>
      </c>
      <c r="BJ15" s="453" t="str">
        <f t="shared" si="23"/>
        <v/>
      </c>
      <c r="BK15" s="453" t="str">
        <f t="shared" si="24"/>
        <v/>
      </c>
      <c r="BL15" s="148" t="str">
        <f t="shared" si="33"/>
        <v/>
      </c>
      <c r="BM15" s="453" t="str">
        <f t="shared" si="25"/>
        <v/>
      </c>
      <c r="BN15" s="453" t="str">
        <f t="shared" si="26"/>
        <v/>
      </c>
      <c r="BO15" s="90"/>
    </row>
    <row r="16" spans="2:73" s="94" customFormat="1" ht="12.95" customHeight="1" x14ac:dyDescent="0.2">
      <c r="B16" s="151">
        <f>IF(ISNA(Z16),"",IF(OR(Z16=1,Z16=2),"    ",MAX($B$8:B15)+1))</f>
        <v>6</v>
      </c>
      <c r="C16" s="904" t="str">
        <f t="shared" si="0"/>
        <v xml:space="preserve">      - Card Procedures (10.0%)</v>
      </c>
      <c r="D16" s="904"/>
      <c r="E16" s="904"/>
      <c r="F16" s="905"/>
      <c r="G16" s="133">
        <f t="shared" si="1"/>
        <v>1</v>
      </c>
      <c r="H16" s="134" t="str">
        <f t="shared" si="2"/>
        <v>2*</v>
      </c>
      <c r="I16" s="152">
        <f t="shared" si="2"/>
        <v>3</v>
      </c>
      <c r="J16" s="158">
        <v>1</v>
      </c>
      <c r="K16" s="159">
        <v>3</v>
      </c>
      <c r="L16" s="961"/>
      <c r="M16" s="962"/>
      <c r="N16" s="962"/>
      <c r="O16" s="962"/>
      <c r="P16" s="962"/>
      <c r="Q16" s="962"/>
      <c r="R16" s="963"/>
      <c r="T16" s="99">
        <v>9</v>
      </c>
      <c r="U16" s="88" t="s">
        <v>640</v>
      </c>
      <c r="V16" s="453">
        <v>1</v>
      </c>
      <c r="W16" s="453">
        <v>1</v>
      </c>
      <c r="X16" s="453" t="s">
        <v>340</v>
      </c>
      <c r="Y16" s="453" t="s">
        <v>340</v>
      </c>
      <c r="Z16" s="146" t="s">
        <v>340</v>
      </c>
      <c r="AA16" s="146">
        <v>2</v>
      </c>
      <c r="AB16" s="146">
        <v>1</v>
      </c>
      <c r="AC16" s="453">
        <v>3</v>
      </c>
      <c r="AD16" s="453">
        <v>2</v>
      </c>
      <c r="AE16" s="453">
        <v>1</v>
      </c>
      <c r="AF16" s="453" t="b">
        <v>1</v>
      </c>
      <c r="AG16" s="453">
        <f t="shared" si="3"/>
        <v>3</v>
      </c>
      <c r="AH16" s="453">
        <f t="shared" si="4"/>
        <v>2</v>
      </c>
      <c r="AI16" s="138">
        <f>IF(NOT(OR(Z16=1,Z16=2)),IF(AQ16&gt;0,$AR$44*AQ16/SUMIF($AQ$8:$AQ$39,"&gt;0"),IF(AU16&gt;0,$AV$44*AU16/SUMIF($AU$8:$AU$39,"&gt;0"),IF(AS16&gt;0,$AT$44*AS16/SUMIF($AS$8:$AS$39,"&gt;0"),""))),IF(SUMIF(AJ17:$AJ$39,"=" &amp; AJ16,AI17:$AI$39)=0,"",SUMIF(AJ17:$AJ$39,"=" &amp; AJ16,AI17:$AI$39)))</f>
        <v>0.1</v>
      </c>
      <c r="AJ16" s="139">
        <f t="shared" si="34"/>
        <v>2</v>
      </c>
      <c r="AK16" s="453">
        <f t="shared" si="27"/>
        <v>2</v>
      </c>
      <c r="AL16" s="146">
        <f t="shared" si="28"/>
        <v>3</v>
      </c>
      <c r="AM16" s="146">
        <f t="shared" si="35"/>
        <v>1</v>
      </c>
      <c r="AN16" s="146" t="str">
        <f t="shared" si="5"/>
        <v/>
      </c>
      <c r="AO16" s="146" t="str">
        <f t="shared" si="6"/>
        <v/>
      </c>
      <c r="AP16" s="453" t="b">
        <f t="shared" si="7"/>
        <v>0</v>
      </c>
      <c r="AQ16" s="140">
        <f t="shared" si="29"/>
        <v>1</v>
      </c>
      <c r="AR16" s="141">
        <f t="shared" si="8"/>
        <v>0.9</v>
      </c>
      <c r="AS16" s="142">
        <f t="shared" si="30"/>
        <v>0</v>
      </c>
      <c r="AT16" s="141" t="str">
        <f t="shared" si="9"/>
        <v/>
      </c>
      <c r="AU16" s="143">
        <f t="shared" si="10"/>
        <v>0</v>
      </c>
      <c r="AV16" s="144">
        <f t="shared" si="11"/>
        <v>0.9</v>
      </c>
      <c r="AW16" s="143" t="b">
        <f t="shared" si="12"/>
        <v>0</v>
      </c>
      <c r="AX16" s="145" t="b">
        <f t="shared" si="13"/>
        <v>0</v>
      </c>
      <c r="AY16" s="143" t="b">
        <f t="shared" si="14"/>
        <v>0</v>
      </c>
      <c r="AZ16" s="145" t="b">
        <f t="shared" si="15"/>
        <v>0</v>
      </c>
      <c r="BA16" s="453" t="b">
        <f t="shared" si="16"/>
        <v>0</v>
      </c>
      <c r="BB16" s="453" t="b">
        <f t="shared" si="17"/>
        <v>0</v>
      </c>
      <c r="BC16" s="143" t="b">
        <f t="shared" si="18"/>
        <v>0</v>
      </c>
      <c r="BD16" s="146" t="b">
        <f t="shared" si="31"/>
        <v>0</v>
      </c>
      <c r="BE16" s="145" t="b">
        <f t="shared" si="19"/>
        <v>0</v>
      </c>
      <c r="BF16" s="147" t="b">
        <f t="shared" si="20"/>
        <v>0</v>
      </c>
      <c r="BG16" s="453" t="b">
        <f t="shared" si="21"/>
        <v>0</v>
      </c>
      <c r="BH16" s="453">
        <f t="shared" si="32"/>
        <v>1</v>
      </c>
      <c r="BI16" s="453">
        <f t="shared" si="22"/>
        <v>2</v>
      </c>
      <c r="BJ16" s="453" t="str">
        <f t="shared" si="23"/>
        <v>2*</v>
      </c>
      <c r="BK16" s="453">
        <f t="shared" si="24"/>
        <v>3</v>
      </c>
      <c r="BL16" s="148">
        <f t="shared" si="33"/>
        <v>1</v>
      </c>
      <c r="BM16" s="453">
        <f t="shared" si="25"/>
        <v>2</v>
      </c>
      <c r="BN16" s="453">
        <f t="shared" si="26"/>
        <v>3</v>
      </c>
      <c r="BO16" s="155"/>
      <c r="BP16" s="160"/>
    </row>
    <row r="17" spans="2:73" s="94" customFormat="1" ht="12.95" customHeight="1" x14ac:dyDescent="0.2">
      <c r="B17" s="151">
        <f>IF(ISNA(Z17),"",IF(OR(Z17=1,Z17=2),"    ",MAX($B$8:B16)+1))</f>
        <v>7</v>
      </c>
      <c r="C17" s="904" t="str">
        <f t="shared" si="0"/>
        <v xml:space="preserve">      - Energy Management (10.0%)</v>
      </c>
      <c r="D17" s="904"/>
      <c r="E17" s="904"/>
      <c r="F17" s="905"/>
      <c r="G17" s="133">
        <f t="shared" si="1"/>
        <v>1</v>
      </c>
      <c r="H17" s="134" t="str">
        <f t="shared" si="2"/>
        <v>2*</v>
      </c>
      <c r="I17" s="152">
        <f t="shared" si="2"/>
        <v>3</v>
      </c>
      <c r="J17" s="158">
        <v>1</v>
      </c>
      <c r="K17" s="159">
        <v>3</v>
      </c>
      <c r="L17" s="961"/>
      <c r="M17" s="962"/>
      <c r="N17" s="962"/>
      <c r="O17" s="962"/>
      <c r="P17" s="962"/>
      <c r="Q17" s="962"/>
      <c r="R17" s="963"/>
      <c r="T17" s="99">
        <v>10</v>
      </c>
      <c r="U17" s="88" t="s">
        <v>641</v>
      </c>
      <c r="V17" s="453">
        <v>1</v>
      </c>
      <c r="W17" s="453">
        <v>1</v>
      </c>
      <c r="X17" s="453" t="s">
        <v>340</v>
      </c>
      <c r="Y17" s="453" t="s">
        <v>340</v>
      </c>
      <c r="Z17" s="146" t="s">
        <v>340</v>
      </c>
      <c r="AA17" s="146">
        <v>2</v>
      </c>
      <c r="AB17" s="146">
        <v>1</v>
      </c>
      <c r="AC17" s="453">
        <v>3</v>
      </c>
      <c r="AD17" s="453">
        <v>2</v>
      </c>
      <c r="AE17" s="453">
        <v>1</v>
      </c>
      <c r="AF17" s="453" t="b">
        <v>1</v>
      </c>
      <c r="AG17" s="453">
        <f t="shared" si="3"/>
        <v>3</v>
      </c>
      <c r="AH17" s="453">
        <f t="shared" si="4"/>
        <v>2</v>
      </c>
      <c r="AI17" s="138">
        <f>IF(NOT(OR(Z17=1,Z17=2)),IF(AQ17&gt;0,$AR$44*AQ17/SUMIF($AQ$8:$AQ$39,"&gt;0"),IF(AU17&gt;0,$AV$44*AU17/SUMIF($AU$8:$AU$39,"&gt;0"),IF(AS17&gt;0,$AT$44*AS17/SUMIF($AS$8:$AS$39,"&gt;0"),""))),IF(SUMIF(AJ18:$AJ$39,"=" &amp; AJ17,AI18:$AI$39)=0,"",SUMIF(AJ18:$AJ$39,"=" &amp; AJ17,AI18:$AI$39)))</f>
        <v>0.1</v>
      </c>
      <c r="AJ17" s="139">
        <f t="shared" si="34"/>
        <v>2</v>
      </c>
      <c r="AK17" s="453">
        <f t="shared" si="27"/>
        <v>2</v>
      </c>
      <c r="AL17" s="146">
        <f t="shared" si="28"/>
        <v>3</v>
      </c>
      <c r="AM17" s="146">
        <f t="shared" si="35"/>
        <v>1</v>
      </c>
      <c r="AN17" s="146" t="str">
        <f t="shared" si="5"/>
        <v/>
      </c>
      <c r="AO17" s="146" t="str">
        <f t="shared" si="6"/>
        <v/>
      </c>
      <c r="AP17" s="453" t="b">
        <f t="shared" si="7"/>
        <v>0</v>
      </c>
      <c r="AQ17" s="140">
        <f t="shared" si="29"/>
        <v>1</v>
      </c>
      <c r="AR17" s="141">
        <f t="shared" si="8"/>
        <v>0.9</v>
      </c>
      <c r="AS17" s="142">
        <f t="shared" si="30"/>
        <v>0</v>
      </c>
      <c r="AT17" s="141" t="str">
        <f t="shared" si="9"/>
        <v/>
      </c>
      <c r="AU17" s="143">
        <f t="shared" si="10"/>
        <v>0</v>
      </c>
      <c r="AV17" s="144">
        <f t="shared" si="11"/>
        <v>0.9</v>
      </c>
      <c r="AW17" s="143" t="b">
        <f t="shared" si="12"/>
        <v>0</v>
      </c>
      <c r="AX17" s="145" t="b">
        <f t="shared" si="13"/>
        <v>0</v>
      </c>
      <c r="AY17" s="143" t="b">
        <f t="shared" si="14"/>
        <v>0</v>
      </c>
      <c r="AZ17" s="145" t="b">
        <f t="shared" si="15"/>
        <v>0</v>
      </c>
      <c r="BA17" s="453" t="b">
        <f t="shared" si="16"/>
        <v>0</v>
      </c>
      <c r="BB17" s="453" t="b">
        <f t="shared" si="17"/>
        <v>0</v>
      </c>
      <c r="BC17" s="143" t="b">
        <f t="shared" si="18"/>
        <v>0</v>
      </c>
      <c r="BD17" s="146" t="b">
        <f t="shared" si="31"/>
        <v>0</v>
      </c>
      <c r="BE17" s="145" t="b">
        <f t="shared" si="19"/>
        <v>0</v>
      </c>
      <c r="BF17" s="147" t="b">
        <f t="shared" si="20"/>
        <v>0</v>
      </c>
      <c r="BG17" s="453" t="b">
        <f t="shared" si="21"/>
        <v>0</v>
      </c>
      <c r="BH17" s="453">
        <f t="shared" si="32"/>
        <v>1</v>
      </c>
      <c r="BI17" s="453">
        <f t="shared" si="22"/>
        <v>2</v>
      </c>
      <c r="BJ17" s="453" t="str">
        <f t="shared" si="23"/>
        <v>2*</v>
      </c>
      <c r="BK17" s="453">
        <f t="shared" si="24"/>
        <v>3</v>
      </c>
      <c r="BL17" s="148">
        <f t="shared" si="33"/>
        <v>1</v>
      </c>
      <c r="BM17" s="453">
        <f t="shared" si="25"/>
        <v>2</v>
      </c>
      <c r="BN17" s="453">
        <f t="shared" si="26"/>
        <v>3</v>
      </c>
      <c r="BO17" s="90"/>
    </row>
    <row r="18" spans="2:73" s="94" customFormat="1" ht="12.95" customHeight="1" x14ac:dyDescent="0.2">
      <c r="B18" s="151">
        <f>IF(ISNA(Z18),"",IF(OR(Z18=1,Z18=2),"    ",MAX($B$8:B17)+1))</f>
        <v>8</v>
      </c>
      <c r="C18" s="904" t="str">
        <f t="shared" si="0"/>
        <v xml:space="preserve">      - Low L/D Theory (10.0%)</v>
      </c>
      <c r="D18" s="904"/>
      <c r="E18" s="904"/>
      <c r="F18" s="905"/>
      <c r="G18" s="133">
        <f t="shared" si="1"/>
        <v>1</v>
      </c>
      <c r="H18" s="134" t="str">
        <f t="shared" si="2"/>
        <v>2*</v>
      </c>
      <c r="I18" s="152">
        <f t="shared" si="2"/>
        <v>3</v>
      </c>
      <c r="J18" s="158">
        <v>1</v>
      </c>
      <c r="K18" s="159">
        <v>4</v>
      </c>
      <c r="L18" s="961"/>
      <c r="M18" s="962"/>
      <c r="N18" s="962"/>
      <c r="O18" s="962"/>
      <c r="P18" s="962"/>
      <c r="Q18" s="962"/>
      <c r="R18" s="963"/>
      <c r="T18" s="99">
        <v>11</v>
      </c>
      <c r="U18" s="88" t="s">
        <v>642</v>
      </c>
      <c r="V18" s="453">
        <v>1</v>
      </c>
      <c r="W18" s="453">
        <v>1</v>
      </c>
      <c r="X18" s="453" t="s">
        <v>340</v>
      </c>
      <c r="Y18" s="453" t="s">
        <v>340</v>
      </c>
      <c r="Z18" s="146" t="s">
        <v>340</v>
      </c>
      <c r="AA18" s="146">
        <v>2</v>
      </c>
      <c r="AB18" s="146">
        <v>1</v>
      </c>
      <c r="AC18" s="453">
        <v>3</v>
      </c>
      <c r="AD18" s="453">
        <v>2</v>
      </c>
      <c r="AE18" s="453">
        <v>1</v>
      </c>
      <c r="AF18" s="453" t="b">
        <v>1</v>
      </c>
      <c r="AG18" s="453">
        <f t="shared" si="3"/>
        <v>3</v>
      </c>
      <c r="AH18" s="453">
        <f t="shared" si="4"/>
        <v>2</v>
      </c>
      <c r="AI18" s="138">
        <f>IF(NOT(OR(Z18=1,Z18=2)),IF(AQ18&gt;0,$AR$44*AQ18/SUMIF($AQ$8:$AQ$39,"&gt;0"),IF(AU18&gt;0,$AV$44*AU18/SUMIF($AU$8:$AU$39,"&gt;0"),IF(AS18&gt;0,$AT$44*AS18/SUMIF($AS$8:$AS$39,"&gt;0"),""))),IF(SUMIF(AJ19:$AJ$39,"=" &amp; AJ18,AI19:$AI$39)=0,"",SUMIF(AJ19:$AJ$39,"=" &amp; AJ18,AI19:$AI$39)))</f>
        <v>0.1</v>
      </c>
      <c r="AJ18" s="139">
        <f t="shared" si="34"/>
        <v>2</v>
      </c>
      <c r="AK18" s="453">
        <f t="shared" si="27"/>
        <v>2</v>
      </c>
      <c r="AL18" s="146">
        <f t="shared" si="28"/>
        <v>4</v>
      </c>
      <c r="AM18" s="146">
        <f t="shared" si="35"/>
        <v>1</v>
      </c>
      <c r="AN18" s="146" t="str">
        <f t="shared" si="5"/>
        <v/>
      </c>
      <c r="AO18" s="146" t="str">
        <f t="shared" si="6"/>
        <v/>
      </c>
      <c r="AP18" s="453" t="b">
        <f t="shared" si="7"/>
        <v>0</v>
      </c>
      <c r="AQ18" s="140">
        <f t="shared" si="29"/>
        <v>1</v>
      </c>
      <c r="AR18" s="141">
        <f t="shared" si="8"/>
        <v>1</v>
      </c>
      <c r="AS18" s="142">
        <f t="shared" si="30"/>
        <v>0</v>
      </c>
      <c r="AT18" s="141" t="str">
        <f t="shared" si="9"/>
        <v/>
      </c>
      <c r="AU18" s="143">
        <f t="shared" si="10"/>
        <v>0</v>
      </c>
      <c r="AV18" s="144">
        <f t="shared" si="11"/>
        <v>1</v>
      </c>
      <c r="AW18" s="143" t="b">
        <f t="shared" si="12"/>
        <v>0</v>
      </c>
      <c r="AX18" s="145" t="b">
        <f t="shared" si="13"/>
        <v>0</v>
      </c>
      <c r="AY18" s="143" t="b">
        <f t="shared" si="14"/>
        <v>0</v>
      </c>
      <c r="AZ18" s="145" t="b">
        <f t="shared" si="15"/>
        <v>0</v>
      </c>
      <c r="BA18" s="453" t="b">
        <f t="shared" si="16"/>
        <v>0</v>
      </c>
      <c r="BB18" s="453" t="b">
        <f t="shared" si="17"/>
        <v>0</v>
      </c>
      <c r="BC18" s="143" t="b">
        <f t="shared" si="18"/>
        <v>0</v>
      </c>
      <c r="BD18" s="146" t="b">
        <f t="shared" si="31"/>
        <v>0</v>
      </c>
      <c r="BE18" s="145" t="b">
        <f t="shared" si="19"/>
        <v>0</v>
      </c>
      <c r="BF18" s="147" t="b">
        <f t="shared" si="20"/>
        <v>0</v>
      </c>
      <c r="BG18" s="453" t="b">
        <f t="shared" si="21"/>
        <v>0</v>
      </c>
      <c r="BH18" s="453">
        <f t="shared" si="32"/>
        <v>1</v>
      </c>
      <c r="BI18" s="453">
        <f t="shared" si="22"/>
        <v>2</v>
      </c>
      <c r="BJ18" s="453" t="str">
        <f t="shared" si="23"/>
        <v>2*</v>
      </c>
      <c r="BK18" s="453">
        <f t="shared" si="24"/>
        <v>3</v>
      </c>
      <c r="BL18" s="148">
        <f t="shared" si="33"/>
        <v>1</v>
      </c>
      <c r="BM18" s="453">
        <f t="shared" si="25"/>
        <v>2</v>
      </c>
      <c r="BN18" s="453">
        <f t="shared" si="26"/>
        <v>3</v>
      </c>
      <c r="BO18" s="300"/>
      <c r="BP18" s="160" t="s">
        <v>355</v>
      </c>
      <c r="BQ18" s="161"/>
      <c r="BR18" s="161"/>
      <c r="BS18" s="161"/>
      <c r="BT18" s="161"/>
      <c r="BU18" s="161"/>
    </row>
    <row r="19" spans="2:73" s="94" customFormat="1" ht="12.95" customHeight="1" x14ac:dyDescent="0.2">
      <c r="B19" s="151" t="str">
        <f>IF(ISNA(Z19),"",IF(OR(Z19=1,Z19=2),"    ",MAX($B$8:B18)+1))</f>
        <v xml:space="preserve">    </v>
      </c>
      <c r="C19" s="904" t="str">
        <f t="shared" si="0"/>
        <v>X-24 Approaches (30.0%)</v>
      </c>
      <c r="D19" s="904"/>
      <c r="E19" s="904"/>
      <c r="F19" s="905"/>
      <c r="G19" s="133" t="str">
        <f t="shared" si="1"/>
        <v/>
      </c>
      <c r="H19" s="134" t="str">
        <f t="shared" si="2"/>
        <v/>
      </c>
      <c r="I19" s="152" t="str">
        <f t="shared" si="2"/>
        <v/>
      </c>
      <c r="J19" s="158" t="s">
        <v>340</v>
      </c>
      <c r="K19" s="159" t="s">
        <v>340</v>
      </c>
      <c r="L19" s="961"/>
      <c r="M19" s="962"/>
      <c r="N19" s="962"/>
      <c r="O19" s="962"/>
      <c r="P19" s="962"/>
      <c r="Q19" s="962"/>
      <c r="R19" s="963"/>
      <c r="T19" s="99">
        <v>12</v>
      </c>
      <c r="U19" s="88" t="s">
        <v>643</v>
      </c>
      <c r="V19" s="453" t="s">
        <v>340</v>
      </c>
      <c r="W19" s="453" t="s">
        <v>340</v>
      </c>
      <c r="X19" s="453" t="s">
        <v>340</v>
      </c>
      <c r="Y19" s="453" t="s">
        <v>340</v>
      </c>
      <c r="Z19" s="146">
        <v>2</v>
      </c>
      <c r="AA19" s="146">
        <v>1</v>
      </c>
      <c r="AB19" s="146">
        <v>1</v>
      </c>
      <c r="AC19" s="453" t="s">
        <v>340</v>
      </c>
      <c r="AD19" s="453" t="s">
        <v>340</v>
      </c>
      <c r="AE19" s="453" t="s">
        <v>340</v>
      </c>
      <c r="AF19" s="453" t="s">
        <v>340</v>
      </c>
      <c r="AG19" s="453" t="str">
        <f t="shared" si="3"/>
        <v/>
      </c>
      <c r="AH19" s="453" t="str">
        <f t="shared" si="4"/>
        <v/>
      </c>
      <c r="AI19" s="138">
        <f>IF(NOT(OR(Z19=1,Z19=2)),IF(AQ19&gt;0,$AR$44*AQ19/SUMIF($AQ$8:$AQ$39,"&gt;0"),IF(AU19&gt;0,$AV$44*AU19/SUMIF($AU$8:$AU$39,"&gt;0"),IF(AS19&gt;0,$AT$44*AS19/SUMIF($AS$8:$AS$39,"&gt;0"),""))),IF(SUMIF(AJ20:$AJ$39,"=" &amp; AJ19,AI20:$AI$39)=0,"",SUMIF(AJ20:$AJ$39,"=" &amp; AJ19,AI20:$AI$39)))</f>
        <v>0.30000000000000004</v>
      </c>
      <c r="AJ19" s="139">
        <f t="shared" si="34"/>
        <v>3</v>
      </c>
      <c r="AK19" s="453" t="str">
        <f t="shared" si="27"/>
        <v/>
      </c>
      <c r="AL19" s="146" t="str">
        <f t="shared" si="28"/>
        <v/>
      </c>
      <c r="AM19" s="146" t="str">
        <f t="shared" si="35"/>
        <v/>
      </c>
      <c r="AN19" s="146" t="str">
        <f t="shared" si="5"/>
        <v/>
      </c>
      <c r="AO19" s="146" t="str">
        <f t="shared" si="6"/>
        <v/>
      </c>
      <c r="AP19" s="453" t="str">
        <f t="shared" si="7"/>
        <v/>
      </c>
      <c r="AQ19" s="140">
        <f t="shared" si="29"/>
        <v>0</v>
      </c>
      <c r="AR19" s="141" t="str">
        <f t="shared" si="8"/>
        <v/>
      </c>
      <c r="AS19" s="142">
        <f t="shared" si="30"/>
        <v>0</v>
      </c>
      <c r="AT19" s="141" t="str">
        <f t="shared" si="9"/>
        <v/>
      </c>
      <c r="AU19" s="143">
        <f t="shared" si="10"/>
        <v>0</v>
      </c>
      <c r="AV19" s="144" t="str">
        <f t="shared" si="11"/>
        <v/>
      </c>
      <c r="AW19" s="143" t="b">
        <f t="shared" si="12"/>
        <v>0</v>
      </c>
      <c r="AX19" s="145" t="b">
        <f t="shared" si="13"/>
        <v>0</v>
      </c>
      <c r="AY19" s="143" t="b">
        <f t="shared" si="14"/>
        <v>0</v>
      </c>
      <c r="AZ19" s="145" t="b">
        <f t="shared" si="15"/>
        <v>0</v>
      </c>
      <c r="BA19" s="453" t="b">
        <f t="shared" si="16"/>
        <v>0</v>
      </c>
      <c r="BB19" s="453" t="b">
        <f t="shared" si="17"/>
        <v>0</v>
      </c>
      <c r="BC19" s="143" t="b">
        <f t="shared" si="18"/>
        <v>0</v>
      </c>
      <c r="BD19" s="146" t="b">
        <f t="shared" si="31"/>
        <v>0</v>
      </c>
      <c r="BE19" s="145" t="b">
        <f t="shared" si="19"/>
        <v>0</v>
      </c>
      <c r="BF19" s="147" t="b">
        <f t="shared" si="20"/>
        <v>0</v>
      </c>
      <c r="BG19" s="453" t="b">
        <f t="shared" si="21"/>
        <v>0</v>
      </c>
      <c r="BH19" s="453" t="str">
        <f t="shared" si="32"/>
        <v/>
      </c>
      <c r="BI19" s="453" t="str">
        <f t="shared" si="22"/>
        <v/>
      </c>
      <c r="BJ19" s="453" t="str">
        <f t="shared" si="23"/>
        <v/>
      </c>
      <c r="BK19" s="453" t="str">
        <f t="shared" si="24"/>
        <v/>
      </c>
      <c r="BL19" s="148" t="str">
        <f t="shared" si="33"/>
        <v/>
      </c>
      <c r="BM19" s="453" t="str">
        <f t="shared" si="25"/>
        <v/>
      </c>
      <c r="BN19" s="453" t="str">
        <f t="shared" si="26"/>
        <v/>
      </c>
      <c r="BO19" s="300"/>
      <c r="BP19" s="150"/>
      <c r="BQ19" s="935" t="s">
        <v>356</v>
      </c>
      <c r="BR19" s="935"/>
      <c r="BS19" s="935"/>
      <c r="BT19" s="935"/>
      <c r="BU19" s="935"/>
    </row>
    <row r="20" spans="2:73" s="94" customFormat="1" ht="12.95" customHeight="1" x14ac:dyDescent="0.2">
      <c r="B20" s="151">
        <f>IF(ISNA(Z20),"",IF(OR(Z20=1,Z20=2),"    ",MAX($B$8:B19)+1))</f>
        <v>9</v>
      </c>
      <c r="C20" s="904" t="str">
        <f t="shared" si="0"/>
        <v xml:space="preserve">      - Nominal Pattern Demo</v>
      </c>
      <c r="D20" s="904"/>
      <c r="E20" s="904"/>
      <c r="F20" s="905"/>
      <c r="G20" s="133">
        <f t="shared" si="1"/>
        <v>1</v>
      </c>
      <c r="H20" s="134" t="str">
        <f t="shared" si="2"/>
        <v>NG</v>
      </c>
      <c r="I20" s="152" t="str">
        <f t="shared" si="2"/>
        <v/>
      </c>
      <c r="J20" s="158">
        <v>1</v>
      </c>
      <c r="K20" s="159" t="s">
        <v>343</v>
      </c>
      <c r="L20" s="961"/>
      <c r="M20" s="962"/>
      <c r="N20" s="962"/>
      <c r="O20" s="962"/>
      <c r="P20" s="962"/>
      <c r="Q20" s="962"/>
      <c r="R20" s="963"/>
      <c r="T20" s="99">
        <v>13</v>
      </c>
      <c r="U20" s="88" t="s">
        <v>644</v>
      </c>
      <c r="V20" s="453">
        <v>1</v>
      </c>
      <c r="W20" s="453" t="s">
        <v>340</v>
      </c>
      <c r="X20" s="453" t="s">
        <v>340</v>
      </c>
      <c r="Y20" s="453" t="s">
        <v>340</v>
      </c>
      <c r="Z20" s="146" t="s">
        <v>340</v>
      </c>
      <c r="AA20" s="146">
        <v>2</v>
      </c>
      <c r="AB20" s="146">
        <v>1</v>
      </c>
      <c r="AC20" s="453" t="s">
        <v>340</v>
      </c>
      <c r="AD20" s="453" t="s">
        <v>357</v>
      </c>
      <c r="AE20" s="453" t="s">
        <v>340</v>
      </c>
      <c r="AF20" s="453" t="b">
        <v>1</v>
      </c>
      <c r="AG20" s="453" t="str">
        <f t="shared" si="3"/>
        <v/>
      </c>
      <c r="AH20" s="453" t="str">
        <f t="shared" si="4"/>
        <v/>
      </c>
      <c r="AI20" s="138" t="str">
        <f>IF(NOT(OR(Z20=1,Z20=2)),IF(AQ20&gt;0,$AR$44*AQ20/SUMIF($AQ$8:$AQ$39,"&gt;0"),IF(AU20&gt;0,$AV$44*AU20/SUMIF($AU$8:$AU$39,"&gt;0"),IF(AS20&gt;0,$AT$44*AS20/SUMIF($AS$8:$AS$39,"&gt;0"),""))),IF(SUMIF(AJ21:$AJ$39,"=" &amp; AJ20,AI21:$AI$39)=0,"",SUMIF(AJ21:$AJ$39,"=" &amp; AJ20,AI21:$AI$39)))</f>
        <v/>
      </c>
      <c r="AJ20" s="139">
        <f t="shared" si="34"/>
        <v>3</v>
      </c>
      <c r="AK20" s="453" t="str">
        <f t="shared" si="27"/>
        <v>NG</v>
      </c>
      <c r="AL20" s="146" t="str">
        <f t="shared" si="28"/>
        <v>D</v>
      </c>
      <c r="AM20" s="146" t="str">
        <f t="shared" si="35"/>
        <v/>
      </c>
      <c r="AN20" s="146" t="str">
        <f t="shared" si="5"/>
        <v/>
      </c>
      <c r="AO20" s="146" t="str">
        <f t="shared" si="6"/>
        <v/>
      </c>
      <c r="AP20" s="453" t="str">
        <f t="shared" si="7"/>
        <v/>
      </c>
      <c r="AQ20" s="140">
        <f t="shared" si="29"/>
        <v>0</v>
      </c>
      <c r="AR20" s="141" t="str">
        <f t="shared" si="8"/>
        <v/>
      </c>
      <c r="AS20" s="142">
        <f t="shared" si="30"/>
        <v>0</v>
      </c>
      <c r="AT20" s="141" t="str">
        <f t="shared" si="9"/>
        <v/>
      </c>
      <c r="AU20" s="143">
        <f t="shared" si="10"/>
        <v>0</v>
      </c>
      <c r="AV20" s="144" t="str">
        <f t="shared" si="11"/>
        <v/>
      </c>
      <c r="AW20" s="143" t="b">
        <f t="shared" si="12"/>
        <v>0</v>
      </c>
      <c r="AX20" s="145" t="b">
        <f t="shared" si="13"/>
        <v>0</v>
      </c>
      <c r="AY20" s="143" t="b">
        <f t="shared" si="14"/>
        <v>0</v>
      </c>
      <c r="AZ20" s="145" t="b">
        <f t="shared" si="15"/>
        <v>0</v>
      </c>
      <c r="BA20" s="453" t="b">
        <f t="shared" si="16"/>
        <v>0</v>
      </c>
      <c r="BB20" s="453" t="b">
        <f t="shared" si="17"/>
        <v>0</v>
      </c>
      <c r="BC20" s="143" t="b">
        <f t="shared" si="18"/>
        <v>0</v>
      </c>
      <c r="BD20" s="146" t="b">
        <f t="shared" si="31"/>
        <v>0</v>
      </c>
      <c r="BE20" s="145" t="b">
        <f t="shared" si="19"/>
        <v>0</v>
      </c>
      <c r="BF20" s="147" t="b">
        <f t="shared" si="20"/>
        <v>0</v>
      </c>
      <c r="BG20" s="453" t="b">
        <f t="shared" si="21"/>
        <v>0</v>
      </c>
      <c r="BH20" s="453">
        <f t="shared" si="32"/>
        <v>1</v>
      </c>
      <c r="BI20" s="453" t="str">
        <f t="shared" si="22"/>
        <v>NG</v>
      </c>
      <c r="BJ20" s="453" t="str">
        <f t="shared" si="23"/>
        <v>NG</v>
      </c>
      <c r="BK20" s="453" t="str">
        <f t="shared" si="24"/>
        <v/>
      </c>
      <c r="BL20" s="148">
        <f t="shared" si="33"/>
        <v>1</v>
      </c>
      <c r="BM20" s="453" t="str">
        <f t="shared" si="25"/>
        <v>D</v>
      </c>
      <c r="BN20" s="453" t="str">
        <f t="shared" si="26"/>
        <v>D</v>
      </c>
      <c r="BO20" s="300"/>
      <c r="BP20" s="300"/>
      <c r="BQ20" s="300">
        <v>0</v>
      </c>
      <c r="BR20" s="300">
        <v>1</v>
      </c>
      <c r="BS20" s="300">
        <v>2</v>
      </c>
      <c r="BT20" s="300">
        <v>3</v>
      </c>
      <c r="BU20" s="300">
        <v>4</v>
      </c>
    </row>
    <row r="21" spans="2:73" s="94" customFormat="1" ht="12.95" customHeight="1" x14ac:dyDescent="0.2">
      <c r="B21" s="151">
        <f>IF(ISNA(Z21),"",IF(OR(Z21=1,Z21=2),"    ",MAX($B$8:B20)+1))</f>
        <v>10</v>
      </c>
      <c r="C21" s="904" t="str">
        <f t="shared" si="0"/>
        <v xml:space="preserve">      - Nominal Pattern (15.0%)</v>
      </c>
      <c r="D21" s="904"/>
      <c r="E21" s="904"/>
      <c r="F21" s="905"/>
      <c r="G21" s="133">
        <f t="shared" si="1"/>
        <v>1</v>
      </c>
      <c r="H21" s="134" t="str">
        <f t="shared" si="2"/>
        <v>1</v>
      </c>
      <c r="I21" s="152">
        <f t="shared" si="2"/>
        <v>2</v>
      </c>
      <c r="J21" s="158">
        <v>1</v>
      </c>
      <c r="K21" s="159">
        <v>4</v>
      </c>
      <c r="L21" s="961"/>
      <c r="M21" s="962"/>
      <c r="N21" s="962"/>
      <c r="O21" s="962"/>
      <c r="P21" s="962"/>
      <c r="Q21" s="962"/>
      <c r="R21" s="963"/>
      <c r="T21" s="99">
        <v>14</v>
      </c>
      <c r="U21" s="88" t="s">
        <v>645</v>
      </c>
      <c r="V21" s="453">
        <v>1</v>
      </c>
      <c r="W21" s="453">
        <v>1.5</v>
      </c>
      <c r="X21" s="453" t="s">
        <v>340</v>
      </c>
      <c r="Y21" s="453" t="s">
        <v>340</v>
      </c>
      <c r="Z21" s="146" t="s">
        <v>340</v>
      </c>
      <c r="AA21" s="146">
        <v>2</v>
      </c>
      <c r="AB21" s="146">
        <v>1</v>
      </c>
      <c r="AC21" s="453">
        <v>2</v>
      </c>
      <c r="AD21" s="453">
        <v>1</v>
      </c>
      <c r="AE21" s="453">
        <v>0</v>
      </c>
      <c r="AF21" s="453" t="b">
        <v>1</v>
      </c>
      <c r="AG21" s="453">
        <f t="shared" si="3"/>
        <v>2</v>
      </c>
      <c r="AH21" s="453">
        <f t="shared" si="4"/>
        <v>1</v>
      </c>
      <c r="AI21" s="138">
        <f>IF(NOT(OR(Z21=1,Z21=2)),IF(AQ21&gt;0,$AR$44*AQ21/SUMIF($AQ$8:$AQ$39,"&gt;0"),IF(AU21&gt;0,$AV$44*AU21/SUMIF($AU$8:$AU$39,"&gt;0"),IF(AS21&gt;0,$AT$44*AS21/SUMIF($AS$8:$AS$39,"&gt;0"),""))),IF(SUMIF(AJ22:$AJ$39,"=" &amp; AJ21,AI22:$AI$39)=0,"",SUMIF(AJ22:$AJ$39,"=" &amp; AJ21,AI22:$AI$39)))</f>
        <v>0.15000000000000002</v>
      </c>
      <c r="AJ21" s="139">
        <f t="shared" si="34"/>
        <v>3</v>
      </c>
      <c r="AK21" s="453">
        <f t="shared" si="27"/>
        <v>1</v>
      </c>
      <c r="AL21" s="146">
        <f t="shared" si="28"/>
        <v>4</v>
      </c>
      <c r="AM21" s="146">
        <f t="shared" si="35"/>
        <v>1</v>
      </c>
      <c r="AN21" s="146" t="str">
        <f t="shared" si="5"/>
        <v/>
      </c>
      <c r="AO21" s="146" t="str">
        <f t="shared" si="6"/>
        <v/>
      </c>
      <c r="AP21" s="453" t="b">
        <f t="shared" si="7"/>
        <v>0</v>
      </c>
      <c r="AQ21" s="140">
        <f t="shared" si="29"/>
        <v>1.5</v>
      </c>
      <c r="AR21" s="141">
        <f t="shared" si="8"/>
        <v>1</v>
      </c>
      <c r="AS21" s="142">
        <f t="shared" si="30"/>
        <v>0</v>
      </c>
      <c r="AT21" s="141" t="str">
        <f t="shared" si="9"/>
        <v/>
      </c>
      <c r="AU21" s="143">
        <f t="shared" si="10"/>
        <v>0</v>
      </c>
      <c r="AV21" s="144">
        <f t="shared" si="11"/>
        <v>1</v>
      </c>
      <c r="AW21" s="143" t="b">
        <f t="shared" si="12"/>
        <v>0</v>
      </c>
      <c r="AX21" s="145" t="b">
        <f t="shared" si="13"/>
        <v>0</v>
      </c>
      <c r="AY21" s="143" t="b">
        <f t="shared" si="14"/>
        <v>0</v>
      </c>
      <c r="AZ21" s="145" t="b">
        <f t="shared" si="15"/>
        <v>0</v>
      </c>
      <c r="BA21" s="453" t="b">
        <f t="shared" si="16"/>
        <v>0</v>
      </c>
      <c r="BB21" s="453" t="b">
        <f t="shared" si="17"/>
        <v>0</v>
      </c>
      <c r="BC21" s="143" t="b">
        <f t="shared" si="18"/>
        <v>0</v>
      </c>
      <c r="BD21" s="146" t="b">
        <f t="shared" si="31"/>
        <v>0</v>
      </c>
      <c r="BE21" s="145" t="b">
        <f t="shared" si="19"/>
        <v>0</v>
      </c>
      <c r="BF21" s="147" t="b">
        <f t="shared" si="20"/>
        <v>0</v>
      </c>
      <c r="BG21" s="453" t="b">
        <f t="shared" si="21"/>
        <v>0</v>
      </c>
      <c r="BH21" s="453">
        <f t="shared" si="32"/>
        <v>1</v>
      </c>
      <c r="BI21" s="453">
        <f t="shared" si="22"/>
        <v>1</v>
      </c>
      <c r="BJ21" s="453" t="str">
        <f t="shared" si="23"/>
        <v>1</v>
      </c>
      <c r="BK21" s="453">
        <f t="shared" si="24"/>
        <v>2</v>
      </c>
      <c r="BL21" s="148">
        <f t="shared" si="33"/>
        <v>1</v>
      </c>
      <c r="BM21" s="453">
        <f t="shared" si="25"/>
        <v>1</v>
      </c>
      <c r="BN21" s="453">
        <f t="shared" si="26"/>
        <v>2</v>
      </c>
      <c r="BO21" s="936" t="s">
        <v>358</v>
      </c>
      <c r="BP21" s="300" t="s">
        <v>359</v>
      </c>
      <c r="BQ21" s="162">
        <f t="shared" ref="BQ21:BU29" si="36">AR50</f>
        <v>0.7</v>
      </c>
      <c r="BR21" s="163">
        <f t="shared" si="36"/>
        <v>0.9</v>
      </c>
      <c r="BS21" s="163">
        <f t="shared" si="36"/>
        <v>0.93330000000000002</v>
      </c>
      <c r="BT21" s="163">
        <f t="shared" si="36"/>
        <v>0.9667</v>
      </c>
      <c r="BU21" s="164">
        <f t="shared" si="36"/>
        <v>1</v>
      </c>
    </row>
    <row r="22" spans="2:73" s="94" customFormat="1" ht="12.95" customHeight="1" x14ac:dyDescent="0.2">
      <c r="B22" s="151">
        <f>IF(ISNA(Z22),"",IF(OR(Z22=1,Z22=2),"    ",MAX($B$8:B21)+1))</f>
        <v>11</v>
      </c>
      <c r="C22" s="904" t="str">
        <f t="shared" si="0"/>
        <v xml:space="preserve">      - Off-Nominal Entry (5.0%) Bonus</v>
      </c>
      <c r="D22" s="904"/>
      <c r="E22" s="904"/>
      <c r="F22" s="905"/>
      <c r="G22" s="133">
        <f t="shared" si="1"/>
        <v>0</v>
      </c>
      <c r="H22" s="134" t="str">
        <f t="shared" si="2"/>
        <v>1</v>
      </c>
      <c r="I22" s="152">
        <f t="shared" si="2"/>
        <v>2</v>
      </c>
      <c r="J22" s="158">
        <v>1</v>
      </c>
      <c r="K22" s="159">
        <v>4</v>
      </c>
      <c r="L22" s="961"/>
      <c r="M22" s="962"/>
      <c r="N22" s="962"/>
      <c r="O22" s="962"/>
      <c r="P22" s="962"/>
      <c r="Q22" s="962"/>
      <c r="R22" s="963"/>
      <c r="T22" s="99">
        <v>15</v>
      </c>
      <c r="U22" s="88" t="s">
        <v>646</v>
      </c>
      <c r="V22" s="453">
        <v>0</v>
      </c>
      <c r="W22" s="453" t="s">
        <v>340</v>
      </c>
      <c r="X22" s="453" t="s">
        <v>340</v>
      </c>
      <c r="Y22" s="453">
        <v>1</v>
      </c>
      <c r="Z22" s="146" t="s">
        <v>340</v>
      </c>
      <c r="AA22" s="146">
        <v>2</v>
      </c>
      <c r="AB22" s="146">
        <v>1</v>
      </c>
      <c r="AC22" s="453">
        <v>2</v>
      </c>
      <c r="AD22" s="453">
        <v>1</v>
      </c>
      <c r="AE22" s="453">
        <v>0</v>
      </c>
      <c r="AF22" s="453" t="b">
        <v>1</v>
      </c>
      <c r="AG22" s="453">
        <f t="shared" si="3"/>
        <v>2</v>
      </c>
      <c r="AH22" s="453">
        <f t="shared" si="4"/>
        <v>1</v>
      </c>
      <c r="AI22" s="138">
        <f>IF(NOT(OR(Z22=1,Z22=2)),IF(AQ22&gt;0,$AR$44*AQ22/SUMIF($AQ$8:$AQ$39,"&gt;0"),IF(AU22&gt;0,$AV$44*AU22/SUMIF($AU$8:$AU$39,"&gt;0"),IF(AS22&gt;0,$AT$44*AS22/SUMIF($AS$8:$AS$39,"&gt;0"),""))),IF(SUMIF(AJ23:$AJ$39,"=" &amp; AJ22,AI23:$AI$39)=0,"",SUMIF(AJ23:$AJ$39,"=" &amp; AJ22,AI23:$AI$39)))</f>
        <v>0.05</v>
      </c>
      <c r="AJ22" s="139">
        <f t="shared" si="34"/>
        <v>3</v>
      </c>
      <c r="AK22" s="453">
        <f t="shared" si="27"/>
        <v>1</v>
      </c>
      <c r="AL22" s="146">
        <f t="shared" si="28"/>
        <v>4</v>
      </c>
      <c r="AM22" s="146">
        <f t="shared" si="35"/>
        <v>1</v>
      </c>
      <c r="AN22" s="146" t="str">
        <f t="shared" si="5"/>
        <v/>
      </c>
      <c r="AO22" s="146" t="str">
        <f t="shared" si="6"/>
        <v/>
      </c>
      <c r="AP22" s="453" t="str">
        <f t="shared" si="7"/>
        <v/>
      </c>
      <c r="AQ22" s="140">
        <f t="shared" si="29"/>
        <v>0</v>
      </c>
      <c r="AR22" s="141">
        <f t="shared" si="8"/>
        <v>1</v>
      </c>
      <c r="AS22" s="142">
        <f t="shared" si="30"/>
        <v>0</v>
      </c>
      <c r="AT22" s="141" t="str">
        <f t="shared" si="9"/>
        <v/>
      </c>
      <c r="AU22" s="143">
        <f t="shared" si="10"/>
        <v>1</v>
      </c>
      <c r="AV22" s="144">
        <f t="shared" si="11"/>
        <v>1</v>
      </c>
      <c r="AW22" s="143" t="b">
        <f t="shared" si="12"/>
        <v>0</v>
      </c>
      <c r="AX22" s="145" t="b">
        <f t="shared" si="13"/>
        <v>0</v>
      </c>
      <c r="AY22" s="143" t="b">
        <f t="shared" si="14"/>
        <v>0</v>
      </c>
      <c r="AZ22" s="145" t="b">
        <f t="shared" si="15"/>
        <v>0</v>
      </c>
      <c r="BA22" s="453" t="b">
        <f t="shared" si="16"/>
        <v>0</v>
      </c>
      <c r="BB22" s="453" t="b">
        <f t="shared" si="17"/>
        <v>0</v>
      </c>
      <c r="BC22" s="143" t="b">
        <f t="shared" si="18"/>
        <v>0</v>
      </c>
      <c r="BD22" s="146" t="b">
        <f t="shared" si="31"/>
        <v>0</v>
      </c>
      <c r="BE22" s="145" t="b">
        <f>IF(OR(ISNA($Z22),K22&lt;&gt;"D"),FALSE,IF(OR(AND(H22="NG",J22=0),AND(H22&lt;&gt;"NG",NOT(OR(J22="NA",J22=0)))),TRUE,FALSE))</f>
        <v>0</v>
      </c>
      <c r="BF22" s="147" t="b">
        <f t="shared" si="20"/>
        <v>0</v>
      </c>
      <c r="BG22" s="453" t="b">
        <f>IF(ISNA($Z22),"NA",IF(OR(AZ22,AY22,AX22,AW22,AP22,BA22,BB22),TRUE,FALSE))</f>
        <v>0</v>
      </c>
      <c r="BH22" s="453">
        <f t="shared" si="32"/>
        <v>0</v>
      </c>
      <c r="BI22" s="453">
        <f t="shared" si="22"/>
        <v>1</v>
      </c>
      <c r="BJ22" s="453" t="str">
        <f t="shared" si="23"/>
        <v>1</v>
      </c>
      <c r="BK22" s="453">
        <f t="shared" si="24"/>
        <v>2</v>
      </c>
      <c r="BL22" s="148" t="str">
        <f t="shared" si="33"/>
        <v/>
      </c>
      <c r="BM22" s="453" t="str">
        <f t="shared" si="25"/>
        <v/>
      </c>
      <c r="BN22" s="453" t="str">
        <f t="shared" si="26"/>
        <v/>
      </c>
      <c r="BO22" s="936"/>
      <c r="BP22" s="300" t="s">
        <v>360</v>
      </c>
      <c r="BQ22" s="165">
        <f t="shared" si="36"/>
        <v>0.7</v>
      </c>
      <c r="BR22" s="166">
        <f t="shared" si="36"/>
        <v>0.8</v>
      </c>
      <c r="BS22" s="166">
        <f t="shared" si="36"/>
        <v>0.9</v>
      </c>
      <c r="BT22" s="166">
        <f t="shared" si="36"/>
        <v>0.95</v>
      </c>
      <c r="BU22" s="167">
        <f t="shared" si="36"/>
        <v>1</v>
      </c>
    </row>
    <row r="23" spans="2:73" s="94" customFormat="1" ht="12.95" customHeight="1" x14ac:dyDescent="0.2">
      <c r="B23" s="151">
        <f>IF(ISNA(Z23),"",IF(OR(Z23=1,Z23=2),"    ",MAX($B$8:B22)+1))</f>
        <v>12</v>
      </c>
      <c r="C23" s="904" t="str">
        <f t="shared" si="0"/>
        <v xml:space="preserve">      - Flare (prior to touchdown) (10.0%)</v>
      </c>
      <c r="D23" s="904"/>
      <c r="E23" s="904"/>
      <c r="F23" s="905"/>
      <c r="G23" s="133">
        <f t="shared" si="1"/>
        <v>1</v>
      </c>
      <c r="H23" s="134" t="str">
        <f t="shared" si="2"/>
        <v>1</v>
      </c>
      <c r="I23" s="152">
        <f t="shared" si="2"/>
        <v>3</v>
      </c>
      <c r="J23" s="158">
        <v>2</v>
      </c>
      <c r="K23" s="159">
        <v>3</v>
      </c>
      <c r="L23" s="961"/>
      <c r="M23" s="962"/>
      <c r="N23" s="962"/>
      <c r="O23" s="962"/>
      <c r="P23" s="962"/>
      <c r="Q23" s="962"/>
      <c r="R23" s="963"/>
      <c r="T23" s="99">
        <v>16</v>
      </c>
      <c r="U23" s="88" t="s">
        <v>723</v>
      </c>
      <c r="V23" s="453">
        <v>1</v>
      </c>
      <c r="W23" s="453">
        <v>1</v>
      </c>
      <c r="X23" s="453" t="s">
        <v>340</v>
      </c>
      <c r="Y23" s="453" t="s">
        <v>340</v>
      </c>
      <c r="Z23" s="146" t="s">
        <v>340</v>
      </c>
      <c r="AA23" s="146">
        <v>2</v>
      </c>
      <c r="AB23" s="146">
        <v>1</v>
      </c>
      <c r="AC23" s="453">
        <v>3</v>
      </c>
      <c r="AD23" s="453">
        <v>1</v>
      </c>
      <c r="AE23" s="453">
        <v>0</v>
      </c>
      <c r="AF23" s="453" t="b">
        <v>1</v>
      </c>
      <c r="AG23" s="453">
        <f t="shared" si="3"/>
        <v>3</v>
      </c>
      <c r="AH23" s="453">
        <f t="shared" si="4"/>
        <v>2</v>
      </c>
      <c r="AI23" s="138">
        <f>IF(NOT(OR(Z23=1,Z23=2)),IF(AQ23&gt;0,$AR$44*AQ23/SUMIF($AQ$8:$AQ$39,"&gt;0"),IF(AU23&gt;0,$AV$44*AU23/SUMIF($AU$8:$AU$39,"&gt;0"),IF(AS23&gt;0,$AT$44*AS23/SUMIF($AS$8:$AS$39,"&gt;0"),""))),IF(SUMIF(AJ24:$AJ$39,"=" &amp; AJ23,AI24:$AI$39)=0,"",SUMIF(AJ24:$AJ$39,"=" &amp; AJ23,AI24:$AI$39)))</f>
        <v>0.1</v>
      </c>
      <c r="AJ23" s="139">
        <f t="shared" si="34"/>
        <v>3</v>
      </c>
      <c r="AK23" s="453">
        <f t="shared" si="27"/>
        <v>1</v>
      </c>
      <c r="AL23" s="146">
        <f t="shared" si="28"/>
        <v>3</v>
      </c>
      <c r="AM23" s="146">
        <f t="shared" si="35"/>
        <v>1</v>
      </c>
      <c r="AN23" s="146" t="str">
        <f t="shared" si="5"/>
        <v/>
      </c>
      <c r="AO23" s="146" t="str">
        <f t="shared" si="6"/>
        <v/>
      </c>
      <c r="AP23" s="453" t="b">
        <f t="shared" si="7"/>
        <v>0</v>
      </c>
      <c r="AQ23" s="140">
        <f t="shared" si="29"/>
        <v>1</v>
      </c>
      <c r="AR23" s="141">
        <f t="shared" si="8"/>
        <v>0.9</v>
      </c>
      <c r="AS23" s="142">
        <f t="shared" si="30"/>
        <v>0</v>
      </c>
      <c r="AT23" s="141" t="str">
        <f t="shared" si="9"/>
        <v/>
      </c>
      <c r="AU23" s="143">
        <f t="shared" si="10"/>
        <v>0</v>
      </c>
      <c r="AV23" s="144">
        <f t="shared" si="11"/>
        <v>0.9</v>
      </c>
      <c r="AW23" s="143" t="b">
        <f t="shared" si="12"/>
        <v>0</v>
      </c>
      <c r="AX23" s="145" t="b">
        <f t="shared" si="13"/>
        <v>0</v>
      </c>
      <c r="AY23" s="143" t="b">
        <f t="shared" si="14"/>
        <v>0</v>
      </c>
      <c r="AZ23" s="145" t="b">
        <f t="shared" si="15"/>
        <v>0</v>
      </c>
      <c r="BA23" s="453" t="b">
        <f t="shared" si="16"/>
        <v>0</v>
      </c>
      <c r="BB23" s="453" t="b">
        <f t="shared" si="17"/>
        <v>0</v>
      </c>
      <c r="BC23" s="143" t="b">
        <f t="shared" si="18"/>
        <v>0</v>
      </c>
      <c r="BD23" s="146" t="b">
        <f t="shared" si="31"/>
        <v>0</v>
      </c>
      <c r="BE23" s="145" t="b">
        <f t="shared" ref="BE23:BE39" si="37">IF(OR(ISNA($Z23),K23&lt;&gt;"D"),FALSE,IF(OR(AND(H23="NG",J23=0),AND(H23&lt;&gt;"NG",NOT(OR(J23="NA",J23=0)))),TRUE,FALSE))</f>
        <v>0</v>
      </c>
      <c r="BF23" s="147" t="b">
        <f t="shared" si="20"/>
        <v>0</v>
      </c>
      <c r="BG23" s="453" t="b">
        <f t="shared" ref="BG23:BG39" si="38">IF(ISNA($Z23),"NA",IF(OR(AZ23,AY23,AX23,AW23,AP23,BA23,BB23),TRUE,FALSE))</f>
        <v>0</v>
      </c>
      <c r="BH23" s="453">
        <f t="shared" si="32"/>
        <v>1</v>
      </c>
      <c r="BI23" s="453">
        <f t="shared" si="22"/>
        <v>1</v>
      </c>
      <c r="BJ23" s="453" t="str">
        <f t="shared" si="23"/>
        <v>1</v>
      </c>
      <c r="BK23" s="453">
        <f t="shared" si="24"/>
        <v>3</v>
      </c>
      <c r="BL23" s="148">
        <f t="shared" si="33"/>
        <v>1</v>
      </c>
      <c r="BM23" s="453">
        <f t="shared" si="25"/>
        <v>1</v>
      </c>
      <c r="BN23" s="453">
        <f t="shared" si="26"/>
        <v>3</v>
      </c>
      <c r="BO23" s="936"/>
      <c r="BP23" s="300" t="s">
        <v>361</v>
      </c>
      <c r="BQ23" s="165">
        <f t="shared" si="36"/>
        <v>0.7</v>
      </c>
      <c r="BR23" s="166">
        <f t="shared" si="36"/>
        <v>0.76670000000000005</v>
      </c>
      <c r="BS23" s="166">
        <f t="shared" si="36"/>
        <v>0.83330000000000004</v>
      </c>
      <c r="BT23" s="166">
        <f t="shared" si="36"/>
        <v>0.9</v>
      </c>
      <c r="BU23" s="167">
        <f t="shared" si="36"/>
        <v>1</v>
      </c>
    </row>
    <row r="24" spans="2:73" s="94" customFormat="1" ht="12.95" customHeight="1" x14ac:dyDescent="0.2">
      <c r="B24" s="151" t="str">
        <f>IF(ISNA(Z24),"",IF(OR(Z24=1,Z24=2),"    ",MAX($B$8:B23)+1))</f>
        <v xml:space="preserve">    </v>
      </c>
      <c r="C24" s="904" t="str">
        <f t="shared" si="0"/>
        <v>Shuttle Approaches (25.0%)</v>
      </c>
      <c r="D24" s="904"/>
      <c r="E24" s="904"/>
      <c r="F24" s="905"/>
      <c r="G24" s="133" t="str">
        <f t="shared" si="1"/>
        <v/>
      </c>
      <c r="H24" s="134" t="str">
        <f t="shared" si="2"/>
        <v/>
      </c>
      <c r="I24" s="152" t="str">
        <f t="shared" si="2"/>
        <v/>
      </c>
      <c r="J24" s="158" t="s">
        <v>340</v>
      </c>
      <c r="K24" s="159" t="s">
        <v>340</v>
      </c>
      <c r="L24" s="961"/>
      <c r="M24" s="962"/>
      <c r="N24" s="962"/>
      <c r="O24" s="962"/>
      <c r="P24" s="962"/>
      <c r="Q24" s="962"/>
      <c r="R24" s="963"/>
      <c r="T24" s="99">
        <v>17</v>
      </c>
      <c r="U24" s="88" t="s">
        <v>647</v>
      </c>
      <c r="V24" s="453" t="s">
        <v>340</v>
      </c>
      <c r="W24" s="453" t="s">
        <v>340</v>
      </c>
      <c r="X24" s="453" t="s">
        <v>340</v>
      </c>
      <c r="Y24" s="453" t="s">
        <v>340</v>
      </c>
      <c r="Z24" s="146">
        <v>2</v>
      </c>
      <c r="AA24" s="146">
        <v>1</v>
      </c>
      <c r="AB24" s="146">
        <v>1</v>
      </c>
      <c r="AC24" s="453" t="s">
        <v>340</v>
      </c>
      <c r="AD24" s="453" t="s">
        <v>340</v>
      </c>
      <c r="AE24" s="453" t="s">
        <v>340</v>
      </c>
      <c r="AF24" s="453" t="s">
        <v>340</v>
      </c>
      <c r="AG24" s="453" t="str">
        <f t="shared" si="3"/>
        <v/>
      </c>
      <c r="AH24" s="453" t="str">
        <f t="shared" si="4"/>
        <v/>
      </c>
      <c r="AI24" s="138">
        <f>IF(NOT(OR(Z24=1,Z24=2)),IF(AQ24&gt;0,$AR$44*AQ24/SUMIF($AQ$8:$AQ$39,"&gt;0"),IF(AU24&gt;0,$AV$44*AU24/SUMIF($AU$8:$AU$39,"&gt;0"),IF(AS24&gt;0,$AT$44*AS24/SUMIF($AS$8:$AS$39,"&gt;0"),""))),IF(SUMIF(AJ25:$AJ$39,"=" &amp; AJ24,AI25:$AI$39)=0,"",SUMIF(AJ25:$AJ$39,"=" &amp; AJ24,AI25:$AI$39)))</f>
        <v>0.25</v>
      </c>
      <c r="AJ24" s="139">
        <f t="shared" si="34"/>
        <v>4</v>
      </c>
      <c r="AK24" s="453" t="str">
        <f t="shared" si="27"/>
        <v/>
      </c>
      <c r="AL24" s="146" t="str">
        <f t="shared" si="28"/>
        <v/>
      </c>
      <c r="AM24" s="146" t="str">
        <f t="shared" si="35"/>
        <v/>
      </c>
      <c r="AN24" s="146" t="str">
        <f t="shared" si="5"/>
        <v/>
      </c>
      <c r="AO24" s="146" t="str">
        <f t="shared" si="6"/>
        <v/>
      </c>
      <c r="AP24" s="453" t="str">
        <f t="shared" si="7"/>
        <v/>
      </c>
      <c r="AQ24" s="140">
        <f t="shared" si="29"/>
        <v>0</v>
      </c>
      <c r="AR24" s="141" t="str">
        <f t="shared" si="8"/>
        <v/>
      </c>
      <c r="AS24" s="142">
        <f t="shared" si="30"/>
        <v>0</v>
      </c>
      <c r="AT24" s="141" t="str">
        <f t="shared" si="9"/>
        <v/>
      </c>
      <c r="AU24" s="143">
        <f t="shared" si="10"/>
        <v>0</v>
      </c>
      <c r="AV24" s="144" t="str">
        <f t="shared" si="11"/>
        <v/>
      </c>
      <c r="AW24" s="143" t="b">
        <f t="shared" si="12"/>
        <v>0</v>
      </c>
      <c r="AX24" s="145" t="b">
        <f t="shared" si="13"/>
        <v>0</v>
      </c>
      <c r="AY24" s="143" t="b">
        <f t="shared" si="14"/>
        <v>0</v>
      </c>
      <c r="AZ24" s="145" t="b">
        <f t="shared" si="15"/>
        <v>0</v>
      </c>
      <c r="BA24" s="453" t="b">
        <f t="shared" si="16"/>
        <v>0</v>
      </c>
      <c r="BB24" s="453" t="b">
        <f t="shared" si="17"/>
        <v>0</v>
      </c>
      <c r="BC24" s="143" t="b">
        <f t="shared" si="18"/>
        <v>0</v>
      </c>
      <c r="BD24" s="146" t="b">
        <f t="shared" si="31"/>
        <v>0</v>
      </c>
      <c r="BE24" s="145" t="b">
        <f t="shared" si="37"/>
        <v>0</v>
      </c>
      <c r="BF24" s="147" t="b">
        <f t="shared" si="20"/>
        <v>0</v>
      </c>
      <c r="BG24" s="453" t="b">
        <f t="shared" si="38"/>
        <v>0</v>
      </c>
      <c r="BH24" s="453" t="str">
        <f t="shared" si="32"/>
        <v/>
      </c>
      <c r="BI24" s="453" t="str">
        <f t="shared" si="22"/>
        <v/>
      </c>
      <c r="BJ24" s="453" t="str">
        <f t="shared" si="23"/>
        <v/>
      </c>
      <c r="BK24" s="453" t="str">
        <f t="shared" si="24"/>
        <v/>
      </c>
      <c r="BL24" s="148" t="str">
        <f t="shared" si="33"/>
        <v/>
      </c>
      <c r="BM24" s="453" t="str">
        <f t="shared" si="25"/>
        <v/>
      </c>
      <c r="BN24" s="453" t="str">
        <f t="shared" si="26"/>
        <v/>
      </c>
      <c r="BO24" s="936"/>
      <c r="BP24" s="300" t="s">
        <v>362</v>
      </c>
      <c r="BQ24" s="165">
        <f t="shared" si="36"/>
        <v>0.6</v>
      </c>
      <c r="BR24" s="166">
        <f t="shared" si="36"/>
        <v>0.9</v>
      </c>
      <c r="BS24" s="166">
        <f t="shared" si="36"/>
        <v>0.93330000000000002</v>
      </c>
      <c r="BT24" s="166">
        <f t="shared" si="36"/>
        <v>0.9667</v>
      </c>
      <c r="BU24" s="167">
        <f t="shared" si="36"/>
        <v>1</v>
      </c>
    </row>
    <row r="25" spans="2:73" s="94" customFormat="1" ht="12.95" customHeight="1" x14ac:dyDescent="0.2">
      <c r="B25" s="151">
        <f>IF(ISNA(Z25),"",IF(OR(Z25=1,Z25=2),"    ",MAX($B$8:B24)+1))</f>
        <v>13</v>
      </c>
      <c r="C25" s="904" t="str">
        <f t="shared" si="0"/>
        <v xml:space="preserve">      - Shuttle Approach Demo</v>
      </c>
      <c r="D25" s="904"/>
      <c r="E25" s="904"/>
      <c r="F25" s="905"/>
      <c r="G25" s="133">
        <f t="shared" si="1"/>
        <v>1</v>
      </c>
      <c r="H25" s="134" t="str">
        <f t="shared" si="2"/>
        <v>NG</v>
      </c>
      <c r="I25" s="152" t="str">
        <f t="shared" si="2"/>
        <v/>
      </c>
      <c r="J25" s="158">
        <v>1</v>
      </c>
      <c r="K25" s="159" t="s">
        <v>343</v>
      </c>
      <c r="L25" s="961"/>
      <c r="M25" s="962"/>
      <c r="N25" s="962"/>
      <c r="O25" s="962"/>
      <c r="P25" s="962"/>
      <c r="Q25" s="962"/>
      <c r="R25" s="963"/>
      <c r="T25" s="99">
        <v>18</v>
      </c>
      <c r="U25" s="88" t="s">
        <v>648</v>
      </c>
      <c r="V25" s="453">
        <v>1</v>
      </c>
      <c r="W25" s="453" t="s">
        <v>340</v>
      </c>
      <c r="X25" s="453" t="s">
        <v>340</v>
      </c>
      <c r="Y25" s="453" t="s">
        <v>340</v>
      </c>
      <c r="Z25" s="146" t="s">
        <v>340</v>
      </c>
      <c r="AA25" s="146">
        <v>2</v>
      </c>
      <c r="AB25" s="146">
        <v>1</v>
      </c>
      <c r="AC25" s="453" t="s">
        <v>340</v>
      </c>
      <c r="AD25" s="453" t="s">
        <v>357</v>
      </c>
      <c r="AE25" s="453" t="s">
        <v>340</v>
      </c>
      <c r="AF25" s="453" t="b">
        <v>1</v>
      </c>
      <c r="AG25" s="453" t="str">
        <f t="shared" si="3"/>
        <v/>
      </c>
      <c r="AH25" s="453" t="str">
        <f t="shared" si="4"/>
        <v/>
      </c>
      <c r="AI25" s="138" t="str">
        <f>IF(NOT(OR(Z25=1,Z25=2)),IF(AQ25&gt;0,$AR$44*AQ25/SUMIF($AQ$8:$AQ$39,"&gt;0"),IF(AU25&gt;0,$AV$44*AU25/SUMIF($AU$8:$AU$39,"&gt;0"),IF(AS25&gt;0,$AT$44*AS25/SUMIF($AS$8:$AS$39,"&gt;0"),""))),IF(SUMIF(AJ26:$AJ$39,"=" &amp; AJ25,AI26:$AI$39)=0,"",SUMIF(AJ26:$AJ$39,"=" &amp; AJ25,AI26:$AI$39)))</f>
        <v/>
      </c>
      <c r="AJ25" s="139">
        <f t="shared" si="34"/>
        <v>4</v>
      </c>
      <c r="AK25" s="453" t="str">
        <f t="shared" si="27"/>
        <v>NG</v>
      </c>
      <c r="AL25" s="146" t="str">
        <f t="shared" si="28"/>
        <v>D</v>
      </c>
      <c r="AM25" s="146" t="str">
        <f t="shared" si="35"/>
        <v/>
      </c>
      <c r="AN25" s="146" t="str">
        <f t="shared" si="5"/>
        <v/>
      </c>
      <c r="AO25" s="146" t="str">
        <f t="shared" si="6"/>
        <v/>
      </c>
      <c r="AP25" s="453" t="str">
        <f t="shared" si="7"/>
        <v/>
      </c>
      <c r="AQ25" s="140">
        <f t="shared" si="29"/>
        <v>0</v>
      </c>
      <c r="AR25" s="141" t="str">
        <f t="shared" si="8"/>
        <v/>
      </c>
      <c r="AS25" s="142">
        <f t="shared" si="30"/>
        <v>0</v>
      </c>
      <c r="AT25" s="141" t="str">
        <f t="shared" si="9"/>
        <v/>
      </c>
      <c r="AU25" s="143">
        <f t="shared" si="10"/>
        <v>0</v>
      </c>
      <c r="AV25" s="144" t="str">
        <f t="shared" si="11"/>
        <v/>
      </c>
      <c r="AW25" s="143" t="b">
        <f t="shared" si="12"/>
        <v>0</v>
      </c>
      <c r="AX25" s="145" t="b">
        <f t="shared" si="13"/>
        <v>0</v>
      </c>
      <c r="AY25" s="143" t="b">
        <f t="shared" si="14"/>
        <v>0</v>
      </c>
      <c r="AZ25" s="145" t="b">
        <f t="shared" si="15"/>
        <v>0</v>
      </c>
      <c r="BA25" s="453" t="b">
        <f t="shared" si="16"/>
        <v>0</v>
      </c>
      <c r="BB25" s="453" t="b">
        <f t="shared" si="17"/>
        <v>0</v>
      </c>
      <c r="BC25" s="143" t="b">
        <f t="shared" si="18"/>
        <v>0</v>
      </c>
      <c r="BD25" s="146" t="b">
        <f t="shared" si="31"/>
        <v>0</v>
      </c>
      <c r="BE25" s="145" t="b">
        <f t="shared" si="37"/>
        <v>0</v>
      </c>
      <c r="BF25" s="147" t="b">
        <f t="shared" si="20"/>
        <v>0</v>
      </c>
      <c r="BG25" s="453" t="b">
        <f t="shared" si="38"/>
        <v>0</v>
      </c>
      <c r="BH25" s="453">
        <f t="shared" si="32"/>
        <v>1</v>
      </c>
      <c r="BI25" s="453" t="str">
        <f t="shared" si="22"/>
        <v>NG</v>
      </c>
      <c r="BJ25" s="453" t="str">
        <f t="shared" si="23"/>
        <v>NG</v>
      </c>
      <c r="BK25" s="453" t="str">
        <f t="shared" si="24"/>
        <v/>
      </c>
      <c r="BL25" s="148">
        <f t="shared" si="33"/>
        <v>1</v>
      </c>
      <c r="BM25" s="453" t="str">
        <f t="shared" si="25"/>
        <v>D</v>
      </c>
      <c r="BN25" s="453" t="str">
        <f t="shared" si="26"/>
        <v>D</v>
      </c>
      <c r="BO25" s="936"/>
      <c r="BP25" s="300" t="s">
        <v>363</v>
      </c>
      <c r="BQ25" s="165">
        <f t="shared" si="36"/>
        <v>0.6</v>
      </c>
      <c r="BR25" s="166">
        <f t="shared" si="36"/>
        <v>0.7</v>
      </c>
      <c r="BS25" s="166">
        <f t="shared" si="36"/>
        <v>0.9</v>
      </c>
      <c r="BT25" s="166">
        <f t="shared" si="36"/>
        <v>0.95</v>
      </c>
      <c r="BU25" s="167">
        <f t="shared" si="36"/>
        <v>1</v>
      </c>
    </row>
    <row r="26" spans="2:73" s="94" customFormat="1" ht="12.95" customHeight="1" x14ac:dyDescent="0.2">
      <c r="B26" s="151">
        <f>IF(ISNA(Z26),"",IF(OR(Z26=1,Z26=2),"    ",MAX($B$8:B25)+1))</f>
        <v>14</v>
      </c>
      <c r="C26" s="904" t="str">
        <f t="shared" si="0"/>
        <v xml:space="preserve">      - Shuttle Approach (15.0%)</v>
      </c>
      <c r="D26" s="904"/>
      <c r="E26" s="904"/>
      <c r="F26" s="905"/>
      <c r="G26" s="133">
        <f t="shared" si="1"/>
        <v>1</v>
      </c>
      <c r="H26" s="134" t="str">
        <f t="shared" si="2"/>
        <v>1</v>
      </c>
      <c r="I26" s="152">
        <f t="shared" si="2"/>
        <v>2</v>
      </c>
      <c r="J26" s="158">
        <v>2</v>
      </c>
      <c r="K26" s="159">
        <v>3</v>
      </c>
      <c r="L26" s="961"/>
      <c r="M26" s="962"/>
      <c r="N26" s="962"/>
      <c r="O26" s="962"/>
      <c r="P26" s="962"/>
      <c r="Q26" s="962"/>
      <c r="R26" s="963"/>
      <c r="T26" s="99">
        <v>19</v>
      </c>
      <c r="U26" s="88" t="s">
        <v>649</v>
      </c>
      <c r="V26" s="453">
        <v>1</v>
      </c>
      <c r="W26" s="453">
        <v>1.5</v>
      </c>
      <c r="X26" s="453" t="s">
        <v>340</v>
      </c>
      <c r="Y26" s="453" t="s">
        <v>340</v>
      </c>
      <c r="Z26" s="146" t="s">
        <v>340</v>
      </c>
      <c r="AA26" s="146">
        <v>2</v>
      </c>
      <c r="AB26" s="146">
        <v>1</v>
      </c>
      <c r="AC26" s="453">
        <v>2</v>
      </c>
      <c r="AD26" s="453">
        <v>1</v>
      </c>
      <c r="AE26" s="453">
        <v>0</v>
      </c>
      <c r="AF26" s="453" t="b">
        <v>1</v>
      </c>
      <c r="AG26" s="453">
        <f t="shared" si="3"/>
        <v>2</v>
      </c>
      <c r="AH26" s="453">
        <f t="shared" si="4"/>
        <v>1</v>
      </c>
      <c r="AI26" s="138">
        <f>IF(NOT(OR(Z26=1,Z26=2)),IF(AQ26&gt;0,$AR$44*AQ26/SUMIF($AQ$8:$AQ$39,"&gt;0"),IF(AU26&gt;0,$AV$44*AU26/SUMIF($AU$8:$AU$39,"&gt;0"),IF(AS26&gt;0,$AT$44*AS26/SUMIF($AS$8:$AS$39,"&gt;0"),""))),IF(SUMIF(AJ27:$AJ$39,"=" &amp; AJ26,AI27:$AI$39)=0,"",SUMIF(AJ27:$AJ$39,"=" &amp; AJ26,AI27:$AI$39)))</f>
        <v>0.15000000000000002</v>
      </c>
      <c r="AJ26" s="139">
        <f t="shared" si="34"/>
        <v>4</v>
      </c>
      <c r="AK26" s="453">
        <f t="shared" si="27"/>
        <v>1</v>
      </c>
      <c r="AL26" s="146">
        <f t="shared" si="28"/>
        <v>3</v>
      </c>
      <c r="AM26" s="146">
        <f t="shared" si="35"/>
        <v>1</v>
      </c>
      <c r="AN26" s="146" t="str">
        <f t="shared" si="5"/>
        <v/>
      </c>
      <c r="AO26" s="146" t="str">
        <f t="shared" si="6"/>
        <v/>
      </c>
      <c r="AP26" s="453" t="b">
        <f t="shared" si="7"/>
        <v>0</v>
      </c>
      <c r="AQ26" s="140">
        <f t="shared" si="29"/>
        <v>1.5</v>
      </c>
      <c r="AR26" s="141">
        <f t="shared" si="8"/>
        <v>0.95</v>
      </c>
      <c r="AS26" s="142">
        <f t="shared" si="30"/>
        <v>0</v>
      </c>
      <c r="AT26" s="141" t="str">
        <f t="shared" si="9"/>
        <v/>
      </c>
      <c r="AU26" s="143">
        <f t="shared" si="10"/>
        <v>0</v>
      </c>
      <c r="AV26" s="144">
        <f t="shared" si="11"/>
        <v>0.95</v>
      </c>
      <c r="AW26" s="143" t="b">
        <f t="shared" si="12"/>
        <v>0</v>
      </c>
      <c r="AX26" s="145" t="b">
        <f t="shared" si="13"/>
        <v>0</v>
      </c>
      <c r="AY26" s="143" t="b">
        <f t="shared" si="14"/>
        <v>0</v>
      </c>
      <c r="AZ26" s="145" t="b">
        <f t="shared" si="15"/>
        <v>0</v>
      </c>
      <c r="BA26" s="453" t="b">
        <f t="shared" si="16"/>
        <v>0</v>
      </c>
      <c r="BB26" s="453" t="b">
        <f t="shared" si="17"/>
        <v>0</v>
      </c>
      <c r="BC26" s="143" t="b">
        <f t="shared" si="18"/>
        <v>0</v>
      </c>
      <c r="BD26" s="146" t="b">
        <f t="shared" si="31"/>
        <v>0</v>
      </c>
      <c r="BE26" s="145" t="b">
        <f t="shared" si="37"/>
        <v>0</v>
      </c>
      <c r="BF26" s="147" t="b">
        <f t="shared" si="20"/>
        <v>0</v>
      </c>
      <c r="BG26" s="453" t="b">
        <f t="shared" si="38"/>
        <v>0</v>
      </c>
      <c r="BH26" s="453">
        <f t="shared" si="32"/>
        <v>1</v>
      </c>
      <c r="BI26" s="453">
        <f t="shared" si="22"/>
        <v>1</v>
      </c>
      <c r="BJ26" s="453" t="str">
        <f t="shared" si="23"/>
        <v>1</v>
      </c>
      <c r="BK26" s="453">
        <f t="shared" si="24"/>
        <v>2</v>
      </c>
      <c r="BL26" s="148">
        <f t="shared" si="33"/>
        <v>1</v>
      </c>
      <c r="BM26" s="453">
        <f t="shared" si="25"/>
        <v>1</v>
      </c>
      <c r="BN26" s="453">
        <f t="shared" si="26"/>
        <v>2</v>
      </c>
      <c r="BO26" s="936"/>
      <c r="BP26" s="300" t="s">
        <v>364</v>
      </c>
      <c r="BQ26" s="165">
        <f t="shared" si="36"/>
        <v>0.6</v>
      </c>
      <c r="BR26" s="166">
        <f t="shared" si="36"/>
        <v>0.7</v>
      </c>
      <c r="BS26" s="166">
        <f t="shared" si="36"/>
        <v>0.8</v>
      </c>
      <c r="BT26" s="166">
        <f t="shared" si="36"/>
        <v>0.9</v>
      </c>
      <c r="BU26" s="167">
        <f t="shared" si="36"/>
        <v>1</v>
      </c>
    </row>
    <row r="27" spans="2:73" s="94" customFormat="1" ht="12.95" customHeight="1" x14ac:dyDescent="0.2">
      <c r="B27" s="151">
        <f>IF(ISNA(Z27),"",IF(OR(Z27=1,Z27=2),"    ",MAX($B$8:B26)+1))</f>
        <v>15</v>
      </c>
      <c r="C27" s="904" t="str">
        <f t="shared" si="0"/>
        <v xml:space="preserve">      - Flare (prior to touchdown) (10.0%)</v>
      </c>
      <c r="D27" s="904"/>
      <c r="E27" s="904"/>
      <c r="F27" s="905"/>
      <c r="G27" s="133">
        <f t="shared" si="1"/>
        <v>1</v>
      </c>
      <c r="H27" s="134" t="str">
        <f t="shared" si="2"/>
        <v>1</v>
      </c>
      <c r="I27" s="152">
        <f t="shared" si="2"/>
        <v>3</v>
      </c>
      <c r="J27" s="158">
        <v>2</v>
      </c>
      <c r="K27" s="159">
        <v>3</v>
      </c>
      <c r="L27" s="961"/>
      <c r="M27" s="962"/>
      <c r="N27" s="962"/>
      <c r="O27" s="962"/>
      <c r="P27" s="962"/>
      <c r="Q27" s="962"/>
      <c r="R27" s="963"/>
      <c r="T27" s="99">
        <v>20</v>
      </c>
      <c r="U27" s="88" t="s">
        <v>723</v>
      </c>
      <c r="V27" s="453">
        <v>1</v>
      </c>
      <c r="W27" s="453">
        <v>1</v>
      </c>
      <c r="X27" s="453" t="s">
        <v>340</v>
      </c>
      <c r="Y27" s="453" t="s">
        <v>340</v>
      </c>
      <c r="Z27" s="146" t="s">
        <v>340</v>
      </c>
      <c r="AA27" s="146">
        <v>2</v>
      </c>
      <c r="AB27" s="146">
        <v>1</v>
      </c>
      <c r="AC27" s="453">
        <v>3</v>
      </c>
      <c r="AD27" s="453">
        <v>1</v>
      </c>
      <c r="AE27" s="453">
        <v>0</v>
      </c>
      <c r="AF27" s="453" t="b">
        <v>1</v>
      </c>
      <c r="AG27" s="453">
        <f t="shared" si="3"/>
        <v>3</v>
      </c>
      <c r="AH27" s="453">
        <f t="shared" si="4"/>
        <v>2</v>
      </c>
      <c r="AI27" s="138">
        <f>IF(NOT(OR(Z27=1,Z27=2)),IF(AQ27&gt;0,$AR$44*AQ27/SUMIF($AQ$8:$AQ$39,"&gt;0"),IF(AU27&gt;0,$AV$44*AU27/SUMIF($AU$8:$AU$39,"&gt;0"),IF(AS27&gt;0,$AT$44*AS27/SUMIF($AS$8:$AS$39,"&gt;0"),""))),IF(SUMIF(AJ28:$AJ$39,"=" &amp; AJ27,AI28:$AI$39)=0,"",SUMIF(AJ28:$AJ$39,"=" &amp; AJ27,AI28:$AI$39)))</f>
        <v>0.1</v>
      </c>
      <c r="AJ27" s="139">
        <f t="shared" si="34"/>
        <v>4</v>
      </c>
      <c r="AK27" s="453">
        <f t="shared" si="27"/>
        <v>1</v>
      </c>
      <c r="AL27" s="146">
        <f t="shared" si="28"/>
        <v>3</v>
      </c>
      <c r="AM27" s="146">
        <f t="shared" si="35"/>
        <v>1</v>
      </c>
      <c r="AN27" s="146" t="str">
        <f t="shared" si="5"/>
        <v/>
      </c>
      <c r="AO27" s="146" t="str">
        <f t="shared" si="6"/>
        <v/>
      </c>
      <c r="AP27" s="453" t="b">
        <f t="shared" si="7"/>
        <v>0</v>
      </c>
      <c r="AQ27" s="140">
        <f t="shared" si="29"/>
        <v>1</v>
      </c>
      <c r="AR27" s="141">
        <f t="shared" si="8"/>
        <v>0.9</v>
      </c>
      <c r="AS27" s="142">
        <f t="shared" si="30"/>
        <v>0</v>
      </c>
      <c r="AT27" s="141" t="str">
        <f t="shared" si="9"/>
        <v/>
      </c>
      <c r="AU27" s="143">
        <f t="shared" si="10"/>
        <v>0</v>
      </c>
      <c r="AV27" s="144">
        <f t="shared" si="11"/>
        <v>0.9</v>
      </c>
      <c r="AW27" s="143" t="b">
        <f t="shared" si="12"/>
        <v>0</v>
      </c>
      <c r="AX27" s="145" t="b">
        <f t="shared" si="13"/>
        <v>0</v>
      </c>
      <c r="AY27" s="143" t="b">
        <f t="shared" si="14"/>
        <v>0</v>
      </c>
      <c r="AZ27" s="145" t="b">
        <f t="shared" si="15"/>
        <v>0</v>
      </c>
      <c r="BA27" s="453" t="b">
        <f t="shared" si="16"/>
        <v>0</v>
      </c>
      <c r="BB27" s="453" t="b">
        <f t="shared" si="17"/>
        <v>0</v>
      </c>
      <c r="BC27" s="143" t="b">
        <f t="shared" si="18"/>
        <v>0</v>
      </c>
      <c r="BD27" s="146" t="b">
        <f t="shared" si="31"/>
        <v>0</v>
      </c>
      <c r="BE27" s="145" t="b">
        <f t="shared" si="37"/>
        <v>0</v>
      </c>
      <c r="BF27" s="147" t="b">
        <f t="shared" si="20"/>
        <v>0</v>
      </c>
      <c r="BG27" s="453" t="b">
        <f t="shared" si="38"/>
        <v>0</v>
      </c>
      <c r="BH27" s="453">
        <f t="shared" si="32"/>
        <v>1</v>
      </c>
      <c r="BI27" s="453">
        <f t="shared" si="22"/>
        <v>1</v>
      </c>
      <c r="BJ27" s="453" t="str">
        <f t="shared" si="23"/>
        <v>1</v>
      </c>
      <c r="BK27" s="453">
        <f t="shared" si="24"/>
        <v>3</v>
      </c>
      <c r="BL27" s="148">
        <f t="shared" si="33"/>
        <v>1</v>
      </c>
      <c r="BM27" s="453">
        <f t="shared" si="25"/>
        <v>1</v>
      </c>
      <c r="BN27" s="453">
        <f t="shared" si="26"/>
        <v>3</v>
      </c>
      <c r="BO27" s="936"/>
      <c r="BP27" s="300" t="s">
        <v>365</v>
      </c>
      <c r="BQ27" s="165">
        <f t="shared" si="36"/>
        <v>0.3</v>
      </c>
      <c r="BR27" s="166">
        <f t="shared" si="36"/>
        <v>0.6</v>
      </c>
      <c r="BS27" s="166">
        <f t="shared" si="36"/>
        <v>0.9</v>
      </c>
      <c r="BT27" s="166">
        <f t="shared" si="36"/>
        <v>0.95</v>
      </c>
      <c r="BU27" s="167">
        <f t="shared" si="36"/>
        <v>1</v>
      </c>
    </row>
    <row r="28" spans="2:73" s="94" customFormat="1" ht="12.95" customHeight="1" x14ac:dyDescent="0.2">
      <c r="B28" s="151" t="str">
        <f>IF(ISNA(Z28),"",IF(OR(Z28=1,Z28=2),"    ",MAX($B$8:B27)+1))</f>
        <v/>
      </c>
      <c r="C28" s="904" t="str">
        <f t="shared" si="0"/>
        <v/>
      </c>
      <c r="D28" s="904"/>
      <c r="E28" s="904"/>
      <c r="F28" s="905"/>
      <c r="G28" s="133" t="str">
        <f t="shared" si="1"/>
        <v/>
      </c>
      <c r="H28" s="134" t="str">
        <f t="shared" si="2"/>
        <v/>
      </c>
      <c r="I28" s="152" t="str">
        <f t="shared" si="2"/>
        <v/>
      </c>
      <c r="J28" s="158" t="s">
        <v>340</v>
      </c>
      <c r="K28" s="159" t="s">
        <v>340</v>
      </c>
      <c r="L28" s="961"/>
      <c r="M28" s="962"/>
      <c r="N28" s="962"/>
      <c r="O28" s="962"/>
      <c r="P28" s="962"/>
      <c r="Q28" s="962"/>
      <c r="R28" s="963"/>
      <c r="T28" s="99">
        <v>21</v>
      </c>
      <c r="U28" s="88" t="e">
        <v>#N/A</v>
      </c>
      <c r="V28" s="453" t="e">
        <v>#N/A</v>
      </c>
      <c r="W28" s="453" t="e">
        <v>#N/A</v>
      </c>
      <c r="X28" s="453" t="e">
        <v>#N/A</v>
      </c>
      <c r="Y28" s="453" t="e">
        <v>#N/A</v>
      </c>
      <c r="Z28" s="146" t="e">
        <v>#N/A</v>
      </c>
      <c r="AA28" s="146" t="e">
        <v>#N/A</v>
      </c>
      <c r="AB28" s="146" t="e">
        <v>#N/A</v>
      </c>
      <c r="AC28" s="453" t="e">
        <v>#N/A</v>
      </c>
      <c r="AD28" s="453" t="e">
        <v>#N/A</v>
      </c>
      <c r="AE28" s="453" t="e">
        <v>#N/A</v>
      </c>
      <c r="AF28" s="453" t="e">
        <v>#N/A</v>
      </c>
      <c r="AG28" s="453" t="e">
        <f t="shared" si="3"/>
        <v>#N/A</v>
      </c>
      <c r="AH28" s="453" t="str">
        <f t="shared" si="4"/>
        <v/>
      </c>
      <c r="AI28" s="138" t="e">
        <f>IF(NOT(OR(Z28=1,Z28=2)),IF(AQ28&gt;0,$AR$44*AQ28/SUMIF($AQ$8:$AQ$39,"&gt;0"),IF(AU28&gt;0,$AV$44*AU28/SUMIF($AU$8:$AU$39,"&gt;0"),IF(AS28&gt;0,$AT$44*AS28/SUMIF($AS$8:$AS$39,"&gt;0"),""))),IF(SUMIF(AJ29:$AJ$39,"=" &amp; AJ28,AI29:$AI$39)=0,"",SUMIF(AJ29:$AJ$39,"=" &amp; AJ28,AI29:$AI$39)))</f>
        <v>#N/A</v>
      </c>
      <c r="AJ28" s="139" t="e">
        <f t="shared" si="34"/>
        <v>#N/A</v>
      </c>
      <c r="AK28" s="453" t="str">
        <f t="shared" si="27"/>
        <v/>
      </c>
      <c r="AL28" s="146" t="str">
        <f t="shared" si="28"/>
        <v/>
      </c>
      <c r="AM28" s="146" t="str">
        <f t="shared" si="35"/>
        <v/>
      </c>
      <c r="AN28" s="146" t="str">
        <f t="shared" si="5"/>
        <v/>
      </c>
      <c r="AO28" s="146" t="e">
        <f t="shared" si="6"/>
        <v>#N/A</v>
      </c>
      <c r="AP28" s="453" t="str">
        <f t="shared" si="7"/>
        <v/>
      </c>
      <c r="AQ28" s="140">
        <f t="shared" si="29"/>
        <v>0</v>
      </c>
      <c r="AR28" s="141" t="str">
        <f t="shared" si="8"/>
        <v/>
      </c>
      <c r="AS28" s="142">
        <f t="shared" si="30"/>
        <v>0</v>
      </c>
      <c r="AT28" s="141" t="str">
        <f t="shared" si="9"/>
        <v/>
      </c>
      <c r="AU28" s="143">
        <f t="shared" si="10"/>
        <v>0</v>
      </c>
      <c r="AV28" s="144" t="str">
        <f t="shared" si="11"/>
        <v/>
      </c>
      <c r="AW28" s="143" t="b">
        <f t="shared" si="12"/>
        <v>0</v>
      </c>
      <c r="AX28" s="145" t="b">
        <f t="shared" si="13"/>
        <v>0</v>
      </c>
      <c r="AY28" s="143" t="b">
        <f t="shared" si="14"/>
        <v>0</v>
      </c>
      <c r="AZ28" s="145" t="b">
        <f t="shared" si="15"/>
        <v>0</v>
      </c>
      <c r="BA28" s="453" t="b">
        <f t="shared" si="16"/>
        <v>0</v>
      </c>
      <c r="BB28" s="453" t="b">
        <f t="shared" si="17"/>
        <v>0</v>
      </c>
      <c r="BC28" s="143" t="b">
        <f t="shared" si="18"/>
        <v>0</v>
      </c>
      <c r="BD28" s="146" t="b">
        <f t="shared" si="31"/>
        <v>0</v>
      </c>
      <c r="BE28" s="145" t="b">
        <f t="shared" si="37"/>
        <v>0</v>
      </c>
      <c r="BF28" s="147" t="b">
        <f t="shared" si="20"/>
        <v>0</v>
      </c>
      <c r="BG28" s="453" t="str">
        <f t="shared" si="38"/>
        <v>NA</v>
      </c>
      <c r="BH28" s="453" t="str">
        <f t="shared" si="32"/>
        <v/>
      </c>
      <c r="BI28" s="453" t="str">
        <f t="shared" si="22"/>
        <v/>
      </c>
      <c r="BJ28" s="453" t="str">
        <f t="shared" si="23"/>
        <v/>
      </c>
      <c r="BK28" s="453" t="str">
        <f t="shared" si="24"/>
        <v/>
      </c>
      <c r="BL28" s="148" t="str">
        <f t="shared" si="33"/>
        <v/>
      </c>
      <c r="BM28" s="453" t="str">
        <f t="shared" si="25"/>
        <v/>
      </c>
      <c r="BN28" s="453" t="str">
        <f t="shared" si="26"/>
        <v/>
      </c>
      <c r="BO28" s="936"/>
      <c r="BP28" s="300" t="s">
        <v>366</v>
      </c>
      <c r="BQ28" s="165">
        <f t="shared" si="36"/>
        <v>0.3</v>
      </c>
      <c r="BR28" s="166">
        <f t="shared" si="36"/>
        <v>0.6</v>
      </c>
      <c r="BS28" s="166">
        <f t="shared" si="36"/>
        <v>0.7</v>
      </c>
      <c r="BT28" s="166">
        <f t="shared" si="36"/>
        <v>0.9</v>
      </c>
      <c r="BU28" s="167">
        <f t="shared" si="36"/>
        <v>1</v>
      </c>
    </row>
    <row r="29" spans="2:73" s="94" customFormat="1" ht="12.95" customHeight="1" x14ac:dyDescent="0.2">
      <c r="B29" s="151" t="str">
        <f>IF(ISNA(Z29),"",IF(OR(Z29=1,Z29=2),"    ",MAX($B$8:B28)+1))</f>
        <v/>
      </c>
      <c r="C29" s="904" t="str">
        <f t="shared" si="0"/>
        <v/>
      </c>
      <c r="D29" s="904"/>
      <c r="E29" s="904"/>
      <c r="F29" s="905"/>
      <c r="G29" s="133" t="str">
        <f t="shared" si="1"/>
        <v/>
      </c>
      <c r="H29" s="134" t="str">
        <f t="shared" si="2"/>
        <v/>
      </c>
      <c r="I29" s="152" t="str">
        <f t="shared" si="2"/>
        <v/>
      </c>
      <c r="J29" s="158" t="s">
        <v>340</v>
      </c>
      <c r="K29" s="159" t="s">
        <v>340</v>
      </c>
      <c r="L29" s="961"/>
      <c r="M29" s="962"/>
      <c r="N29" s="962"/>
      <c r="O29" s="962"/>
      <c r="P29" s="962"/>
      <c r="Q29" s="962"/>
      <c r="R29" s="963"/>
      <c r="T29" s="99">
        <v>22</v>
      </c>
      <c r="U29" s="88" t="e">
        <v>#N/A</v>
      </c>
      <c r="V29" s="453" t="e">
        <v>#N/A</v>
      </c>
      <c r="W29" s="453" t="e">
        <v>#N/A</v>
      </c>
      <c r="X29" s="453" t="e">
        <v>#N/A</v>
      </c>
      <c r="Y29" s="453" t="e">
        <v>#N/A</v>
      </c>
      <c r="Z29" s="146" t="e">
        <v>#N/A</v>
      </c>
      <c r="AA29" s="146" t="e">
        <v>#N/A</v>
      </c>
      <c r="AB29" s="146" t="e">
        <v>#N/A</v>
      </c>
      <c r="AC29" s="453" t="e">
        <v>#N/A</v>
      </c>
      <c r="AD29" s="453" t="e">
        <v>#N/A</v>
      </c>
      <c r="AE29" s="453" t="e">
        <v>#N/A</v>
      </c>
      <c r="AF29" s="453" t="e">
        <v>#N/A</v>
      </c>
      <c r="AG29" s="453" t="e">
        <f t="shared" si="3"/>
        <v>#N/A</v>
      </c>
      <c r="AH29" s="453" t="str">
        <f t="shared" si="4"/>
        <v/>
      </c>
      <c r="AI29" s="138" t="e">
        <f>IF(NOT(OR(Z29=1,Z29=2)),IF(AQ29&gt;0,$AR$44*AQ29/SUMIF($AQ$8:$AQ$39,"&gt;0"),IF(AU29&gt;0,$AV$44*AU29/SUMIF($AU$8:$AU$39,"&gt;0"),IF(AS29&gt;0,$AT$44*AS29/SUMIF($AS$8:$AS$39,"&gt;0"),""))),IF(SUMIF(AJ30:$AJ$39,"=" &amp; AJ29,AI30:$AI$39)=0,"",SUMIF(AJ30:$AJ$39,"=" &amp; AJ29,AI30:$AI$39)))</f>
        <v>#N/A</v>
      </c>
      <c r="AJ29" s="139" t="e">
        <f t="shared" si="34"/>
        <v>#N/A</v>
      </c>
      <c r="AK29" s="453" t="str">
        <f t="shared" si="27"/>
        <v/>
      </c>
      <c r="AL29" s="146" t="str">
        <f t="shared" si="28"/>
        <v/>
      </c>
      <c r="AM29" s="146" t="str">
        <f t="shared" si="35"/>
        <v/>
      </c>
      <c r="AN29" s="146" t="str">
        <f t="shared" si="5"/>
        <v/>
      </c>
      <c r="AO29" s="146" t="e">
        <f t="shared" si="6"/>
        <v>#N/A</v>
      </c>
      <c r="AP29" s="453" t="str">
        <f t="shared" si="7"/>
        <v/>
      </c>
      <c r="AQ29" s="140">
        <f t="shared" si="29"/>
        <v>0</v>
      </c>
      <c r="AR29" s="141" t="str">
        <f t="shared" si="8"/>
        <v/>
      </c>
      <c r="AS29" s="142">
        <f t="shared" si="30"/>
        <v>0</v>
      </c>
      <c r="AT29" s="141" t="str">
        <f t="shared" si="9"/>
        <v/>
      </c>
      <c r="AU29" s="143">
        <f t="shared" si="10"/>
        <v>0</v>
      </c>
      <c r="AV29" s="144" t="str">
        <f t="shared" si="11"/>
        <v/>
      </c>
      <c r="AW29" s="143" t="b">
        <f t="shared" si="12"/>
        <v>0</v>
      </c>
      <c r="AX29" s="145" t="b">
        <f t="shared" si="13"/>
        <v>0</v>
      </c>
      <c r="AY29" s="143" t="b">
        <f t="shared" si="14"/>
        <v>0</v>
      </c>
      <c r="AZ29" s="145" t="b">
        <f t="shared" si="15"/>
        <v>0</v>
      </c>
      <c r="BA29" s="453" t="b">
        <f t="shared" si="16"/>
        <v>0</v>
      </c>
      <c r="BB29" s="453" t="b">
        <f t="shared" si="17"/>
        <v>0</v>
      </c>
      <c r="BC29" s="143" t="b">
        <f t="shared" si="18"/>
        <v>0</v>
      </c>
      <c r="BD29" s="146" t="b">
        <f t="shared" si="31"/>
        <v>0</v>
      </c>
      <c r="BE29" s="145" t="b">
        <f t="shared" si="37"/>
        <v>0</v>
      </c>
      <c r="BF29" s="147" t="b">
        <f t="shared" si="20"/>
        <v>0</v>
      </c>
      <c r="BG29" s="453" t="str">
        <f t="shared" si="38"/>
        <v>NA</v>
      </c>
      <c r="BH29" s="453" t="str">
        <f t="shared" si="32"/>
        <v/>
      </c>
      <c r="BI29" s="453" t="str">
        <f t="shared" si="22"/>
        <v/>
      </c>
      <c r="BJ29" s="453" t="str">
        <f t="shared" si="23"/>
        <v/>
      </c>
      <c r="BK29" s="453" t="str">
        <f t="shared" si="24"/>
        <v/>
      </c>
      <c r="BL29" s="148" t="str">
        <f t="shared" si="33"/>
        <v/>
      </c>
      <c r="BM29" s="453" t="str">
        <f t="shared" si="25"/>
        <v/>
      </c>
      <c r="BN29" s="453" t="str">
        <f t="shared" si="26"/>
        <v/>
      </c>
      <c r="BO29" s="936"/>
      <c r="BP29" s="300" t="s">
        <v>367</v>
      </c>
      <c r="BQ29" s="168">
        <f t="shared" si="36"/>
        <v>0</v>
      </c>
      <c r="BR29" s="169">
        <f t="shared" si="36"/>
        <v>0.3</v>
      </c>
      <c r="BS29" s="169">
        <f t="shared" si="36"/>
        <v>0.6</v>
      </c>
      <c r="BT29" s="169">
        <f t="shared" si="36"/>
        <v>0.9</v>
      </c>
      <c r="BU29" s="170">
        <f t="shared" si="36"/>
        <v>1</v>
      </c>
    </row>
    <row r="30" spans="2:73" s="94" customFormat="1" ht="12.95" customHeight="1" x14ac:dyDescent="0.2">
      <c r="B30" s="151" t="str">
        <f>IF(ISNA(Z30),"",IF(OR(Z30=1,Z30=2),"    ",MAX($B$8:B29)+1))</f>
        <v/>
      </c>
      <c r="C30" s="904" t="str">
        <f t="shared" si="0"/>
        <v/>
      </c>
      <c r="D30" s="904"/>
      <c r="E30" s="904"/>
      <c r="F30" s="905"/>
      <c r="G30" s="133" t="str">
        <f t="shared" si="1"/>
        <v/>
      </c>
      <c r="H30" s="134" t="str">
        <f t="shared" si="2"/>
        <v/>
      </c>
      <c r="I30" s="152" t="str">
        <f t="shared" si="2"/>
        <v/>
      </c>
      <c r="J30" s="158" t="s">
        <v>340</v>
      </c>
      <c r="K30" s="159" t="s">
        <v>340</v>
      </c>
      <c r="L30" s="961"/>
      <c r="M30" s="962"/>
      <c r="N30" s="962"/>
      <c r="O30" s="962"/>
      <c r="P30" s="962"/>
      <c r="Q30" s="962"/>
      <c r="R30" s="963"/>
      <c r="T30" s="99">
        <v>23</v>
      </c>
      <c r="U30" s="88" t="e">
        <v>#N/A</v>
      </c>
      <c r="V30" s="453" t="e">
        <v>#N/A</v>
      </c>
      <c r="W30" s="453" t="e">
        <v>#N/A</v>
      </c>
      <c r="X30" s="453" t="e">
        <v>#N/A</v>
      </c>
      <c r="Y30" s="453" t="e">
        <v>#N/A</v>
      </c>
      <c r="Z30" s="146" t="e">
        <v>#N/A</v>
      </c>
      <c r="AA30" s="146" t="e">
        <v>#N/A</v>
      </c>
      <c r="AB30" s="146" t="e">
        <v>#N/A</v>
      </c>
      <c r="AC30" s="453" t="e">
        <v>#N/A</v>
      </c>
      <c r="AD30" s="453" t="e">
        <v>#N/A</v>
      </c>
      <c r="AE30" s="453" t="e">
        <v>#N/A</v>
      </c>
      <c r="AF30" s="453" t="e">
        <v>#N/A</v>
      </c>
      <c r="AG30" s="453" t="e">
        <f t="shared" si="3"/>
        <v>#N/A</v>
      </c>
      <c r="AH30" s="453" t="str">
        <f t="shared" si="4"/>
        <v/>
      </c>
      <c r="AI30" s="138" t="e">
        <f>IF(NOT(OR(Z30=1,Z30=2)),IF(AQ30&gt;0,$AR$44*AQ30/SUMIF($AQ$8:$AQ$39,"&gt;0"),IF(AU30&gt;0,$AV$44*AU30/SUMIF($AU$8:$AU$39,"&gt;0"),IF(AS30&gt;0,$AT$44*AS30/SUMIF($AS$8:$AS$39,"&gt;0"),""))),IF(SUMIF(AJ31:$AJ$39,"=" &amp; AJ30,AI31:$AI$39)=0,"",SUMIF(AJ31:$AJ$39,"=" &amp; AJ30,AI31:$AI$39)))</f>
        <v>#N/A</v>
      </c>
      <c r="AJ30" s="139" t="e">
        <f t="shared" si="34"/>
        <v>#N/A</v>
      </c>
      <c r="AK30" s="453" t="str">
        <f t="shared" si="27"/>
        <v/>
      </c>
      <c r="AL30" s="146" t="str">
        <f t="shared" si="28"/>
        <v/>
      </c>
      <c r="AM30" s="146" t="str">
        <f t="shared" si="35"/>
        <v/>
      </c>
      <c r="AN30" s="146" t="str">
        <f t="shared" si="5"/>
        <v/>
      </c>
      <c r="AO30" s="146" t="e">
        <f t="shared" si="6"/>
        <v>#N/A</v>
      </c>
      <c r="AP30" s="453" t="str">
        <f t="shared" si="7"/>
        <v/>
      </c>
      <c r="AQ30" s="140">
        <f t="shared" si="29"/>
        <v>0</v>
      </c>
      <c r="AR30" s="141" t="str">
        <f t="shared" si="8"/>
        <v/>
      </c>
      <c r="AS30" s="142">
        <f t="shared" si="30"/>
        <v>0</v>
      </c>
      <c r="AT30" s="141" t="str">
        <f t="shared" si="9"/>
        <v/>
      </c>
      <c r="AU30" s="143">
        <f t="shared" si="10"/>
        <v>0</v>
      </c>
      <c r="AV30" s="144" t="str">
        <f t="shared" si="11"/>
        <v/>
      </c>
      <c r="AW30" s="143" t="b">
        <f t="shared" si="12"/>
        <v>0</v>
      </c>
      <c r="AX30" s="145" t="b">
        <f t="shared" si="13"/>
        <v>0</v>
      </c>
      <c r="AY30" s="143" t="b">
        <f t="shared" si="14"/>
        <v>0</v>
      </c>
      <c r="AZ30" s="145" t="b">
        <f t="shared" si="15"/>
        <v>0</v>
      </c>
      <c r="BA30" s="453" t="b">
        <f t="shared" si="16"/>
        <v>0</v>
      </c>
      <c r="BB30" s="453" t="b">
        <f t="shared" si="17"/>
        <v>0</v>
      </c>
      <c r="BC30" s="143" t="b">
        <f t="shared" si="18"/>
        <v>0</v>
      </c>
      <c r="BD30" s="146" t="b">
        <f t="shared" si="31"/>
        <v>0</v>
      </c>
      <c r="BE30" s="145" t="b">
        <f t="shared" si="37"/>
        <v>0</v>
      </c>
      <c r="BF30" s="147" t="b">
        <f t="shared" si="20"/>
        <v>0</v>
      </c>
      <c r="BG30" s="453" t="str">
        <f t="shared" si="38"/>
        <v>NA</v>
      </c>
      <c r="BH30" s="453" t="str">
        <f t="shared" si="32"/>
        <v/>
      </c>
      <c r="BI30" s="453" t="str">
        <f t="shared" si="22"/>
        <v/>
      </c>
      <c r="BJ30" s="453" t="str">
        <f t="shared" si="23"/>
        <v/>
      </c>
      <c r="BK30" s="453" t="str">
        <f t="shared" si="24"/>
        <v/>
      </c>
      <c r="BL30" s="148" t="str">
        <f t="shared" si="33"/>
        <v/>
      </c>
      <c r="BM30" s="453" t="str">
        <f t="shared" si="25"/>
        <v/>
      </c>
      <c r="BN30" s="453" t="str">
        <f t="shared" si="26"/>
        <v/>
      </c>
      <c r="BO30" s="90"/>
    </row>
    <row r="31" spans="2:73" s="94" customFormat="1" ht="12.95" customHeight="1" x14ac:dyDescent="0.2">
      <c r="B31" s="151" t="str">
        <f>IF(ISNA(Z31),"",IF(OR(Z31=1,Z31=2),"    ",MAX($B$8:B30)+1))</f>
        <v/>
      </c>
      <c r="C31" s="904" t="str">
        <f t="shared" si="0"/>
        <v/>
      </c>
      <c r="D31" s="904"/>
      <c r="E31" s="904"/>
      <c r="F31" s="905"/>
      <c r="G31" s="133" t="str">
        <f t="shared" si="1"/>
        <v/>
      </c>
      <c r="H31" s="134" t="str">
        <f t="shared" si="2"/>
        <v/>
      </c>
      <c r="I31" s="152" t="str">
        <f t="shared" si="2"/>
        <v/>
      </c>
      <c r="J31" s="158" t="s">
        <v>340</v>
      </c>
      <c r="K31" s="159" t="s">
        <v>340</v>
      </c>
      <c r="L31" s="961"/>
      <c r="M31" s="962"/>
      <c r="N31" s="962"/>
      <c r="O31" s="962"/>
      <c r="P31" s="962"/>
      <c r="Q31" s="962"/>
      <c r="R31" s="963"/>
      <c r="T31" s="99">
        <v>24</v>
      </c>
      <c r="U31" s="88" t="e">
        <v>#N/A</v>
      </c>
      <c r="V31" s="453" t="e">
        <v>#N/A</v>
      </c>
      <c r="W31" s="453" t="e">
        <v>#N/A</v>
      </c>
      <c r="X31" s="453" t="e">
        <v>#N/A</v>
      </c>
      <c r="Y31" s="453" t="e">
        <v>#N/A</v>
      </c>
      <c r="Z31" s="146" t="e">
        <v>#N/A</v>
      </c>
      <c r="AA31" s="146" t="e">
        <v>#N/A</v>
      </c>
      <c r="AB31" s="146" t="e">
        <v>#N/A</v>
      </c>
      <c r="AC31" s="453" t="e">
        <v>#N/A</v>
      </c>
      <c r="AD31" s="453" t="e">
        <v>#N/A</v>
      </c>
      <c r="AE31" s="453" t="e">
        <v>#N/A</v>
      </c>
      <c r="AF31" s="453" t="e">
        <v>#N/A</v>
      </c>
      <c r="AG31" s="453" t="e">
        <f t="shared" si="3"/>
        <v>#N/A</v>
      </c>
      <c r="AH31" s="453" t="str">
        <f t="shared" si="4"/>
        <v/>
      </c>
      <c r="AI31" s="138" t="e">
        <f>IF(NOT(OR(Z31=1,Z31=2)),IF(AQ31&gt;0,$AR$44*AQ31/SUMIF($AQ$8:$AQ$39,"&gt;0"),IF(AU31&gt;0,$AV$44*AU31/SUMIF($AU$8:$AU$39,"&gt;0"),IF(AS31&gt;0,$AT$44*AS31/SUMIF($AS$8:$AS$39,"&gt;0"),""))),IF(SUMIF(AJ32:$AJ$39,"=" &amp; AJ31,AI32:$AI$39)=0,"",SUMIF(AJ32:$AJ$39,"=" &amp; AJ31,AI32:$AI$39)))</f>
        <v>#N/A</v>
      </c>
      <c r="AJ31" s="139" t="e">
        <f t="shared" si="34"/>
        <v>#N/A</v>
      </c>
      <c r="AK31" s="453" t="str">
        <f t="shared" si="27"/>
        <v/>
      </c>
      <c r="AL31" s="146" t="str">
        <f t="shared" si="28"/>
        <v/>
      </c>
      <c r="AM31" s="146" t="str">
        <f t="shared" si="35"/>
        <v/>
      </c>
      <c r="AN31" s="146" t="str">
        <f t="shared" si="5"/>
        <v/>
      </c>
      <c r="AO31" s="146" t="e">
        <f t="shared" si="6"/>
        <v>#N/A</v>
      </c>
      <c r="AP31" s="453" t="str">
        <f t="shared" si="7"/>
        <v/>
      </c>
      <c r="AQ31" s="140">
        <f t="shared" si="29"/>
        <v>0</v>
      </c>
      <c r="AR31" s="141" t="str">
        <f t="shared" si="8"/>
        <v/>
      </c>
      <c r="AS31" s="142">
        <f t="shared" si="30"/>
        <v>0</v>
      </c>
      <c r="AT31" s="141" t="str">
        <f t="shared" si="9"/>
        <v/>
      </c>
      <c r="AU31" s="143">
        <f t="shared" si="10"/>
        <v>0</v>
      </c>
      <c r="AV31" s="144" t="str">
        <f t="shared" si="11"/>
        <v/>
      </c>
      <c r="AW31" s="143" t="b">
        <f t="shared" si="12"/>
        <v>0</v>
      </c>
      <c r="AX31" s="145" t="b">
        <f t="shared" si="13"/>
        <v>0</v>
      </c>
      <c r="AY31" s="143" t="b">
        <f t="shared" si="14"/>
        <v>0</v>
      </c>
      <c r="AZ31" s="145" t="b">
        <f t="shared" si="15"/>
        <v>0</v>
      </c>
      <c r="BA31" s="453" t="b">
        <f t="shared" si="16"/>
        <v>0</v>
      </c>
      <c r="BB31" s="453" t="b">
        <f t="shared" si="17"/>
        <v>0</v>
      </c>
      <c r="BC31" s="143" t="b">
        <f t="shared" si="18"/>
        <v>0</v>
      </c>
      <c r="BD31" s="146" t="b">
        <f>IF(OR(ISNA($Z31),ISNUMBER($Z31),NOT(ISNUMBER(K31))),FALSE,OR(NOT(ISNUMBER(J31)),J31=0,AND(J31=0,K31&lt;&gt;0)))</f>
        <v>0</v>
      </c>
      <c r="BE31" s="145" t="b">
        <f t="shared" si="37"/>
        <v>0</v>
      </c>
      <c r="BF31" s="147" t="b">
        <f>IF(OR(ISNA($Z31),H31&lt;&gt;"NG"),FALSE,IF(AND(J31="NA",K31&lt;&gt;""),TRUE,FALSE))</f>
        <v>0</v>
      </c>
      <c r="BG31" s="453" t="str">
        <f t="shared" si="38"/>
        <v>NA</v>
      </c>
      <c r="BH31" s="453" t="str">
        <f t="shared" si="32"/>
        <v/>
      </c>
      <c r="BI31" s="453" t="str">
        <f t="shared" si="22"/>
        <v/>
      </c>
      <c r="BJ31" s="453" t="str">
        <f t="shared" si="23"/>
        <v/>
      </c>
      <c r="BK31" s="453" t="str">
        <f t="shared" si="24"/>
        <v/>
      </c>
      <c r="BL31" s="148" t="str">
        <f t="shared" si="33"/>
        <v/>
      </c>
      <c r="BM31" s="453" t="str">
        <f t="shared" si="25"/>
        <v/>
      </c>
      <c r="BN31" s="453" t="str">
        <f t="shared" si="26"/>
        <v/>
      </c>
      <c r="BO31" s="155" t="s">
        <v>368</v>
      </c>
      <c r="BP31" s="161" t="s">
        <v>369</v>
      </c>
    </row>
    <row r="32" spans="2:73" s="94" customFormat="1" ht="12.95" customHeight="1" x14ac:dyDescent="0.2">
      <c r="B32" s="151" t="str">
        <f>IF(ISNA(Z32),"",IF(OR(Z32=1,Z32=2),"    ",MAX($B$8:B31)+1))</f>
        <v/>
      </c>
      <c r="C32" s="904" t="str">
        <f t="shared" si="0"/>
        <v/>
      </c>
      <c r="D32" s="904"/>
      <c r="E32" s="904"/>
      <c r="F32" s="905"/>
      <c r="G32" s="133" t="str">
        <f t="shared" si="1"/>
        <v/>
      </c>
      <c r="H32" s="134" t="str">
        <f t="shared" si="2"/>
        <v/>
      </c>
      <c r="I32" s="152" t="str">
        <f t="shared" si="2"/>
        <v/>
      </c>
      <c r="J32" s="158" t="s">
        <v>340</v>
      </c>
      <c r="K32" s="159" t="s">
        <v>340</v>
      </c>
      <c r="L32" s="961"/>
      <c r="M32" s="962"/>
      <c r="N32" s="962"/>
      <c r="O32" s="962"/>
      <c r="P32" s="962"/>
      <c r="Q32" s="962"/>
      <c r="R32" s="963"/>
      <c r="T32" s="99">
        <v>25</v>
      </c>
      <c r="U32" s="88" t="e">
        <v>#N/A</v>
      </c>
      <c r="V32" s="453" t="e">
        <v>#N/A</v>
      </c>
      <c r="W32" s="453" t="e">
        <v>#N/A</v>
      </c>
      <c r="X32" s="453" t="e">
        <v>#N/A</v>
      </c>
      <c r="Y32" s="453" t="e">
        <v>#N/A</v>
      </c>
      <c r="Z32" s="146" t="e">
        <v>#N/A</v>
      </c>
      <c r="AA32" s="146" t="e">
        <v>#N/A</v>
      </c>
      <c r="AB32" s="146" t="e">
        <v>#N/A</v>
      </c>
      <c r="AC32" s="453" t="e">
        <v>#N/A</v>
      </c>
      <c r="AD32" s="453" t="e">
        <v>#N/A</v>
      </c>
      <c r="AE32" s="453" t="e">
        <v>#N/A</v>
      </c>
      <c r="AF32" s="453" t="e">
        <v>#N/A</v>
      </c>
      <c r="AG32" s="453" t="e">
        <f t="shared" si="3"/>
        <v>#N/A</v>
      </c>
      <c r="AH32" s="453" t="str">
        <f t="shared" si="4"/>
        <v/>
      </c>
      <c r="AI32" s="138" t="e">
        <f>IF(NOT(OR(Z32=1,Z32=2)),IF(AQ32&gt;0,$AR$44*AQ32/SUMIF($AQ$8:$AQ$39,"&gt;0"),IF(AU32&gt;0,$AV$44*AU32/SUMIF($AU$8:$AU$39,"&gt;0"),IF(AS32&gt;0,$AT$44*AS32/SUMIF($AS$8:$AS$39,"&gt;0"),""))),IF(SUMIF(AJ33:$AJ$39,"=" &amp; AJ32,AI33:$AI$39)=0,"",SUMIF(AJ33:$AJ$39,"=" &amp; AJ32,AI33:$AI$39)))</f>
        <v>#N/A</v>
      </c>
      <c r="AJ32" s="139" t="e">
        <f t="shared" si="34"/>
        <v>#N/A</v>
      </c>
      <c r="AK32" s="453" t="str">
        <f t="shared" si="27"/>
        <v/>
      </c>
      <c r="AL32" s="146" t="str">
        <f t="shared" si="28"/>
        <v/>
      </c>
      <c r="AM32" s="146" t="str">
        <f t="shared" si="35"/>
        <v/>
      </c>
      <c r="AN32" s="146" t="str">
        <f t="shared" si="5"/>
        <v/>
      </c>
      <c r="AO32" s="146" t="e">
        <f t="shared" si="6"/>
        <v>#N/A</v>
      </c>
      <c r="AP32" s="453" t="str">
        <f t="shared" si="7"/>
        <v/>
      </c>
      <c r="AQ32" s="140">
        <f t="shared" si="29"/>
        <v>0</v>
      </c>
      <c r="AR32" s="141" t="str">
        <f t="shared" si="8"/>
        <v/>
      </c>
      <c r="AS32" s="142">
        <f t="shared" si="30"/>
        <v>0</v>
      </c>
      <c r="AT32" s="141" t="str">
        <f t="shared" si="9"/>
        <v/>
      </c>
      <c r="AU32" s="143">
        <f t="shared" si="10"/>
        <v>0</v>
      </c>
      <c r="AV32" s="144" t="str">
        <f t="shared" si="11"/>
        <v/>
      </c>
      <c r="AW32" s="143" t="b">
        <f t="shared" si="12"/>
        <v>0</v>
      </c>
      <c r="AX32" s="145" t="b">
        <f t="shared" si="13"/>
        <v>0</v>
      </c>
      <c r="AY32" s="143" t="b">
        <f t="shared" si="14"/>
        <v>0</v>
      </c>
      <c r="AZ32" s="145" t="b">
        <f t="shared" si="15"/>
        <v>0</v>
      </c>
      <c r="BA32" s="453" t="b">
        <f t="shared" si="16"/>
        <v>0</v>
      </c>
      <c r="BB32" s="453" t="b">
        <f t="shared" si="17"/>
        <v>0</v>
      </c>
      <c r="BC32" s="143" t="b">
        <f t="shared" si="18"/>
        <v>0</v>
      </c>
      <c r="BD32" s="146" t="b">
        <f t="shared" si="31"/>
        <v>0</v>
      </c>
      <c r="BE32" s="145" t="b">
        <f t="shared" si="37"/>
        <v>0</v>
      </c>
      <c r="BF32" s="147" t="b">
        <f t="shared" ref="BF32:BF39" si="39">IF(OR(ISNA($Z32),H32&lt;&gt;"NG"),FALSE,IF(AND(J32="NA",K32&lt;&gt;""),TRUE,FALSE))</f>
        <v>0</v>
      </c>
      <c r="BG32" s="453" t="str">
        <f t="shared" si="38"/>
        <v>NA</v>
      </c>
      <c r="BH32" s="453" t="str">
        <f t="shared" si="32"/>
        <v/>
      </c>
      <c r="BI32" s="453" t="str">
        <f t="shared" si="22"/>
        <v/>
      </c>
      <c r="BJ32" s="453" t="str">
        <f t="shared" si="23"/>
        <v/>
      </c>
      <c r="BK32" s="453" t="str">
        <f t="shared" si="24"/>
        <v/>
      </c>
      <c r="BL32" s="148" t="str">
        <f t="shared" si="33"/>
        <v/>
      </c>
      <c r="BM32" s="453" t="str">
        <f t="shared" si="25"/>
        <v/>
      </c>
      <c r="BN32" s="453" t="str">
        <f t="shared" si="26"/>
        <v/>
      </c>
      <c r="BO32" s="155" t="s">
        <v>370</v>
      </c>
      <c r="BP32" s="161" t="s">
        <v>371</v>
      </c>
    </row>
    <row r="33" spans="2:73" s="94" customFormat="1" ht="12.95" customHeight="1" x14ac:dyDescent="0.2">
      <c r="B33" s="151" t="str">
        <f>IF(ISNA(Z33),"",IF(OR(Z33=1,Z33=2),"    ",MAX($B$8:B32)+1))</f>
        <v/>
      </c>
      <c r="C33" s="904" t="str">
        <f t="shared" si="0"/>
        <v/>
      </c>
      <c r="D33" s="904"/>
      <c r="E33" s="904"/>
      <c r="F33" s="905"/>
      <c r="G33" s="133" t="str">
        <f t="shared" si="1"/>
        <v/>
      </c>
      <c r="H33" s="134" t="str">
        <f t="shared" si="2"/>
        <v/>
      </c>
      <c r="I33" s="152" t="str">
        <f t="shared" si="2"/>
        <v/>
      </c>
      <c r="J33" s="158" t="s">
        <v>340</v>
      </c>
      <c r="K33" s="159" t="s">
        <v>340</v>
      </c>
      <c r="L33" s="961"/>
      <c r="M33" s="962"/>
      <c r="N33" s="962"/>
      <c r="O33" s="962"/>
      <c r="P33" s="962"/>
      <c r="Q33" s="962"/>
      <c r="R33" s="963"/>
      <c r="T33" s="99">
        <v>26</v>
      </c>
      <c r="U33" s="88" t="e">
        <v>#N/A</v>
      </c>
      <c r="V33" s="453" t="e">
        <v>#N/A</v>
      </c>
      <c r="W33" s="453" t="e">
        <v>#N/A</v>
      </c>
      <c r="X33" s="453" t="e">
        <v>#N/A</v>
      </c>
      <c r="Y33" s="453" t="e">
        <v>#N/A</v>
      </c>
      <c r="Z33" s="146" t="e">
        <v>#N/A</v>
      </c>
      <c r="AA33" s="146" t="e">
        <v>#N/A</v>
      </c>
      <c r="AB33" s="146" t="e">
        <v>#N/A</v>
      </c>
      <c r="AC33" s="453" t="e">
        <v>#N/A</v>
      </c>
      <c r="AD33" s="453" t="e">
        <v>#N/A</v>
      </c>
      <c r="AE33" s="453" t="e">
        <v>#N/A</v>
      </c>
      <c r="AF33" s="453" t="e">
        <v>#N/A</v>
      </c>
      <c r="AG33" s="453" t="e">
        <f t="shared" si="3"/>
        <v>#N/A</v>
      </c>
      <c r="AH33" s="453" t="str">
        <f t="shared" si="4"/>
        <v/>
      </c>
      <c r="AI33" s="138" t="e">
        <f>IF(NOT(OR(Z33=1,Z33=2)),IF(AQ33&gt;0,$AR$44*AQ33/SUMIF($AQ$8:$AQ$39,"&gt;0"),IF(AU33&gt;0,$AV$44*AU33/SUMIF($AU$8:$AU$39,"&gt;0"),IF(AS33&gt;0,$AT$44*AS33/SUMIF($AS$8:$AS$39,"&gt;0"),""))),IF(SUMIF(AJ34:$AJ$39,"=" &amp; AJ33,AI34:$AI$39)=0,"",SUMIF(AJ34:$AJ$39,"=" &amp; AJ33,AI34:$AI$39)))</f>
        <v>#N/A</v>
      </c>
      <c r="AJ33" s="139" t="e">
        <f t="shared" si="34"/>
        <v>#N/A</v>
      </c>
      <c r="AK33" s="453" t="str">
        <f t="shared" si="27"/>
        <v/>
      </c>
      <c r="AL33" s="146" t="str">
        <f t="shared" si="28"/>
        <v/>
      </c>
      <c r="AM33" s="146" t="str">
        <f t="shared" si="35"/>
        <v/>
      </c>
      <c r="AN33" s="146" t="str">
        <f t="shared" si="5"/>
        <v/>
      </c>
      <c r="AO33" s="146" t="e">
        <f t="shared" si="6"/>
        <v>#N/A</v>
      </c>
      <c r="AP33" s="453" t="str">
        <f t="shared" si="7"/>
        <v/>
      </c>
      <c r="AQ33" s="140">
        <f t="shared" si="29"/>
        <v>0</v>
      </c>
      <c r="AR33" s="141" t="str">
        <f t="shared" si="8"/>
        <v/>
      </c>
      <c r="AS33" s="142">
        <f t="shared" si="30"/>
        <v>0</v>
      </c>
      <c r="AT33" s="141" t="str">
        <f t="shared" si="9"/>
        <v/>
      </c>
      <c r="AU33" s="143">
        <f t="shared" si="10"/>
        <v>0</v>
      </c>
      <c r="AV33" s="144" t="str">
        <f t="shared" si="11"/>
        <v/>
      </c>
      <c r="AW33" s="143" t="b">
        <f t="shared" si="12"/>
        <v>0</v>
      </c>
      <c r="AX33" s="145" t="b">
        <f t="shared" si="13"/>
        <v>0</v>
      </c>
      <c r="AY33" s="143" t="b">
        <f t="shared" si="14"/>
        <v>0</v>
      </c>
      <c r="AZ33" s="145" t="b">
        <f t="shared" si="15"/>
        <v>0</v>
      </c>
      <c r="BA33" s="453" t="b">
        <f t="shared" si="16"/>
        <v>0</v>
      </c>
      <c r="BB33" s="453" t="b">
        <f t="shared" si="17"/>
        <v>0</v>
      </c>
      <c r="BC33" s="143" t="b">
        <f t="shared" si="18"/>
        <v>0</v>
      </c>
      <c r="BD33" s="146" t="b">
        <f t="shared" si="31"/>
        <v>0</v>
      </c>
      <c r="BE33" s="145" t="b">
        <f t="shared" si="37"/>
        <v>0</v>
      </c>
      <c r="BF33" s="147" t="b">
        <f t="shared" si="39"/>
        <v>0</v>
      </c>
      <c r="BG33" s="453" t="str">
        <f t="shared" si="38"/>
        <v>NA</v>
      </c>
      <c r="BH33" s="453" t="str">
        <f t="shared" si="32"/>
        <v/>
      </c>
      <c r="BI33" s="453" t="str">
        <f t="shared" si="22"/>
        <v/>
      </c>
      <c r="BJ33" s="453" t="str">
        <f t="shared" si="23"/>
        <v/>
      </c>
      <c r="BK33" s="453" t="str">
        <f t="shared" si="24"/>
        <v/>
      </c>
      <c r="BL33" s="148" t="str">
        <f t="shared" si="33"/>
        <v/>
      </c>
      <c r="BM33" s="453" t="str">
        <f t="shared" si="25"/>
        <v/>
      </c>
      <c r="BN33" s="453" t="str">
        <f t="shared" si="26"/>
        <v/>
      </c>
      <c r="BO33" s="150" t="s">
        <v>372</v>
      </c>
      <c r="BP33" s="161"/>
      <c r="BQ33" s="161"/>
      <c r="BR33" s="161"/>
      <c r="BS33" s="161"/>
      <c r="BT33" s="161"/>
      <c r="BU33" s="161"/>
    </row>
    <row r="34" spans="2:73" s="94" customFormat="1" ht="12.95" customHeight="1" x14ac:dyDescent="0.2">
      <c r="B34" s="151" t="str">
        <f>IF(ISNA(Z34),"",IF(OR(Z34=1,Z34=2),"    ",MAX($B$8:B33)+1))</f>
        <v/>
      </c>
      <c r="C34" s="904" t="str">
        <f t="shared" si="0"/>
        <v/>
      </c>
      <c r="D34" s="904"/>
      <c r="E34" s="904"/>
      <c r="F34" s="905"/>
      <c r="G34" s="133" t="str">
        <f t="shared" si="1"/>
        <v/>
      </c>
      <c r="H34" s="134" t="str">
        <f t="shared" si="2"/>
        <v/>
      </c>
      <c r="I34" s="152" t="str">
        <f t="shared" si="2"/>
        <v/>
      </c>
      <c r="J34" s="158" t="s">
        <v>340</v>
      </c>
      <c r="K34" s="159" t="s">
        <v>340</v>
      </c>
      <c r="L34" s="961"/>
      <c r="M34" s="962"/>
      <c r="N34" s="962"/>
      <c r="O34" s="962"/>
      <c r="P34" s="962"/>
      <c r="Q34" s="962"/>
      <c r="R34" s="963"/>
      <c r="T34" s="99">
        <v>27</v>
      </c>
      <c r="U34" s="88" t="e">
        <v>#N/A</v>
      </c>
      <c r="V34" s="453" t="e">
        <v>#N/A</v>
      </c>
      <c r="W34" s="453" t="e">
        <v>#N/A</v>
      </c>
      <c r="X34" s="453" t="e">
        <v>#N/A</v>
      </c>
      <c r="Y34" s="453" t="e">
        <v>#N/A</v>
      </c>
      <c r="Z34" s="146" t="e">
        <v>#N/A</v>
      </c>
      <c r="AA34" s="146" t="e">
        <v>#N/A</v>
      </c>
      <c r="AB34" s="146" t="e">
        <v>#N/A</v>
      </c>
      <c r="AC34" s="453" t="e">
        <v>#N/A</v>
      </c>
      <c r="AD34" s="453" t="e">
        <v>#N/A</v>
      </c>
      <c r="AE34" s="453" t="e">
        <v>#N/A</v>
      </c>
      <c r="AF34" s="453" t="e">
        <v>#N/A</v>
      </c>
      <c r="AG34" s="453" t="e">
        <f t="shared" si="3"/>
        <v>#N/A</v>
      </c>
      <c r="AH34" s="453" t="str">
        <f t="shared" si="4"/>
        <v/>
      </c>
      <c r="AI34" s="138" t="e">
        <f>IF(NOT(OR(Z34=1,Z34=2)),IF(AQ34&gt;0,$AR$44*AQ34/SUMIF($AQ$8:$AQ$39,"&gt;0"),IF(AU34&gt;0,$AV$44*AU34/SUMIF($AU$8:$AU$39,"&gt;0"),IF(AS34&gt;0,$AT$44*AS34/SUMIF($AS$8:$AS$39,"&gt;0"),""))),IF(SUMIF(AJ35:$AJ$39,"=" &amp; AJ34,AI35:$AI$39)=0,"",SUMIF(AJ35:$AJ$39,"=" &amp; AJ34,AI35:$AI$39)))</f>
        <v>#N/A</v>
      </c>
      <c r="AJ34" s="139" t="e">
        <f t="shared" si="34"/>
        <v>#N/A</v>
      </c>
      <c r="AK34" s="453" t="str">
        <f t="shared" si="27"/>
        <v/>
      </c>
      <c r="AL34" s="146" t="str">
        <f t="shared" si="28"/>
        <v/>
      </c>
      <c r="AM34" s="146" t="str">
        <f t="shared" si="35"/>
        <v/>
      </c>
      <c r="AN34" s="146" t="str">
        <f t="shared" si="5"/>
        <v/>
      </c>
      <c r="AO34" s="146" t="e">
        <f t="shared" si="6"/>
        <v>#N/A</v>
      </c>
      <c r="AP34" s="453" t="str">
        <f t="shared" si="7"/>
        <v/>
      </c>
      <c r="AQ34" s="140">
        <f t="shared" si="29"/>
        <v>0</v>
      </c>
      <c r="AR34" s="141" t="str">
        <f t="shared" si="8"/>
        <v/>
      </c>
      <c r="AS34" s="142">
        <f t="shared" si="30"/>
        <v>0</v>
      </c>
      <c r="AT34" s="141" t="str">
        <f t="shared" si="9"/>
        <v/>
      </c>
      <c r="AU34" s="143">
        <f t="shared" si="10"/>
        <v>0</v>
      </c>
      <c r="AV34" s="144" t="str">
        <f t="shared" si="11"/>
        <v/>
      </c>
      <c r="AW34" s="143" t="b">
        <f t="shared" si="12"/>
        <v>0</v>
      </c>
      <c r="AX34" s="145" t="b">
        <f t="shared" si="13"/>
        <v>0</v>
      </c>
      <c r="AY34" s="143" t="b">
        <f t="shared" si="14"/>
        <v>0</v>
      </c>
      <c r="AZ34" s="145" t="b">
        <f t="shared" si="15"/>
        <v>0</v>
      </c>
      <c r="BA34" s="453" t="b">
        <f t="shared" si="16"/>
        <v>0</v>
      </c>
      <c r="BB34" s="453" t="b">
        <f t="shared" si="17"/>
        <v>0</v>
      </c>
      <c r="BC34" s="143" t="b">
        <f t="shared" si="18"/>
        <v>0</v>
      </c>
      <c r="BD34" s="146" t="b">
        <f t="shared" si="31"/>
        <v>0</v>
      </c>
      <c r="BE34" s="145" t="b">
        <f t="shared" si="37"/>
        <v>0</v>
      </c>
      <c r="BF34" s="147" t="b">
        <f t="shared" si="39"/>
        <v>0</v>
      </c>
      <c r="BG34" s="453" t="str">
        <f t="shared" si="38"/>
        <v>NA</v>
      </c>
      <c r="BH34" s="453" t="str">
        <f t="shared" si="32"/>
        <v/>
      </c>
      <c r="BI34" s="453" t="str">
        <f t="shared" si="22"/>
        <v/>
      </c>
      <c r="BJ34" s="453" t="str">
        <f t="shared" si="23"/>
        <v/>
      </c>
      <c r="BK34" s="453" t="str">
        <f t="shared" si="24"/>
        <v/>
      </c>
      <c r="BL34" s="148" t="str">
        <f t="shared" si="33"/>
        <v/>
      </c>
      <c r="BM34" s="453" t="str">
        <f t="shared" si="25"/>
        <v/>
      </c>
      <c r="BN34" s="453" t="str">
        <f t="shared" si="26"/>
        <v/>
      </c>
      <c r="BO34" s="906"/>
      <c r="BP34" s="907"/>
      <c r="BQ34" s="907"/>
      <c r="BR34" s="907"/>
      <c r="BS34" s="907"/>
      <c r="BT34" s="907"/>
      <c r="BU34" s="908"/>
    </row>
    <row r="35" spans="2:73" s="94" customFormat="1" ht="12.95" customHeight="1" x14ac:dyDescent="0.2">
      <c r="B35" s="151" t="str">
        <f>IF(ISNA(Z35),"",IF(OR(Z35=1,Z35=2),"    ",MAX($B$8:B34)+1))</f>
        <v/>
      </c>
      <c r="C35" s="904" t="str">
        <f t="shared" si="0"/>
        <v/>
      </c>
      <c r="D35" s="904"/>
      <c r="E35" s="904"/>
      <c r="F35" s="905"/>
      <c r="G35" s="133" t="str">
        <f t="shared" si="1"/>
        <v/>
      </c>
      <c r="H35" s="134" t="str">
        <f t="shared" si="2"/>
        <v/>
      </c>
      <c r="I35" s="152" t="str">
        <f t="shared" si="2"/>
        <v/>
      </c>
      <c r="J35" s="158" t="s">
        <v>340</v>
      </c>
      <c r="K35" s="159" t="s">
        <v>340</v>
      </c>
      <c r="L35" s="961"/>
      <c r="M35" s="962"/>
      <c r="N35" s="962"/>
      <c r="O35" s="962"/>
      <c r="P35" s="962"/>
      <c r="Q35" s="962"/>
      <c r="R35" s="963"/>
      <c r="T35" s="99">
        <v>28</v>
      </c>
      <c r="U35" s="88" t="e">
        <v>#N/A</v>
      </c>
      <c r="V35" s="453" t="e">
        <v>#N/A</v>
      </c>
      <c r="W35" s="453" t="e">
        <v>#N/A</v>
      </c>
      <c r="X35" s="453" t="e">
        <v>#N/A</v>
      </c>
      <c r="Y35" s="453" t="e">
        <v>#N/A</v>
      </c>
      <c r="Z35" s="146" t="e">
        <v>#N/A</v>
      </c>
      <c r="AA35" s="146" t="e">
        <v>#N/A</v>
      </c>
      <c r="AB35" s="146" t="e">
        <v>#N/A</v>
      </c>
      <c r="AC35" s="453" t="e">
        <v>#N/A</v>
      </c>
      <c r="AD35" s="453" t="e">
        <v>#N/A</v>
      </c>
      <c r="AE35" s="453" t="e">
        <v>#N/A</v>
      </c>
      <c r="AF35" s="453" t="e">
        <v>#N/A</v>
      </c>
      <c r="AG35" s="453" t="e">
        <f t="shared" si="3"/>
        <v>#N/A</v>
      </c>
      <c r="AH35" s="453" t="str">
        <f t="shared" si="4"/>
        <v/>
      </c>
      <c r="AI35" s="138" t="e">
        <f>IF(NOT(OR(Z35=1,Z35=2)),IF(AQ35&gt;0,$AR$44*AQ35/SUMIF($AQ$8:$AQ$39,"&gt;0"),IF(AU35&gt;0,$AV$44*AU35/SUMIF($AU$8:$AU$39,"&gt;0"),IF(AS35&gt;0,$AT$44*AS35/SUMIF($AS$8:$AS$39,"&gt;0"),""))),IF(SUMIF(AJ36:$AJ$39,"=" &amp; AJ35,AI36:$AI$39)=0,"",SUMIF(AJ36:$AJ$39,"=" &amp; AJ35,AI36:$AI$39)))</f>
        <v>#N/A</v>
      </c>
      <c r="AJ35" s="139" t="e">
        <f t="shared" si="34"/>
        <v>#N/A</v>
      </c>
      <c r="AK35" s="453" t="str">
        <f t="shared" si="27"/>
        <v/>
      </c>
      <c r="AL35" s="146" t="str">
        <f t="shared" si="28"/>
        <v/>
      </c>
      <c r="AM35" s="146" t="str">
        <f t="shared" si="35"/>
        <v/>
      </c>
      <c r="AN35" s="146" t="str">
        <f t="shared" si="5"/>
        <v/>
      </c>
      <c r="AO35" s="146" t="e">
        <f t="shared" si="6"/>
        <v>#N/A</v>
      </c>
      <c r="AP35" s="453" t="str">
        <f t="shared" si="7"/>
        <v/>
      </c>
      <c r="AQ35" s="140">
        <f t="shared" si="29"/>
        <v>0</v>
      </c>
      <c r="AR35" s="141" t="str">
        <f t="shared" si="8"/>
        <v/>
      </c>
      <c r="AS35" s="142">
        <f t="shared" si="30"/>
        <v>0</v>
      </c>
      <c r="AT35" s="141" t="str">
        <f t="shared" si="9"/>
        <v/>
      </c>
      <c r="AU35" s="143">
        <f t="shared" si="10"/>
        <v>0</v>
      </c>
      <c r="AV35" s="144" t="str">
        <f t="shared" si="11"/>
        <v/>
      </c>
      <c r="AW35" s="143" t="b">
        <f t="shared" si="12"/>
        <v>0</v>
      </c>
      <c r="AX35" s="145" t="b">
        <f t="shared" si="13"/>
        <v>0</v>
      </c>
      <c r="AY35" s="143" t="b">
        <f t="shared" si="14"/>
        <v>0</v>
      </c>
      <c r="AZ35" s="145" t="b">
        <f t="shared" si="15"/>
        <v>0</v>
      </c>
      <c r="BA35" s="453" t="b">
        <f t="shared" si="16"/>
        <v>0</v>
      </c>
      <c r="BB35" s="453" t="b">
        <f t="shared" si="17"/>
        <v>0</v>
      </c>
      <c r="BC35" s="143" t="b">
        <f t="shared" si="18"/>
        <v>0</v>
      </c>
      <c r="BD35" s="146" t="b">
        <f t="shared" si="31"/>
        <v>0</v>
      </c>
      <c r="BE35" s="145" t="b">
        <f t="shared" si="37"/>
        <v>0</v>
      </c>
      <c r="BF35" s="147" t="b">
        <f t="shared" si="39"/>
        <v>0</v>
      </c>
      <c r="BG35" s="453" t="str">
        <f t="shared" si="38"/>
        <v>NA</v>
      </c>
      <c r="BH35" s="453" t="str">
        <f t="shared" si="32"/>
        <v/>
      </c>
      <c r="BI35" s="453" t="str">
        <f t="shared" si="22"/>
        <v/>
      </c>
      <c r="BJ35" s="453" t="str">
        <f t="shared" si="23"/>
        <v/>
      </c>
      <c r="BK35" s="453" t="str">
        <f t="shared" si="24"/>
        <v/>
      </c>
      <c r="BL35" s="148" t="str">
        <f t="shared" si="33"/>
        <v/>
      </c>
      <c r="BM35" s="453" t="str">
        <f t="shared" si="25"/>
        <v/>
      </c>
      <c r="BN35" s="453" t="str">
        <f t="shared" si="26"/>
        <v/>
      </c>
      <c r="BO35" s="909"/>
      <c r="BP35" s="910"/>
      <c r="BQ35" s="910"/>
      <c r="BR35" s="910"/>
      <c r="BS35" s="910"/>
      <c r="BT35" s="910"/>
      <c r="BU35" s="911"/>
    </row>
    <row r="36" spans="2:73" s="94" customFormat="1" ht="12.95" customHeight="1" x14ac:dyDescent="0.2">
      <c r="B36" s="151" t="str">
        <f>IF(ISNA(Z36),"",IF(OR(Z36=1,Z36=2),"    ",MAX($B$8:B35)+1))</f>
        <v/>
      </c>
      <c r="C36" s="904" t="str">
        <f t="shared" si="0"/>
        <v/>
      </c>
      <c r="D36" s="904"/>
      <c r="E36" s="904"/>
      <c r="F36" s="905"/>
      <c r="G36" s="133" t="str">
        <f t="shared" si="1"/>
        <v/>
      </c>
      <c r="H36" s="134" t="str">
        <f t="shared" si="2"/>
        <v/>
      </c>
      <c r="I36" s="152" t="str">
        <f t="shared" si="2"/>
        <v/>
      </c>
      <c r="J36" s="158" t="s">
        <v>340</v>
      </c>
      <c r="K36" s="159" t="s">
        <v>340</v>
      </c>
      <c r="L36" s="961"/>
      <c r="M36" s="962"/>
      <c r="N36" s="962"/>
      <c r="O36" s="962"/>
      <c r="P36" s="962"/>
      <c r="Q36" s="962"/>
      <c r="R36" s="963"/>
      <c r="T36" s="99">
        <v>29</v>
      </c>
      <c r="U36" s="88" t="e">
        <v>#N/A</v>
      </c>
      <c r="V36" s="453" t="e">
        <v>#N/A</v>
      </c>
      <c r="W36" s="453" t="e">
        <v>#N/A</v>
      </c>
      <c r="X36" s="453" t="e">
        <v>#N/A</v>
      </c>
      <c r="Y36" s="453" t="e">
        <v>#N/A</v>
      </c>
      <c r="Z36" s="146" t="e">
        <v>#N/A</v>
      </c>
      <c r="AA36" s="146" t="e">
        <v>#N/A</v>
      </c>
      <c r="AB36" s="146" t="e">
        <v>#N/A</v>
      </c>
      <c r="AC36" s="453" t="e">
        <v>#N/A</v>
      </c>
      <c r="AD36" s="453" t="e">
        <v>#N/A</v>
      </c>
      <c r="AE36" s="453" t="e">
        <v>#N/A</v>
      </c>
      <c r="AF36" s="453" t="e">
        <v>#N/A</v>
      </c>
      <c r="AG36" s="453" t="e">
        <f t="shared" si="3"/>
        <v>#N/A</v>
      </c>
      <c r="AH36" s="453" t="str">
        <f t="shared" si="4"/>
        <v/>
      </c>
      <c r="AI36" s="138" t="e">
        <f>IF(NOT(OR(Z36=1,Z36=2)),IF(AQ36&gt;0,$AR$44*AQ36/SUMIF($AQ$8:$AQ$39,"&gt;0"),IF(AU36&gt;0,$AV$44*AU36/SUMIF($AU$8:$AU$39,"&gt;0"),IF(AS36&gt;0,$AT$44*AS36/SUMIF($AS$8:$AS$39,"&gt;0"),""))),IF(SUMIF(AJ37:$AJ$39,"=" &amp; AJ36,AI37:$AI$39)=0,"",SUMIF(AJ37:$AJ$39,"=" &amp; AJ36,AI37:$AI$39)))</f>
        <v>#N/A</v>
      </c>
      <c r="AJ36" s="139" t="e">
        <f t="shared" si="34"/>
        <v>#N/A</v>
      </c>
      <c r="AK36" s="453" t="str">
        <f t="shared" si="27"/>
        <v/>
      </c>
      <c r="AL36" s="146" t="str">
        <f t="shared" si="28"/>
        <v/>
      </c>
      <c r="AM36" s="146" t="str">
        <f t="shared" si="35"/>
        <v/>
      </c>
      <c r="AN36" s="146" t="str">
        <f t="shared" si="5"/>
        <v/>
      </c>
      <c r="AO36" s="146" t="e">
        <f t="shared" si="6"/>
        <v>#N/A</v>
      </c>
      <c r="AP36" s="453" t="str">
        <f t="shared" si="7"/>
        <v/>
      </c>
      <c r="AQ36" s="140">
        <f t="shared" si="29"/>
        <v>0</v>
      </c>
      <c r="AR36" s="141" t="str">
        <f t="shared" si="8"/>
        <v/>
      </c>
      <c r="AS36" s="142">
        <f t="shared" si="30"/>
        <v>0</v>
      </c>
      <c r="AT36" s="141" t="str">
        <f t="shared" si="9"/>
        <v/>
      </c>
      <c r="AU36" s="143">
        <f t="shared" si="10"/>
        <v>0</v>
      </c>
      <c r="AV36" s="144" t="str">
        <f t="shared" si="11"/>
        <v/>
      </c>
      <c r="AW36" s="143" t="b">
        <f t="shared" si="12"/>
        <v>0</v>
      </c>
      <c r="AX36" s="145" t="b">
        <f t="shared" si="13"/>
        <v>0</v>
      </c>
      <c r="AY36" s="143" t="b">
        <f t="shared" si="14"/>
        <v>0</v>
      </c>
      <c r="AZ36" s="145" t="b">
        <f t="shared" si="15"/>
        <v>0</v>
      </c>
      <c r="BA36" s="453" t="b">
        <f t="shared" si="16"/>
        <v>0</v>
      </c>
      <c r="BB36" s="453" t="b">
        <f t="shared" si="17"/>
        <v>0</v>
      </c>
      <c r="BC36" s="143" t="b">
        <f t="shared" si="18"/>
        <v>0</v>
      </c>
      <c r="BD36" s="146" t="b">
        <f t="shared" si="31"/>
        <v>0</v>
      </c>
      <c r="BE36" s="145" t="b">
        <f t="shared" si="37"/>
        <v>0</v>
      </c>
      <c r="BF36" s="147" t="b">
        <f t="shared" si="39"/>
        <v>0</v>
      </c>
      <c r="BG36" s="453" t="str">
        <f t="shared" si="38"/>
        <v>NA</v>
      </c>
      <c r="BH36" s="453" t="str">
        <f t="shared" si="32"/>
        <v/>
      </c>
      <c r="BI36" s="453" t="str">
        <f t="shared" si="22"/>
        <v/>
      </c>
      <c r="BJ36" s="453" t="str">
        <f t="shared" si="23"/>
        <v/>
      </c>
      <c r="BK36" s="453" t="str">
        <f t="shared" si="24"/>
        <v/>
      </c>
      <c r="BL36" s="148" t="str">
        <f t="shared" si="33"/>
        <v/>
      </c>
      <c r="BM36" s="453" t="str">
        <f t="shared" si="25"/>
        <v/>
      </c>
      <c r="BN36" s="453" t="str">
        <f t="shared" si="26"/>
        <v/>
      </c>
      <c r="BO36" s="909"/>
      <c r="BP36" s="910"/>
      <c r="BQ36" s="910"/>
      <c r="BR36" s="910"/>
      <c r="BS36" s="910"/>
      <c r="BT36" s="910"/>
      <c r="BU36" s="911"/>
    </row>
    <row r="37" spans="2:73" s="94" customFormat="1" ht="12.95" customHeight="1" x14ac:dyDescent="0.2">
      <c r="B37" s="151" t="str">
        <f>IF(ISNA(Z37),"",IF(OR(Z37=1,Z37=2),"    ",MAX($B$8:B36)+1))</f>
        <v/>
      </c>
      <c r="C37" s="904" t="str">
        <f>IF(ISNA(Z37),"",CONCATENATE($U37,IF(ISNUMBER(AI37),TEXT(ROUND($AI37,3)," (0.0%)"),""),IF(AU37&gt;0," Bonus","")))</f>
        <v/>
      </c>
      <c r="D37" s="904"/>
      <c r="E37" s="904"/>
      <c r="F37" s="905"/>
      <c r="G37" s="133" t="str">
        <f t="shared" si="1"/>
        <v/>
      </c>
      <c r="H37" s="134" t="str">
        <f t="shared" si="2"/>
        <v/>
      </c>
      <c r="I37" s="152" t="str">
        <f t="shared" si="2"/>
        <v/>
      </c>
      <c r="J37" s="158" t="s">
        <v>340</v>
      </c>
      <c r="K37" s="159" t="s">
        <v>340</v>
      </c>
      <c r="L37" s="961"/>
      <c r="M37" s="962"/>
      <c r="N37" s="962"/>
      <c r="O37" s="962"/>
      <c r="P37" s="962"/>
      <c r="Q37" s="962"/>
      <c r="R37" s="963"/>
      <c r="T37" s="99">
        <v>30</v>
      </c>
      <c r="U37" s="88" t="e">
        <v>#N/A</v>
      </c>
      <c r="V37" s="453" t="e">
        <v>#N/A</v>
      </c>
      <c r="W37" s="453" t="e">
        <v>#N/A</v>
      </c>
      <c r="X37" s="453" t="e">
        <v>#N/A</v>
      </c>
      <c r="Y37" s="453" t="e">
        <v>#N/A</v>
      </c>
      <c r="Z37" s="146" t="e">
        <v>#N/A</v>
      </c>
      <c r="AA37" s="146" t="e">
        <v>#N/A</v>
      </c>
      <c r="AB37" s="146" t="e">
        <v>#N/A</v>
      </c>
      <c r="AC37" s="453" t="e">
        <v>#N/A</v>
      </c>
      <c r="AD37" s="453" t="e">
        <v>#N/A</v>
      </c>
      <c r="AE37" s="453" t="e">
        <v>#N/A</v>
      </c>
      <c r="AF37" s="453" t="e">
        <v>#N/A</v>
      </c>
      <c r="AG37" s="453" t="e">
        <f t="shared" si="3"/>
        <v>#N/A</v>
      </c>
      <c r="AH37" s="453" t="str">
        <f t="shared" si="4"/>
        <v/>
      </c>
      <c r="AI37" s="138" t="e">
        <f>IF(NOT(OR(Z37=1,Z37=2)),IF(AQ37&gt;0,$AR$44*AQ37/SUMIF($AQ$8:$AQ$39,"&gt;0"),IF(AU37&gt;0,$AV$44*AU37/SUMIF($AU$8:$AU$39,"&gt;0"),IF(AS37&gt;0,$AT$44*AS37/SUMIF($AS$8:$AS$39,"&gt;0"),""))),IF(SUMIF(AJ38:$AJ$39,"=" &amp; AJ37,AI38:$AI$39)=0,"",SUMIF(AJ38:$AJ$39,"=" &amp; AJ37,AI38:$AI$39)))</f>
        <v>#N/A</v>
      </c>
      <c r="AJ37" s="139" t="e">
        <f t="shared" si="34"/>
        <v>#N/A</v>
      </c>
      <c r="AK37" s="453" t="str">
        <f t="shared" si="27"/>
        <v/>
      </c>
      <c r="AL37" s="146" t="str">
        <f t="shared" si="28"/>
        <v/>
      </c>
      <c r="AM37" s="146" t="str">
        <f t="shared" si="35"/>
        <v/>
      </c>
      <c r="AN37" s="146" t="str">
        <f>IF(ISNUMBER(AH37),IF(AND(AB37=0,ISNUMBER(AC37),ISNUMBER(AL37)),1,""),"")</f>
        <v/>
      </c>
      <c r="AO37" s="146" t="e">
        <f t="shared" si="6"/>
        <v>#N/A</v>
      </c>
      <c r="AP37" s="453" t="str">
        <f t="shared" si="7"/>
        <v/>
      </c>
      <c r="AQ37" s="140">
        <f t="shared" si="29"/>
        <v>0</v>
      </c>
      <c r="AR37" s="141" t="str">
        <f t="shared" si="8"/>
        <v/>
      </c>
      <c r="AS37" s="142">
        <f t="shared" si="30"/>
        <v>0</v>
      </c>
      <c r="AT37" s="141" t="str">
        <f t="shared" si="9"/>
        <v/>
      </c>
      <c r="AU37" s="143">
        <f t="shared" si="10"/>
        <v>0</v>
      </c>
      <c r="AV37" s="144" t="str">
        <f t="shared" si="11"/>
        <v/>
      </c>
      <c r="AW37" s="143" t="b">
        <f t="shared" si="12"/>
        <v>0</v>
      </c>
      <c r="AX37" s="145" t="b">
        <f t="shared" si="13"/>
        <v>0</v>
      </c>
      <c r="AY37" s="143" t="b">
        <f t="shared" si="14"/>
        <v>0</v>
      </c>
      <c r="AZ37" s="145" t="b">
        <f t="shared" si="15"/>
        <v>0</v>
      </c>
      <c r="BA37" s="453" t="b">
        <f t="shared" si="16"/>
        <v>0</v>
      </c>
      <c r="BB37" s="453" t="b">
        <f t="shared" si="17"/>
        <v>0</v>
      </c>
      <c r="BC37" s="143" t="b">
        <f t="shared" si="18"/>
        <v>0</v>
      </c>
      <c r="BD37" s="146" t="b">
        <f t="shared" si="31"/>
        <v>0</v>
      </c>
      <c r="BE37" s="145" t="b">
        <f t="shared" si="37"/>
        <v>0</v>
      </c>
      <c r="BF37" s="147" t="b">
        <f t="shared" si="39"/>
        <v>0</v>
      </c>
      <c r="BG37" s="453" t="str">
        <f t="shared" si="38"/>
        <v>NA</v>
      </c>
      <c r="BH37" s="453" t="str">
        <f t="shared" si="32"/>
        <v/>
      </c>
      <c r="BI37" s="453" t="str">
        <f t="shared" si="22"/>
        <v/>
      </c>
      <c r="BJ37" s="453" t="str">
        <f t="shared" si="23"/>
        <v/>
      </c>
      <c r="BK37" s="453" t="str">
        <f t="shared" si="24"/>
        <v/>
      </c>
      <c r="BL37" s="148" t="str">
        <f t="shared" si="33"/>
        <v/>
      </c>
      <c r="BM37" s="453" t="str">
        <f t="shared" si="25"/>
        <v/>
      </c>
      <c r="BN37" s="453" t="str">
        <f t="shared" si="26"/>
        <v/>
      </c>
      <c r="BO37" s="912"/>
      <c r="BP37" s="913"/>
      <c r="BQ37" s="913"/>
      <c r="BR37" s="913"/>
      <c r="BS37" s="913"/>
      <c r="BT37" s="913"/>
      <c r="BU37" s="914"/>
    </row>
    <row r="38" spans="2:73" s="94" customFormat="1" ht="12.95" customHeight="1" x14ac:dyDescent="0.2">
      <c r="B38" s="151" t="str">
        <f>IF(ISNA(Z38),"",IF(OR(Z38=1,Z38=2),"    ",MAX($B$8:B37)+1))</f>
        <v/>
      </c>
      <c r="C38" s="904" t="str">
        <f t="shared" ref="C38:C39" si="40">IF(ISNA(Z38),"",CONCATENATE($U38,IF(ISNUMBER(AI38),TEXT(ROUND($AI38,3)," (0.0%)"),""),IF(AU38&gt;0," Bonus","")))</f>
        <v/>
      </c>
      <c r="D38" s="904"/>
      <c r="E38" s="904"/>
      <c r="F38" s="905"/>
      <c r="G38" s="133" t="str">
        <f t="shared" si="1"/>
        <v/>
      </c>
      <c r="H38" s="134" t="str">
        <f t="shared" si="2"/>
        <v/>
      </c>
      <c r="I38" s="152" t="str">
        <f t="shared" si="2"/>
        <v/>
      </c>
      <c r="J38" s="158" t="s">
        <v>340</v>
      </c>
      <c r="K38" s="159" t="s">
        <v>340</v>
      </c>
      <c r="L38" s="961"/>
      <c r="M38" s="962"/>
      <c r="N38" s="962"/>
      <c r="O38" s="962"/>
      <c r="P38" s="962"/>
      <c r="Q38" s="962"/>
      <c r="R38" s="963"/>
      <c r="T38" s="99">
        <v>31</v>
      </c>
      <c r="U38" s="88" t="e">
        <v>#N/A</v>
      </c>
      <c r="V38" s="453" t="e">
        <v>#N/A</v>
      </c>
      <c r="W38" s="453" t="e">
        <v>#N/A</v>
      </c>
      <c r="X38" s="453" t="e">
        <v>#N/A</v>
      </c>
      <c r="Y38" s="453" t="e">
        <v>#N/A</v>
      </c>
      <c r="Z38" s="146" t="e">
        <v>#N/A</v>
      </c>
      <c r="AA38" s="146" t="e">
        <v>#N/A</v>
      </c>
      <c r="AB38" s="146" t="e">
        <v>#N/A</v>
      </c>
      <c r="AC38" s="453" t="e">
        <v>#N/A</v>
      </c>
      <c r="AD38" s="453" t="e">
        <v>#N/A</v>
      </c>
      <c r="AE38" s="453" t="e">
        <v>#N/A</v>
      </c>
      <c r="AF38" s="453" t="e">
        <v>#N/A</v>
      </c>
      <c r="AG38" s="453" t="e">
        <f t="shared" si="3"/>
        <v>#N/A</v>
      </c>
      <c r="AH38" s="453" t="str">
        <f t="shared" si="4"/>
        <v/>
      </c>
      <c r="AI38" s="138" t="e">
        <f>IF(NOT(OR(Z38=1,Z38=2)),IF(AQ38&gt;0,$AR$44*AQ38/SUMIF($AQ$8:$AQ$39,"&gt;0"),IF(AU38&gt;0,$AV$44*AU38/SUMIF($AU$8:$AU$39,"&gt;0"),IF(AS38&gt;0,$AT$44*AS38/SUMIF($AS$8:$AS$39,"&gt;0"),""))),IF(SUMIF(AJ39:$AJ$39,"=" &amp; AJ38,AI39:$AI$39)=0,"",SUMIF(AJ39:$AJ$39,"=" &amp; AJ38,AI39:$AI$39)))</f>
        <v>#N/A</v>
      </c>
      <c r="AJ38" s="139" t="e">
        <f t="shared" si="34"/>
        <v>#N/A</v>
      </c>
      <c r="AK38" s="453" t="str">
        <f t="shared" si="27"/>
        <v/>
      </c>
      <c r="AL38" s="146" t="str">
        <f t="shared" si="28"/>
        <v/>
      </c>
      <c r="AM38" s="146" t="str">
        <f t="shared" si="35"/>
        <v/>
      </c>
      <c r="AN38" s="146" t="str">
        <f>IF(ISNUMBER(AH38),IF(AND(AB38=0,ISNUMBER(AC38),ISNUMBER(AL38)),1,""),"")</f>
        <v/>
      </c>
      <c r="AO38" s="146" t="e">
        <f t="shared" si="6"/>
        <v>#N/A</v>
      </c>
      <c r="AP38" s="453" t="str">
        <f t="shared" si="7"/>
        <v/>
      </c>
      <c r="AQ38" s="140">
        <f t="shared" si="29"/>
        <v>0</v>
      </c>
      <c r="AR38" s="141" t="str">
        <f t="shared" si="8"/>
        <v/>
      </c>
      <c r="AS38" s="142">
        <f t="shared" si="30"/>
        <v>0</v>
      </c>
      <c r="AT38" s="141" t="str">
        <f t="shared" si="9"/>
        <v/>
      </c>
      <c r="AU38" s="143">
        <f t="shared" si="10"/>
        <v>0</v>
      </c>
      <c r="AV38" s="144" t="str">
        <f t="shared" si="11"/>
        <v/>
      </c>
      <c r="AW38" s="143" t="b">
        <f t="shared" si="12"/>
        <v>0</v>
      </c>
      <c r="AX38" s="145" t="b">
        <f t="shared" si="13"/>
        <v>0</v>
      </c>
      <c r="AY38" s="143" t="b">
        <f t="shared" si="14"/>
        <v>0</v>
      </c>
      <c r="AZ38" s="145" t="b">
        <f t="shared" si="15"/>
        <v>0</v>
      </c>
      <c r="BA38" s="453" t="b">
        <f t="shared" si="16"/>
        <v>0</v>
      </c>
      <c r="BB38" s="453" t="b">
        <f t="shared" si="17"/>
        <v>0</v>
      </c>
      <c r="BC38" s="143" t="b">
        <f t="shared" si="18"/>
        <v>0</v>
      </c>
      <c r="BD38" s="146" t="b">
        <f t="shared" si="31"/>
        <v>0</v>
      </c>
      <c r="BE38" s="145" t="b">
        <f t="shared" si="37"/>
        <v>0</v>
      </c>
      <c r="BF38" s="147" t="b">
        <f t="shared" si="39"/>
        <v>0</v>
      </c>
      <c r="BG38" s="453" t="str">
        <f t="shared" si="38"/>
        <v>NA</v>
      </c>
      <c r="BH38" s="453" t="str">
        <f t="shared" si="32"/>
        <v/>
      </c>
      <c r="BI38" s="453" t="str">
        <f t="shared" si="22"/>
        <v/>
      </c>
      <c r="BJ38" s="453" t="str">
        <f t="shared" si="23"/>
        <v/>
      </c>
      <c r="BK38" s="453" t="str">
        <f t="shared" si="24"/>
        <v/>
      </c>
      <c r="BL38" s="148" t="str">
        <f t="shared" si="33"/>
        <v/>
      </c>
      <c r="BM38" s="453" t="str">
        <f t="shared" si="25"/>
        <v/>
      </c>
      <c r="BN38" s="453" t="str">
        <f t="shared" si="26"/>
        <v/>
      </c>
      <c r="BO38" s="150" t="s">
        <v>373</v>
      </c>
      <c r="BP38" s="150"/>
      <c r="BQ38" s="150"/>
      <c r="BR38" s="150"/>
      <c r="BS38" s="150"/>
      <c r="BT38" s="150"/>
      <c r="BU38" s="150"/>
    </row>
    <row r="39" spans="2:73" s="94" customFormat="1" ht="12.95" customHeight="1" thickBot="1" x14ac:dyDescent="0.25">
      <c r="B39" s="151" t="str">
        <f>IF(ISNA(Z39),"",IF(OR(Z39=1,Z39=2),"    ",MAX($B$8:B38)+1))</f>
        <v/>
      </c>
      <c r="C39" s="904" t="str">
        <f t="shared" si="40"/>
        <v/>
      </c>
      <c r="D39" s="904"/>
      <c r="E39" s="904"/>
      <c r="F39" s="905"/>
      <c r="G39" s="171" t="str">
        <f t="shared" si="1"/>
        <v/>
      </c>
      <c r="H39" s="134" t="str">
        <f t="shared" si="2"/>
        <v/>
      </c>
      <c r="I39" s="172" t="str">
        <f t="shared" si="2"/>
        <v/>
      </c>
      <c r="J39" s="173" t="s">
        <v>340</v>
      </c>
      <c r="K39" s="174" t="s">
        <v>340</v>
      </c>
      <c r="L39" s="964"/>
      <c r="M39" s="965"/>
      <c r="N39" s="965"/>
      <c r="O39" s="965"/>
      <c r="P39" s="965"/>
      <c r="Q39" s="965"/>
      <c r="R39" s="966"/>
      <c r="T39" s="99">
        <v>32</v>
      </c>
      <c r="U39" s="88" t="e">
        <v>#N/A</v>
      </c>
      <c r="V39" s="453" t="e">
        <v>#N/A</v>
      </c>
      <c r="W39" s="453" t="e">
        <v>#N/A</v>
      </c>
      <c r="X39" s="453" t="e">
        <v>#N/A</v>
      </c>
      <c r="Y39" s="453" t="e">
        <v>#N/A</v>
      </c>
      <c r="Z39" s="146" t="e">
        <v>#N/A</v>
      </c>
      <c r="AA39" s="146" t="e">
        <v>#N/A</v>
      </c>
      <c r="AB39" s="146" t="e">
        <v>#N/A</v>
      </c>
      <c r="AC39" s="453" t="e">
        <v>#N/A</v>
      </c>
      <c r="AD39" s="453" t="e">
        <v>#N/A</v>
      </c>
      <c r="AE39" s="453" t="e">
        <v>#N/A</v>
      </c>
      <c r="AF39" s="453" t="e">
        <v>#N/A</v>
      </c>
      <c r="AG39" s="453" t="e">
        <f t="shared" si="3"/>
        <v>#N/A</v>
      </c>
      <c r="AH39" s="453" t="str">
        <f t="shared" si="4"/>
        <v/>
      </c>
      <c r="AI39" s="138" t="e">
        <f>IF(NOT(OR(Z39=1,Z39=2)),IF(AQ39&gt;0,$AR$44*AQ39/SUMIF($AQ$8:$AQ$39,"&gt;0"),IF(AU39&gt;0,$AV$44*AU39/SUMIF($AU$8:$AU$39,"&gt;0"),IF(AS39&gt;0,$AT$44*AS39/SUMIF($AS$8:$AS$39,"&gt;0"),""))),IF(SUMIF(AJ$39:$AJ40,"=" &amp; AJ39,AI$39:$AI40)=0,"",SUMIF(AJ$39:$AJ40,"=" &amp; AJ39,AI$39:$AI40)))</f>
        <v>#N/A</v>
      </c>
      <c r="AJ39" s="139" t="e">
        <f t="shared" si="34"/>
        <v>#N/A</v>
      </c>
      <c r="AK39" s="453" t="str">
        <f t="shared" si="27"/>
        <v/>
      </c>
      <c r="AL39" s="146" t="str">
        <f t="shared" si="28"/>
        <v/>
      </c>
      <c r="AM39" s="146" t="str">
        <f t="shared" si="35"/>
        <v/>
      </c>
      <c r="AN39" s="146" t="str">
        <f>IF(ISNUMBER(AH39),IF(AND(AB39=0,ISNUMBER(AC39),ISNUMBER(AL39)),1,""),"")</f>
        <v/>
      </c>
      <c r="AO39" s="146" t="e">
        <f t="shared" si="6"/>
        <v>#N/A</v>
      </c>
      <c r="AP39" s="453" t="str">
        <f t="shared" si="7"/>
        <v/>
      </c>
      <c r="AQ39" s="140">
        <f t="shared" si="29"/>
        <v>0</v>
      </c>
      <c r="AR39" s="141" t="str">
        <f t="shared" si="8"/>
        <v/>
      </c>
      <c r="AS39" s="142">
        <f t="shared" si="30"/>
        <v>0</v>
      </c>
      <c r="AT39" s="141" t="str">
        <f t="shared" si="9"/>
        <v/>
      </c>
      <c r="AU39" s="143">
        <f t="shared" si="10"/>
        <v>0</v>
      </c>
      <c r="AV39" s="144" t="str">
        <f t="shared" si="11"/>
        <v/>
      </c>
      <c r="AW39" s="143" t="b">
        <f t="shared" si="12"/>
        <v>0</v>
      </c>
      <c r="AX39" s="145" t="b">
        <f t="shared" si="13"/>
        <v>0</v>
      </c>
      <c r="AY39" s="143" t="b">
        <f t="shared" si="14"/>
        <v>0</v>
      </c>
      <c r="AZ39" s="145" t="b">
        <f t="shared" si="15"/>
        <v>0</v>
      </c>
      <c r="BA39" s="453" t="b">
        <f t="shared" si="16"/>
        <v>0</v>
      </c>
      <c r="BB39" s="453" t="b">
        <f t="shared" si="17"/>
        <v>0</v>
      </c>
      <c r="BC39" s="143" t="b">
        <f t="shared" si="18"/>
        <v>0</v>
      </c>
      <c r="BD39" s="146" t="b">
        <f t="shared" si="31"/>
        <v>0</v>
      </c>
      <c r="BE39" s="145" t="b">
        <f t="shared" si="37"/>
        <v>0</v>
      </c>
      <c r="BF39" s="147" t="b">
        <f t="shared" si="39"/>
        <v>0</v>
      </c>
      <c r="BG39" s="453" t="str">
        <f t="shared" si="38"/>
        <v>NA</v>
      </c>
      <c r="BH39" s="453" t="str">
        <f t="shared" si="32"/>
        <v/>
      </c>
      <c r="BI39" s="453" t="str">
        <f t="shared" si="22"/>
        <v/>
      </c>
      <c r="BJ39" s="453" t="str">
        <f t="shared" si="23"/>
        <v/>
      </c>
      <c r="BK39" s="453" t="str">
        <f t="shared" si="24"/>
        <v/>
      </c>
      <c r="BL39" s="453" t="str">
        <f t="shared" si="33"/>
        <v/>
      </c>
      <c r="BM39" s="453" t="str">
        <f t="shared" si="25"/>
        <v/>
      </c>
      <c r="BN39" s="453" t="str">
        <f t="shared" si="26"/>
        <v/>
      </c>
      <c r="BO39" s="906"/>
      <c r="BP39" s="907"/>
      <c r="BQ39" s="907"/>
      <c r="BR39" s="907"/>
      <c r="BS39" s="907"/>
      <c r="BT39" s="907"/>
      <c r="BU39" s="908"/>
    </row>
    <row r="40" spans="2:73" s="91" customFormat="1" ht="8.25" customHeight="1" x14ac:dyDescent="0.2">
      <c r="B40" s="915" t="s">
        <v>374</v>
      </c>
      <c r="C40" s="916"/>
      <c r="D40" s="917"/>
      <c r="E40" s="452" t="s">
        <v>375</v>
      </c>
      <c r="F40" s="918" t="s">
        <v>376</v>
      </c>
      <c r="G40" s="919"/>
      <c r="H40" s="919" t="s">
        <v>377</v>
      </c>
      <c r="I40" s="919"/>
      <c r="J40" s="920" t="s">
        <v>378</v>
      </c>
      <c r="K40" s="921"/>
      <c r="L40" s="175" t="s">
        <v>379</v>
      </c>
      <c r="M40" s="922" t="s">
        <v>380</v>
      </c>
      <c r="N40" s="922"/>
      <c r="O40" s="923" t="str">
        <f>IF(U44,"DO REVIEW","DO REV N/A")</f>
        <v>DO REV N/A</v>
      </c>
      <c r="P40" s="924"/>
      <c r="Q40" s="176" t="str">
        <f>IF(U45,"ED REVIEW","ED REV N/A")</f>
        <v>ED REV N/A</v>
      </c>
      <c r="R40" s="177"/>
      <c r="S40" s="178">
        <v>0</v>
      </c>
      <c r="AI40" s="179"/>
      <c r="AJ40" s="92"/>
      <c r="AK40" s="92"/>
      <c r="AL40" s="92"/>
      <c r="AM40" s="92"/>
      <c r="AN40" s="92"/>
      <c r="AO40" s="88"/>
      <c r="AP40" s="92"/>
      <c r="AQ40" s="180"/>
      <c r="AR40" s="92"/>
      <c r="AS40" s="180"/>
      <c r="AT40" s="92"/>
      <c r="AU40" s="180"/>
      <c r="AV40" s="181"/>
      <c r="AW40" s="92"/>
      <c r="AX40" s="92"/>
      <c r="AY40" s="92"/>
      <c r="AZ40" s="92"/>
      <c r="BA40" s="92"/>
      <c r="BB40" s="92"/>
      <c r="BC40" s="92"/>
      <c r="BD40" s="92"/>
      <c r="BE40" s="92"/>
      <c r="BF40" s="92"/>
      <c r="BG40" s="92"/>
      <c r="BH40" s="88"/>
      <c r="BI40" s="88"/>
      <c r="BJ40" s="88"/>
      <c r="BK40" s="88"/>
      <c r="BL40" s="88"/>
      <c r="BM40" s="88"/>
      <c r="BN40" s="88"/>
      <c r="BO40" s="909"/>
      <c r="BP40" s="910"/>
      <c r="BQ40" s="910"/>
      <c r="BR40" s="910"/>
      <c r="BS40" s="910"/>
      <c r="BT40" s="910"/>
      <c r="BU40" s="911"/>
    </row>
    <row r="41" spans="2:73" ht="18.75" customHeight="1" thickBot="1" x14ac:dyDescent="0.25">
      <c r="B41" s="925" t="str">
        <f>IF(ISERROR(AR46),"",TEXT(AR45,"0.0%"))</f>
        <v>95.3%</v>
      </c>
      <c r="C41" s="926"/>
      <c r="D41" s="927"/>
      <c r="E41" s="182" t="str">
        <f>IF(AU41=0,"N/A",CONCATENATE(TEXT(AV45,"0.0%")," of ",TEXT(AV44,"0.0%")))</f>
        <v>5.0% of 5.0%</v>
      </c>
      <c r="F41" s="929" t="str">
        <f>IF((graded_aca_events+graded_amn_events)&lt;1,"---",IF(AND(AW4,AX4),"INCOMPLETE",IF(AND(NOT(AW4),AX4),"ACA INC",IF(AND(AW4,NOT(AX4)),"AMN INC","COMPLETE"))))</f>
        <v>COMPLETE</v>
      </c>
      <c r="G41" s="929"/>
      <c r="H41" s="929" t="str">
        <f>IF(AU4,IF(OR(AY4="UNK",NOT(AN6)),"---",IF(AY4,"UNSAT",IF(AVERAGEIFS(AT8:AT39,AS8:AS39,"&gt;0")&lt;0.9,"MARG","SAT"))),"N/A")</f>
        <v>SAT</v>
      </c>
      <c r="I41" s="929"/>
      <c r="J41" s="930" t="str">
        <f>IF(OR(AZ4="UNK",NOT(AM6)),"---",IF(OR(AZ4,AR45&lt;0.7),"FAIL","PASS"))</f>
        <v>PASS</v>
      </c>
      <c r="K41" s="931"/>
      <c r="L41" s="868" t="s">
        <v>1041</v>
      </c>
      <c r="M41" s="932"/>
      <c r="N41" s="932"/>
      <c r="O41" s="933" t="s">
        <v>265</v>
      </c>
      <c r="P41" s="933"/>
      <c r="Q41" s="933" t="s">
        <v>265</v>
      </c>
      <c r="R41" s="934"/>
      <c r="S41" s="183"/>
      <c r="T41" s="99" t="s">
        <v>381</v>
      </c>
      <c r="U41" s="146" t="s">
        <v>382</v>
      </c>
      <c r="V41" s="184"/>
      <c r="W41" s="184"/>
      <c r="X41" s="184"/>
      <c r="Y41" s="184"/>
      <c r="Z41" s="184"/>
      <c r="AA41" s="184"/>
      <c r="AB41" s="184"/>
      <c r="AC41" s="184"/>
      <c r="AD41" s="184"/>
      <c r="AE41" s="184"/>
      <c r="AF41" s="184"/>
      <c r="AG41" s="184"/>
      <c r="AH41" s="184"/>
      <c r="AI41" s="86"/>
      <c r="AJ41" s="85"/>
      <c r="AK41" s="184"/>
      <c r="AL41" s="184"/>
      <c r="AM41" s="184">
        <f>SUM(AM8:AM39)</f>
        <v>13</v>
      </c>
      <c r="AN41" s="184">
        <f>SUM(AN8:AN39)</f>
        <v>5</v>
      </c>
      <c r="AO41" s="99"/>
      <c r="AP41" s="85"/>
      <c r="AQ41" s="185">
        <f>SUMIF(AQ8:AQ39,"&gt;0")</f>
        <v>8</v>
      </c>
      <c r="AR41" s="186">
        <f>IF(AQ41=0,0,SUMPRODUCT($AQ$8:$AQ$39,AR8:AR39)/SUM($AQ$8:$AQ$39))</f>
        <v>0.94062500000000004</v>
      </c>
      <c r="AS41" s="187">
        <f>SUMIF(AS8:AS39,"&gt;0")</f>
        <v>5</v>
      </c>
      <c r="AT41" s="186">
        <f>IF(AS41=0,0,SUMPRODUCT($AS$8:$AS$39,AT8:AT39)/SUM($AS$8:$AS$39))</f>
        <v>1</v>
      </c>
      <c r="AU41" s="187">
        <f>SUM(AU9:AU39)</f>
        <v>1</v>
      </c>
      <c r="AV41" s="186">
        <f>IF(AU41=0,0,SUMPRODUCT($AU$8:$AU$39,AV8:AV39)/SUM($AU$8:$AU$39))</f>
        <v>1</v>
      </c>
      <c r="AW41" s="188"/>
      <c r="AX41" s="188"/>
      <c r="AY41" s="188"/>
      <c r="AZ41" s="188"/>
      <c r="BA41" s="188"/>
      <c r="BB41" s="188"/>
      <c r="BC41" s="88" t="s">
        <v>383</v>
      </c>
      <c r="BD41" s="88" t="s">
        <v>384</v>
      </c>
      <c r="BE41" s="88" t="s">
        <v>385</v>
      </c>
      <c r="BO41" s="909"/>
      <c r="BP41" s="910"/>
      <c r="BQ41" s="910"/>
      <c r="BR41" s="910"/>
      <c r="BS41" s="910"/>
      <c r="BT41" s="910"/>
      <c r="BU41" s="911"/>
    </row>
    <row r="42" spans="2:73" ht="7.5" customHeight="1" thickTop="1" x14ac:dyDescent="0.2">
      <c r="L42" s="928" t="s">
        <v>650</v>
      </c>
      <c r="M42" s="928"/>
      <c r="N42" s="928"/>
      <c r="O42" s="928"/>
      <c r="P42" s="928"/>
      <c r="Q42" s="928"/>
      <c r="R42" s="928"/>
      <c r="AP42" s="184"/>
      <c r="AQ42" s="85"/>
      <c r="AR42" s="85"/>
      <c r="AT42" s="186"/>
      <c r="AU42" s="186"/>
      <c r="AV42" s="186"/>
      <c r="AW42" s="85"/>
      <c r="AX42" s="186"/>
      <c r="BO42" s="912"/>
      <c r="BP42" s="913"/>
      <c r="BQ42" s="913"/>
      <c r="BR42" s="913"/>
      <c r="BS42" s="913"/>
      <c r="BT42" s="913"/>
      <c r="BU42" s="914"/>
    </row>
    <row r="43" spans="2:73" ht="30.75" customHeight="1" x14ac:dyDescent="0.2">
      <c r="T43" s="189" t="s">
        <v>386</v>
      </c>
      <c r="U43" s="146" t="b">
        <v>0</v>
      </c>
      <c r="AI43" s="89">
        <f ca="1">SUMIF(AJ8:$AJ$39,"=" &amp; AJ8,AI9:$AI$39)</f>
        <v>0.2</v>
      </c>
      <c r="AO43" s="190"/>
      <c r="AS43" s="118" t="s">
        <v>387</v>
      </c>
      <c r="AT43" s="191">
        <f>SUMIF(X8:X39,"&gt;0")/SUMIF(W8:W39,"&gt;0")</f>
        <v>0.625</v>
      </c>
      <c r="AU43" s="118" t="s">
        <v>388</v>
      </c>
      <c r="AV43" s="192">
        <f>SUMIF(AU8:AU39,"&gt;0")/SUMIF(AQ8:AQ39,"&gt;0")</f>
        <v>0.125</v>
      </c>
      <c r="AW43" s="193"/>
      <c r="BE43" s="88" t="b">
        <f>AND(ISBLANK($K30),J30&gt;0)</f>
        <v>0</v>
      </c>
      <c r="BO43" s="88"/>
      <c r="BP43" s="88"/>
      <c r="BQ43" s="90"/>
    </row>
    <row r="44" spans="2:73" ht="30.75" customHeight="1" x14ac:dyDescent="0.2">
      <c r="J44" s="194"/>
      <c r="T44" s="195" t="s">
        <v>389</v>
      </c>
      <c r="U44" s="88" t="b">
        <f>IF(AND(Flight?,OR(AW4,AY4,BA4,AZ4,AR45&lt;0.7,H41="MARG")),TRUE,FALSE)</f>
        <v>0</v>
      </c>
      <c r="AO44" s="196"/>
      <c r="AQ44" s="118" t="s">
        <v>390</v>
      </c>
      <c r="AR44" s="191">
        <f>1-AT44</f>
        <v>0.8</v>
      </c>
      <c r="AS44" s="118" t="s">
        <v>391</v>
      </c>
      <c r="AT44" s="191">
        <f>MIN(AT43,AT6)</f>
        <v>0.2</v>
      </c>
      <c r="AU44" s="118" t="s">
        <v>392</v>
      </c>
      <c r="AV44" s="89">
        <f>MIN(AV43,AV6)</f>
        <v>0.05</v>
      </c>
      <c r="BO44" s="88"/>
      <c r="BP44" s="88"/>
      <c r="BQ44" s="90"/>
    </row>
    <row r="45" spans="2:73" ht="25.5" x14ac:dyDescent="0.2">
      <c r="T45" s="195" t="s">
        <v>393</v>
      </c>
      <c r="U45" s="88" t="b">
        <f>IF(OR(AX4,AY4,AZ4,BB4,AR45&lt;0.7),TRUE,FALSE)</f>
        <v>0</v>
      </c>
      <c r="AO45" s="197"/>
      <c r="AQ45" s="118" t="s">
        <v>394</v>
      </c>
      <c r="AR45" s="89">
        <f>AR41*(1-AT44)+(AT41*AT44)</f>
        <v>0.95250000000000012</v>
      </c>
      <c r="AU45" s="88" t="s">
        <v>324</v>
      </c>
      <c r="AV45" s="89">
        <f>AV41*AV44</f>
        <v>0.05</v>
      </c>
      <c r="BO45" s="88"/>
      <c r="BP45" s="88"/>
      <c r="BQ45" s="90"/>
    </row>
    <row r="46" spans="2:73" ht="25.5" x14ac:dyDescent="0.2">
      <c r="T46" s="195" t="s">
        <v>395</v>
      </c>
      <c r="U46" s="88" t="b">
        <v>0</v>
      </c>
      <c r="AO46" s="197"/>
      <c r="AQ46" s="118" t="s">
        <v>396</v>
      </c>
      <c r="AR46" s="89">
        <f>MIN(1,IF(NOT(OR(AY4,AZ4)),AR45+AV45,MIN(0.69,AR45+AV45)))</f>
        <v>1</v>
      </c>
      <c r="BO46" s="88"/>
      <c r="BP46" s="88"/>
      <c r="BQ46" s="90"/>
    </row>
    <row r="47" spans="2:73" x14ac:dyDescent="0.2">
      <c r="T47" s="195" t="s">
        <v>397</v>
      </c>
      <c r="U47" s="88" t="b">
        <f>IF(NOT(Flight?),TRUE,NOT(OR(ISBLANK(comments),ISBLANK(hdr_class),ISBLANK(hdr_date),ISBLANK(hdr_stud),ISBLANK(hdr_instr),ISBLANK(hdr_acft),ISBLANK(hdr_time),F41="---")))</f>
        <v>1</v>
      </c>
      <c r="AO47" s="197"/>
      <c r="AR47" s="118"/>
      <c r="AS47" s="89"/>
    </row>
    <row r="48" spans="2:73" x14ac:dyDescent="0.2">
      <c r="T48" s="195" t="s">
        <v>398</v>
      </c>
      <c r="U48" s="88" t="b">
        <f>IF(Flight?,TRUE,NOT(OR(ISBLANK(comments),ISBLANK(hdr_class),ISBLANK(hdr_date),ISBLANK(hdr_stud),ISBLANK(hdr_instr),F41="---")))</f>
        <v>1</v>
      </c>
      <c r="AO48" s="196"/>
      <c r="AP48" s="85" t="s">
        <v>399</v>
      </c>
      <c r="AQ48" s="85"/>
      <c r="AR48" s="85"/>
      <c r="AS48" s="85"/>
      <c r="AT48" s="85"/>
    </row>
    <row r="49" spans="20:50" x14ac:dyDescent="0.2">
      <c r="T49" s="195" t="s">
        <v>400</v>
      </c>
      <c r="U49" s="88" t="b">
        <f>AND(U47:U48)</f>
        <v>1</v>
      </c>
      <c r="AO49" s="196"/>
      <c r="AP49" s="85"/>
      <c r="AQ49" s="85"/>
      <c r="AR49" s="85">
        <v>0</v>
      </c>
      <c r="AS49" s="85">
        <v>1</v>
      </c>
      <c r="AT49" s="85">
        <v>2</v>
      </c>
      <c r="AU49" s="85">
        <v>3</v>
      </c>
      <c r="AV49" s="85">
        <v>4</v>
      </c>
    </row>
    <row r="50" spans="20:50" x14ac:dyDescent="0.2">
      <c r="AO50" s="196"/>
      <c r="AP50" s="85" t="s">
        <v>359</v>
      </c>
      <c r="AQ50" s="85">
        <v>1</v>
      </c>
      <c r="AR50" s="198">
        <v>0.7</v>
      </c>
      <c r="AS50" s="198">
        <v>0.9</v>
      </c>
      <c r="AT50" s="198">
        <v>0.93330000000000002</v>
      </c>
      <c r="AU50" s="198">
        <v>0.9667</v>
      </c>
      <c r="AV50" s="198">
        <v>1</v>
      </c>
    </row>
    <row r="51" spans="20:50" x14ac:dyDescent="0.2">
      <c r="AO51" s="196"/>
      <c r="AP51" s="85" t="s">
        <v>360</v>
      </c>
      <c r="AQ51" s="85">
        <v>2</v>
      </c>
      <c r="AR51" s="198">
        <v>0.7</v>
      </c>
      <c r="AS51" s="198">
        <v>0.8</v>
      </c>
      <c r="AT51" s="198">
        <v>0.9</v>
      </c>
      <c r="AU51" s="198">
        <v>0.95</v>
      </c>
      <c r="AV51" s="198">
        <v>1</v>
      </c>
    </row>
    <row r="52" spans="20:50" x14ac:dyDescent="0.2">
      <c r="AO52" s="196"/>
      <c r="AP52" s="85" t="s">
        <v>361</v>
      </c>
      <c r="AQ52" s="85">
        <v>3</v>
      </c>
      <c r="AR52" s="198">
        <v>0.7</v>
      </c>
      <c r="AS52" s="198">
        <v>0.76670000000000005</v>
      </c>
      <c r="AT52" s="198">
        <v>0.83330000000000004</v>
      </c>
      <c r="AU52" s="198">
        <v>0.9</v>
      </c>
      <c r="AV52" s="198">
        <v>1</v>
      </c>
    </row>
    <row r="53" spans="20:50" x14ac:dyDescent="0.2">
      <c r="AP53" s="199" t="s">
        <v>362</v>
      </c>
      <c r="AQ53" s="85">
        <v>11</v>
      </c>
      <c r="AR53" s="198">
        <v>0.6</v>
      </c>
      <c r="AS53" s="198">
        <v>0.9</v>
      </c>
      <c r="AT53" s="198">
        <v>0.93330000000000002</v>
      </c>
      <c r="AU53" s="198">
        <v>0.9667</v>
      </c>
      <c r="AV53" s="198">
        <v>1</v>
      </c>
    </row>
    <row r="54" spans="20:50" x14ac:dyDescent="0.2">
      <c r="AP54" s="199" t="s">
        <v>363</v>
      </c>
      <c r="AQ54" s="85">
        <v>12</v>
      </c>
      <c r="AR54" s="198">
        <v>0.6</v>
      </c>
      <c r="AS54" s="198">
        <v>0.7</v>
      </c>
      <c r="AT54" s="198">
        <v>0.9</v>
      </c>
      <c r="AU54" s="198">
        <v>0.95</v>
      </c>
      <c r="AV54" s="198">
        <v>1</v>
      </c>
    </row>
    <row r="55" spans="20:50" x14ac:dyDescent="0.2">
      <c r="AP55" s="199" t="s">
        <v>364</v>
      </c>
      <c r="AQ55" s="85">
        <v>13</v>
      </c>
      <c r="AR55" s="198">
        <v>0.6</v>
      </c>
      <c r="AS55" s="198">
        <v>0.7</v>
      </c>
      <c r="AT55" s="198">
        <v>0.8</v>
      </c>
      <c r="AU55" s="198">
        <v>0.9</v>
      </c>
      <c r="AV55" s="198">
        <v>1</v>
      </c>
    </row>
    <row r="56" spans="20:50" x14ac:dyDescent="0.2">
      <c r="AP56" s="199" t="s">
        <v>365</v>
      </c>
      <c r="AQ56" s="85">
        <v>22</v>
      </c>
      <c r="AR56" s="198">
        <v>0.3</v>
      </c>
      <c r="AS56" s="198">
        <v>0.6</v>
      </c>
      <c r="AT56" s="198">
        <v>0.9</v>
      </c>
      <c r="AU56" s="198">
        <v>0.95</v>
      </c>
      <c r="AV56" s="198">
        <v>1</v>
      </c>
    </row>
    <row r="57" spans="20:50" x14ac:dyDescent="0.2">
      <c r="AP57" s="199" t="s">
        <v>366</v>
      </c>
      <c r="AQ57" s="85">
        <v>23</v>
      </c>
      <c r="AR57" s="198">
        <v>0.3</v>
      </c>
      <c r="AS57" s="198">
        <v>0.6</v>
      </c>
      <c r="AT57" s="198">
        <v>0.7</v>
      </c>
      <c r="AU57" s="198">
        <v>0.9</v>
      </c>
      <c r="AV57" s="198">
        <v>1</v>
      </c>
    </row>
    <row r="58" spans="20:50" x14ac:dyDescent="0.2">
      <c r="AP58" s="199" t="s">
        <v>367</v>
      </c>
      <c r="AQ58" s="85">
        <v>33</v>
      </c>
      <c r="AR58" s="198">
        <v>0</v>
      </c>
      <c r="AS58" s="198">
        <v>0.3</v>
      </c>
      <c r="AT58" s="198">
        <v>0.6</v>
      </c>
      <c r="AU58" s="198">
        <v>0.9</v>
      </c>
      <c r="AV58" s="198">
        <v>1</v>
      </c>
      <c r="AW58" s="85"/>
    </row>
    <row r="60" spans="20:50" x14ac:dyDescent="0.2">
      <c r="AQ60" s="85"/>
      <c r="AW60" s="85"/>
      <c r="AX60" s="85"/>
    </row>
    <row r="61" spans="20:50" x14ac:dyDescent="0.2">
      <c r="AP61" s="200"/>
      <c r="AQ61" s="85"/>
      <c r="AW61" s="85"/>
      <c r="AX61" s="85"/>
    </row>
    <row r="62" spans="20:50" x14ac:dyDescent="0.2">
      <c r="AP62" s="85"/>
      <c r="AQ62" s="85"/>
      <c r="AW62" s="85"/>
      <c r="AX62" s="85"/>
    </row>
    <row r="63" spans="20:50" x14ac:dyDescent="0.2">
      <c r="AP63" s="85"/>
      <c r="AQ63" s="85"/>
      <c r="AW63" s="85"/>
    </row>
    <row r="64" spans="20:50" x14ac:dyDescent="0.2">
      <c r="AP64" s="85"/>
      <c r="AQ64" s="85"/>
      <c r="AW64" s="85"/>
    </row>
    <row r="65" spans="42:43" x14ac:dyDescent="0.2">
      <c r="AP65" s="85"/>
      <c r="AQ65" s="85"/>
    </row>
    <row r="66" spans="42:43" x14ac:dyDescent="0.2">
      <c r="AP66" s="85"/>
      <c r="AQ66" s="85"/>
    </row>
  </sheetData>
  <sheetProtection algorithmName="SHA-512" hashValue="JBiip9tRnn+5ly5lsDFv68MlhaN8VDVkV/kNp+XOx6TtSNGWLuWKLhOUrvv1WtdNgzPwVu6YCF7EkJYvsCE+kA==" saltValue="CZgMC0lbNp2s4MyTCz7YmQ==" spinCount="100000" sheet="1" objects="1" scenarios="1"/>
  <mergeCells count="76">
    <mergeCell ref="B3:G3"/>
    <mergeCell ref="H3:N3"/>
    <mergeCell ref="O3:P3"/>
    <mergeCell ref="Q3:R3"/>
    <mergeCell ref="BP3:BU4"/>
    <mergeCell ref="BL4:BN6"/>
    <mergeCell ref="B5:E5"/>
    <mergeCell ref="F5:G5"/>
    <mergeCell ref="H5:L5"/>
    <mergeCell ref="M5:N5"/>
    <mergeCell ref="O5:P5"/>
    <mergeCell ref="Q5:R5"/>
    <mergeCell ref="B6:E6"/>
    <mergeCell ref="F6:G6"/>
    <mergeCell ref="H6:L6"/>
    <mergeCell ref="B4:G4"/>
    <mergeCell ref="H4:N4"/>
    <mergeCell ref="O4:P4"/>
    <mergeCell ref="Q4:R4"/>
    <mergeCell ref="BH4:BK6"/>
    <mergeCell ref="C17:F17"/>
    <mergeCell ref="M6:N6"/>
    <mergeCell ref="O6:P6"/>
    <mergeCell ref="Q6:R6"/>
    <mergeCell ref="B7:F7"/>
    <mergeCell ref="L7:R7"/>
    <mergeCell ref="C8:F8"/>
    <mergeCell ref="L8:R39"/>
    <mergeCell ref="C9:F9"/>
    <mergeCell ref="C10:F10"/>
    <mergeCell ref="C11:F11"/>
    <mergeCell ref="C12:F12"/>
    <mergeCell ref="C32:F32"/>
    <mergeCell ref="C33:F33"/>
    <mergeCell ref="C34:F34"/>
    <mergeCell ref="C13:F13"/>
    <mergeCell ref="C14:F14"/>
    <mergeCell ref="C15:F15"/>
    <mergeCell ref="C16:F16"/>
    <mergeCell ref="C31:F31"/>
    <mergeCell ref="C18:F18"/>
    <mergeCell ref="C19:F19"/>
    <mergeCell ref="C30:F30"/>
    <mergeCell ref="BQ19:BU19"/>
    <mergeCell ref="C20:F20"/>
    <mergeCell ref="C21:F21"/>
    <mergeCell ref="BO21:BO29"/>
    <mergeCell ref="C22:F22"/>
    <mergeCell ref="C23:F23"/>
    <mergeCell ref="C24:F24"/>
    <mergeCell ref="C25:F25"/>
    <mergeCell ref="C26:F26"/>
    <mergeCell ref="C27:F27"/>
    <mergeCell ref="C28:F28"/>
    <mergeCell ref="C29:F29"/>
    <mergeCell ref="BO34:BU37"/>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s>
  <conditionalFormatting sqref="B8:F39">
    <cfRule type="expression" dxfId="424" priority="8" stopIfTrue="1">
      <formula>IF($Z8=1,TRUE,FALSE)</formula>
    </cfRule>
    <cfRule type="expression" dxfId="423" priority="9">
      <formula>IF($Z8=2,TRUE,FALSE)</formula>
    </cfRule>
  </conditionalFormatting>
  <conditionalFormatting sqref="C8:F39">
    <cfRule type="expression" dxfId="422" priority="1" stopIfTrue="1">
      <formula>IF($AF8=FALSE,TRUE,FALSE)</formula>
    </cfRule>
  </conditionalFormatting>
  <conditionalFormatting sqref="F5:G6 M5:P6">
    <cfRule type="expression" dxfId="421" priority="4" stopIfTrue="1">
      <formula>NOT($AU$4)</formula>
    </cfRule>
  </conditionalFormatting>
  <conditionalFormatting sqref="F6:G6">
    <cfRule type="cellIs" dxfId="420" priority="3" operator="equal">
      <formula>""</formula>
    </cfRule>
  </conditionalFormatting>
  <conditionalFormatting sqref="G8:K39">
    <cfRule type="expression" dxfId="419" priority="6" stopIfTrue="1">
      <formula>IF($Z8=1,TRUE,FALSE)</formula>
    </cfRule>
    <cfRule type="expression" dxfId="418" priority="7" stopIfTrue="1">
      <formula>IF($Z8=2,TRUE,FALSE)</formula>
    </cfRule>
  </conditionalFormatting>
  <conditionalFormatting sqref="H8:H39">
    <cfRule type="expression" dxfId="417" priority="10" stopIfTrue="1">
      <formula>IF($AB8=0,TRUE,FALSE)</formula>
    </cfRule>
  </conditionalFormatting>
  <conditionalFormatting sqref="H40:I41">
    <cfRule type="expression" dxfId="416" priority="2" stopIfTrue="1">
      <formula>IF($H$41="N/A",TRUE,FALSE)</formula>
    </cfRule>
  </conditionalFormatting>
  <conditionalFormatting sqref="H6:P6 O4:R4 B6 L8 L41 O41 Q41">
    <cfRule type="containsBlanks" dxfId="415" priority="5">
      <formula>LEN(TRIM(B4))=0</formula>
    </cfRule>
  </conditionalFormatting>
  <conditionalFormatting sqref="J8:J39">
    <cfRule type="expression" dxfId="414" priority="14">
      <formula>IF($Z8=1,FALSE,OR($BE8,$BD8))</formula>
    </cfRule>
  </conditionalFormatting>
  <conditionalFormatting sqref="J8:K39 C8:F39">
    <cfRule type="expression" dxfId="413" priority="13">
      <formula>IF($Z8=1,FALSE,OR($AW8,$AX8,$AY8,$AZ8))</formula>
    </cfRule>
  </conditionalFormatting>
  <conditionalFormatting sqref="J8:K39">
    <cfRule type="expression" dxfId="412" priority="11" stopIfTrue="1">
      <formula>IF(ISNA($Z8),TRUE,FALSE)</formula>
    </cfRule>
  </conditionalFormatting>
  <conditionalFormatting sqref="K8:K39">
    <cfRule type="expression" dxfId="411" priority="12">
      <formula>IF(OR($Z8=1,$Z8=2),FALSE,OR($BC8,$BE8,$BF8))</formula>
    </cfRule>
  </conditionalFormatting>
  <dataValidations count="6">
    <dataValidation type="list" allowBlank="1" showInputMessage="1" showErrorMessage="1" sqref="F6:G6" xr:uid="{F8A5AC3B-4E82-4EED-A879-A77B4DA54D6B}">
      <formula1>"No,Yes"</formula1>
    </dataValidation>
    <dataValidation type="list" allowBlank="1" showInputMessage="1" showErrorMessage="1" sqref="J8:J39" xr:uid="{19AA3AB5-2E2B-4223-9053-6C2D9FC25EE5}">
      <formula1>"NA,0,1,2,3,4,5,6,7,8,9,10,11,12,13,14,15"</formula1>
    </dataValidation>
    <dataValidation type="list" allowBlank="1" showInputMessage="1" showErrorMessage="1" sqref="K8:K39" xr:uid="{E90C186C-1734-4A4F-9190-D679D2F799FE}">
      <formula1>"D,0,1,2,3,4"</formula1>
    </dataValidation>
    <dataValidation showInputMessage="1" showErrorMessage="1" sqref="O41:R41" xr:uid="{6FD8FC48-44AC-4DE8-8ACB-4F5FEF2997E2}"/>
    <dataValidation type="decimal" allowBlank="1" showInputMessage="1" showErrorMessage="1" sqref="O6:P6" xr:uid="{F014499A-1B02-45EF-B396-0BFF03926A1B}">
      <formula1>0</formula1>
      <formula2>10</formula2>
    </dataValidation>
    <dataValidation type="date" allowBlank="1" showInputMessage="1" showErrorMessage="1" sqref="Q4:R4" xr:uid="{C41CA8F7-87D2-47FE-A828-5F7F570D346A}">
      <formula1>41151</formula1>
      <formula2>77433</formula2>
    </dataValidation>
  </dataValidations>
  <hyperlinks>
    <hyperlink ref="BP3" location="PF!A1" display="PF phase Summary Page" xr:uid="{9B688DBB-BE9C-4A34-8461-62FA7CFE5867}"/>
  </hyperlinks>
  <pageMargins left="0.5" right="0.5" top="0.75" bottom="0.5" header="0.5" footer="0.5"/>
  <pageSetup orientation="landscape" verticalDpi="599" r:id="rId1"/>
  <headerFooter alignWithMargins="0"/>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A9C09A-24BD-4655-AC8B-5386182839D1}">
  <sheetPr codeName="Sheet17">
    <tabColor rgb="FF00B0F0"/>
    <pageSetUpPr autoPageBreaks="0"/>
  </sheetPr>
  <dimension ref="B1:BU66"/>
  <sheetViews>
    <sheetView showGridLines="0" showRowColHeaders="0" topLeftCell="A2" zoomScaleNormal="100" zoomScaleSheetLayoutView="100" workbookViewId="0">
      <selection activeCell="L8" sqref="L8:R39"/>
    </sheetView>
  </sheetViews>
  <sheetFormatPr defaultColWidth="9.140625" defaultRowHeight="12.75" x14ac:dyDescent="0.2"/>
  <cols>
    <col min="1" max="1" width="1.5703125" style="87" customWidth="1"/>
    <col min="2" max="2" width="3.5703125" style="87" customWidth="1"/>
    <col min="3" max="3" width="5.5703125" style="87" customWidth="1"/>
    <col min="4" max="4" width="9.140625" style="87" customWidth="1"/>
    <col min="5" max="5" width="14" style="87" customWidth="1"/>
    <col min="6" max="6" width="7.85546875" style="87" customWidth="1"/>
    <col min="7" max="11" width="5.140625" style="87" customWidth="1"/>
    <col min="12" max="12" width="21.5703125" style="87" customWidth="1"/>
    <col min="13" max="13" width="6.5703125" style="87" customWidth="1"/>
    <col min="14" max="14" width="12.5703125" style="87" customWidth="1"/>
    <col min="15" max="15" width="7.85546875" style="87" customWidth="1"/>
    <col min="16" max="16" width="2.7109375" style="87" customWidth="1"/>
    <col min="17" max="17" width="4.85546875" style="87" customWidth="1"/>
    <col min="18" max="18" width="7.28515625" style="87" customWidth="1"/>
    <col min="19" max="19" width="1.7109375" style="87" customWidth="1"/>
    <col min="20" max="20" width="19.140625" style="88" hidden="1" customWidth="1"/>
    <col min="21" max="21" width="31.140625" style="88" hidden="1" customWidth="1"/>
    <col min="22" max="22" width="5.140625" style="88" hidden="1" customWidth="1"/>
    <col min="23" max="24" width="6.28515625" style="88" hidden="1" customWidth="1"/>
    <col min="25" max="25" width="8.42578125" style="88" hidden="1" customWidth="1"/>
    <col min="26" max="26" width="7.85546875" style="88" hidden="1" customWidth="1"/>
    <col min="27" max="27" width="10.7109375" style="88" hidden="1" customWidth="1"/>
    <col min="28" max="28" width="8" style="88" hidden="1" customWidth="1"/>
    <col min="29" max="31" width="5.140625" style="88" hidden="1" customWidth="1"/>
    <col min="32" max="34" width="5.85546875" style="88" hidden="1" customWidth="1"/>
    <col min="35" max="35" width="8.5703125" style="89" hidden="1" customWidth="1"/>
    <col min="36" max="36" width="7" style="88" hidden="1" customWidth="1"/>
    <col min="37" max="38" width="5.28515625" style="88" hidden="1" customWidth="1"/>
    <col min="39" max="40" width="7" style="88" hidden="1" customWidth="1"/>
    <col min="41" max="41" width="5.140625" style="88" hidden="1" customWidth="1"/>
    <col min="42" max="42" width="11.28515625" style="88" hidden="1" customWidth="1"/>
    <col min="43" max="43" width="6.42578125" style="88" hidden="1" customWidth="1"/>
    <col min="44" max="44" width="8.28515625" style="88" hidden="1" customWidth="1"/>
    <col min="45" max="45" width="8.85546875" style="88" hidden="1" customWidth="1"/>
    <col min="46" max="46" width="10.7109375" style="88" hidden="1" customWidth="1"/>
    <col min="47" max="47" width="8.85546875" style="88" hidden="1" customWidth="1"/>
    <col min="48" max="48" width="6.28515625" style="88" hidden="1" customWidth="1"/>
    <col min="49" max="49" width="10" style="88" hidden="1" customWidth="1"/>
    <col min="50" max="50" width="7.5703125" style="88" hidden="1" customWidth="1"/>
    <col min="51" max="51" width="7" style="88" hidden="1" customWidth="1"/>
    <col min="52" max="52" width="8.140625" style="88" hidden="1" customWidth="1"/>
    <col min="53" max="53" width="12.5703125" style="88" hidden="1" customWidth="1"/>
    <col min="54" max="54" width="7.7109375" style="88" hidden="1" customWidth="1"/>
    <col min="55" max="55" width="12.7109375" style="88" hidden="1" customWidth="1"/>
    <col min="56" max="56" width="7" style="88" hidden="1" customWidth="1"/>
    <col min="57" max="57" width="15.5703125" style="88" hidden="1" customWidth="1"/>
    <col min="58" max="58" width="9.140625" style="88" hidden="1" customWidth="1"/>
    <col min="59" max="59" width="10" style="88" hidden="1" customWidth="1"/>
    <col min="60" max="60" width="5.28515625" style="88" hidden="1" customWidth="1"/>
    <col min="61" max="61" width="4" style="88" hidden="1" customWidth="1"/>
    <col min="62" max="62" width="4.7109375" style="88" hidden="1" customWidth="1"/>
    <col min="63" max="63" width="5.5703125" style="88" hidden="1" customWidth="1"/>
    <col min="64" max="64" width="5.28515625" style="88" hidden="1" customWidth="1"/>
    <col min="65" max="65" width="4" style="88" hidden="1" customWidth="1"/>
    <col min="66" max="66" width="5.5703125" style="88" hidden="1" customWidth="1"/>
    <col min="67" max="67" width="5.140625" style="90" customWidth="1"/>
    <col min="68" max="73" width="5.140625" style="87" customWidth="1"/>
    <col min="74" max="16384" width="9.140625" style="87"/>
  </cols>
  <sheetData>
    <row r="1" spans="2:73" s="84" customFormat="1" ht="12" hidden="1" x14ac:dyDescent="0.2">
      <c r="T1" s="85"/>
      <c r="U1" s="85"/>
      <c r="V1" s="85"/>
      <c r="W1" s="85"/>
      <c r="X1" s="85"/>
      <c r="Y1" s="85"/>
      <c r="Z1" s="85"/>
      <c r="AA1" s="85"/>
      <c r="AB1" s="85"/>
      <c r="AC1" s="85"/>
      <c r="AD1" s="85"/>
      <c r="AE1" s="85"/>
      <c r="AF1" s="85"/>
      <c r="AG1" s="85"/>
      <c r="AH1" s="85"/>
      <c r="AI1" s="86"/>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row>
    <row r="2" spans="2:73" ht="13.5" thickBot="1" x14ac:dyDescent="0.25"/>
    <row r="3" spans="2:73" ht="13.5" customHeight="1" thickTop="1" x14ac:dyDescent="0.2">
      <c r="B3" s="967" t="s">
        <v>267</v>
      </c>
      <c r="C3" s="968"/>
      <c r="D3" s="968"/>
      <c r="E3" s="968"/>
      <c r="F3" s="968"/>
      <c r="G3" s="969"/>
      <c r="H3" s="970" t="s">
        <v>651</v>
      </c>
      <c r="I3" s="971"/>
      <c r="J3" s="971"/>
      <c r="K3" s="971"/>
      <c r="L3" s="971"/>
      <c r="M3" s="971"/>
      <c r="N3" s="972"/>
      <c r="O3" s="973" t="s">
        <v>269</v>
      </c>
      <c r="P3" s="974"/>
      <c r="Q3" s="973" t="s">
        <v>270</v>
      </c>
      <c r="R3" s="975"/>
      <c r="S3" s="91"/>
      <c r="T3" s="92"/>
      <c r="U3" s="92"/>
      <c r="V3" s="92"/>
      <c r="W3" s="92"/>
      <c r="X3" s="92"/>
      <c r="Y3" s="92"/>
      <c r="Z3" s="92"/>
      <c r="AA3" s="92"/>
      <c r="AB3" s="92"/>
      <c r="AC3" s="92"/>
      <c r="AD3" s="92"/>
      <c r="AE3" s="92"/>
      <c r="AF3" s="92"/>
      <c r="AG3" s="92"/>
      <c r="AH3" s="92"/>
      <c r="AI3" s="93"/>
      <c r="AJ3" s="92"/>
      <c r="AK3" s="92"/>
      <c r="AL3" s="92"/>
      <c r="AM3" s="92"/>
      <c r="AN3" s="92"/>
      <c r="AO3" s="92"/>
      <c r="AP3" s="92"/>
      <c r="AQ3" s="85"/>
      <c r="AR3" s="85"/>
      <c r="AW3" s="88" t="s">
        <v>271</v>
      </c>
      <c r="AX3" s="88" t="s">
        <v>272</v>
      </c>
      <c r="AY3" s="88" t="s">
        <v>273</v>
      </c>
      <c r="AZ3" s="88" t="s">
        <v>274</v>
      </c>
      <c r="BA3" s="88" t="s">
        <v>275</v>
      </c>
      <c r="BB3" s="88" t="s">
        <v>276</v>
      </c>
      <c r="BP3" s="1032" t="s">
        <v>842</v>
      </c>
      <c r="BQ3" s="1032"/>
      <c r="BR3" s="1032"/>
      <c r="BS3" s="1032"/>
      <c r="BT3" s="1032"/>
      <c r="BU3" s="1032"/>
    </row>
    <row r="4" spans="2:73" s="94" customFormat="1" ht="15.75" customHeight="1" x14ac:dyDescent="0.3">
      <c r="B4" s="994" t="s">
        <v>277</v>
      </c>
      <c r="C4" s="995"/>
      <c r="D4" s="995"/>
      <c r="E4" s="995"/>
      <c r="F4" s="995"/>
      <c r="G4" s="996"/>
      <c r="H4" s="937" t="s">
        <v>762</v>
      </c>
      <c r="I4" s="938"/>
      <c r="J4" s="938"/>
      <c r="K4" s="938"/>
      <c r="L4" s="938"/>
      <c r="M4" s="938"/>
      <c r="N4" s="939"/>
      <c r="O4" s="997" t="s">
        <v>1029</v>
      </c>
      <c r="P4" s="998"/>
      <c r="Q4" s="999">
        <v>46147</v>
      </c>
      <c r="R4" s="1000"/>
      <c r="S4" s="95"/>
      <c r="T4" s="96"/>
      <c r="U4" s="96"/>
      <c r="V4" s="96"/>
      <c r="W4" s="96"/>
      <c r="X4" s="96"/>
      <c r="Y4" s="96"/>
      <c r="Z4" s="96"/>
      <c r="AA4" s="96"/>
      <c r="AB4" s="96"/>
      <c r="AC4" s="96"/>
      <c r="AD4" s="96"/>
      <c r="AE4" s="96"/>
      <c r="AF4" s="96"/>
      <c r="AG4" s="96"/>
      <c r="AH4" s="96"/>
      <c r="AI4" s="97"/>
      <c r="AJ4" s="96"/>
      <c r="AK4" s="96"/>
      <c r="AL4" s="96"/>
      <c r="AM4" s="96"/>
      <c r="AN4" s="96"/>
      <c r="AO4" s="96"/>
      <c r="AP4" s="96"/>
      <c r="AQ4" s="98"/>
      <c r="AR4" s="98"/>
      <c r="AS4" s="99"/>
      <c r="AT4" s="100" t="s">
        <v>278</v>
      </c>
      <c r="AU4" s="101" t="b">
        <v>1</v>
      </c>
      <c r="AV4" s="99">
        <v>5</v>
      </c>
      <c r="AW4" s="99" t="b">
        <f>IF(ISERR(OR(AW8:AW39)),"UNK",IF(AND(graded_aca_events&gt;=1,input_test),FALSE,OR(AW8:AW39)))</f>
        <v>0</v>
      </c>
      <c r="AX4" s="99" t="b">
        <f>IF(ISERR(OR(AX8:AX39)),"UNK",IF(AND(graded_aca_events&gt;=1,input_test),FALSE,OR(AX8:AX39)))</f>
        <v>0</v>
      </c>
      <c r="AY4" s="99" t="b">
        <f>IF(ISERR(OR(AY8:AY39)),"UNK",OR(AY8:AY39))</f>
        <v>0</v>
      </c>
      <c r="AZ4" s="99" t="b">
        <f>IF(ISERR(OR(AZ8:AZ39)),"UNK",OR(AZ8:AZ39))</f>
        <v>0</v>
      </c>
      <c r="BA4" s="99" t="b">
        <f>IF(ISERR(OR(BA8:BA39)),"UNK",OR(BA8:BA39))</f>
        <v>0</v>
      </c>
      <c r="BB4" s="99" t="b">
        <f>IF(ISERR(OR(BB8:BB39)),"UNK",OR(BB8:BB39))</f>
        <v>0</v>
      </c>
      <c r="BC4" s="102" t="b">
        <f>OR(BC8:BC39)</f>
        <v>0</v>
      </c>
      <c r="BD4" s="102" t="b">
        <f>OR(BD8:BD39)</f>
        <v>0</v>
      </c>
      <c r="BE4" s="102" t="b">
        <f>OR(BE8:BE39)</f>
        <v>0</v>
      </c>
      <c r="BF4" s="102"/>
      <c r="BG4" s="99"/>
      <c r="BH4" s="944" t="s">
        <v>279</v>
      </c>
      <c r="BI4" s="944"/>
      <c r="BJ4" s="944"/>
      <c r="BK4" s="944"/>
      <c r="BL4" s="977" t="s">
        <v>280</v>
      </c>
      <c r="BM4" s="977"/>
      <c r="BN4" s="977"/>
      <c r="BO4" s="483"/>
      <c r="BP4" s="1032"/>
      <c r="BQ4" s="1032"/>
      <c r="BR4" s="1032"/>
      <c r="BS4" s="1032"/>
      <c r="BT4" s="1032"/>
      <c r="BU4" s="1032"/>
    </row>
    <row r="5" spans="2:73" s="91" customFormat="1" ht="7.5" customHeight="1" x14ac:dyDescent="0.25">
      <c r="B5" s="978" t="s">
        <v>281</v>
      </c>
      <c r="C5" s="979"/>
      <c r="D5" s="979"/>
      <c r="E5" s="980"/>
      <c r="F5" s="981" t="s">
        <v>282</v>
      </c>
      <c r="G5" s="980"/>
      <c r="H5" s="981" t="s">
        <v>283</v>
      </c>
      <c r="I5" s="979"/>
      <c r="J5" s="979"/>
      <c r="K5" s="979"/>
      <c r="L5" s="980"/>
      <c r="M5" s="982" t="s">
        <v>284</v>
      </c>
      <c r="N5" s="983"/>
      <c r="O5" s="984" t="s">
        <v>285</v>
      </c>
      <c r="P5" s="985"/>
      <c r="Q5" s="981" t="str">
        <f>IF(AU41=0,"GRADE","GRADE (inc. bonus)")</f>
        <v>GRADE</v>
      </c>
      <c r="R5" s="986"/>
      <c r="T5" s="92"/>
      <c r="U5" s="92"/>
      <c r="V5" s="92"/>
      <c r="W5" s="92"/>
      <c r="X5" s="92"/>
      <c r="Y5" s="92"/>
      <c r="Z5" s="92"/>
      <c r="AA5" s="92"/>
      <c r="AB5" s="92"/>
      <c r="AC5" s="92"/>
      <c r="AD5" s="92"/>
      <c r="AE5" s="92"/>
      <c r="AF5" s="92"/>
      <c r="AG5" s="92"/>
      <c r="AH5" s="92"/>
      <c r="AI5" s="93"/>
      <c r="AJ5" s="92"/>
      <c r="AK5" s="92"/>
      <c r="AL5" s="92"/>
      <c r="AM5" s="92"/>
      <c r="AN5" s="92"/>
      <c r="AO5" s="92"/>
      <c r="AP5" s="92"/>
      <c r="AQ5" s="92"/>
      <c r="AR5" s="92"/>
      <c r="AS5" s="92"/>
      <c r="AT5" s="92"/>
      <c r="AU5" s="92"/>
      <c r="AV5" s="92"/>
      <c r="AW5" s="92"/>
      <c r="AX5" s="92"/>
      <c r="AY5" s="92"/>
      <c r="AZ5" s="92"/>
      <c r="BA5" s="92"/>
      <c r="BB5" s="92"/>
      <c r="BC5" s="92"/>
      <c r="BD5" s="92"/>
      <c r="BE5" s="92"/>
      <c r="BF5" s="92"/>
      <c r="BG5" s="92"/>
      <c r="BH5" s="944"/>
      <c r="BI5" s="944"/>
      <c r="BJ5" s="944"/>
      <c r="BK5" s="944"/>
      <c r="BL5" s="977"/>
      <c r="BM5" s="977"/>
      <c r="BN5" s="977"/>
      <c r="BO5" s="103"/>
    </row>
    <row r="6" spans="2:73" s="94" customFormat="1" ht="15.75" customHeight="1" thickBot="1" x14ac:dyDescent="0.25">
      <c r="B6" s="1001" t="s">
        <v>1026</v>
      </c>
      <c r="C6" s="1002"/>
      <c r="D6" s="1002"/>
      <c r="E6" s="1003"/>
      <c r="F6" s="1004" t="s">
        <v>286</v>
      </c>
      <c r="G6" s="1005"/>
      <c r="H6" s="1006" t="s">
        <v>1045</v>
      </c>
      <c r="I6" s="1007"/>
      <c r="J6" s="1007"/>
      <c r="K6" s="1007"/>
      <c r="L6" s="1005"/>
      <c r="M6" s="1008" t="s">
        <v>805</v>
      </c>
      <c r="N6" s="1009"/>
      <c r="O6" s="1010">
        <v>1.1000000000000001</v>
      </c>
      <c r="P6" s="1011"/>
      <c r="Q6" s="949">
        <f>IF((graded_aca_events+graded_amn_events)&lt;1,"0",IF(ISERROR(AR46),"",IF(F41&lt;&gt;"COMPLETE","INCOMPLETE",AR46)))</f>
        <v>0.96500000000000008</v>
      </c>
      <c r="R6" s="950"/>
      <c r="S6" s="87"/>
      <c r="T6" s="99"/>
      <c r="U6" s="99">
        <v>2</v>
      </c>
      <c r="V6" s="99">
        <v>3</v>
      </c>
      <c r="W6" s="99">
        <v>6</v>
      </c>
      <c r="X6" s="99">
        <v>7</v>
      </c>
      <c r="Y6" s="99">
        <v>11</v>
      </c>
      <c r="Z6" s="99">
        <v>8</v>
      </c>
      <c r="AA6" s="99">
        <v>9</v>
      </c>
      <c r="AB6" s="99">
        <v>10</v>
      </c>
      <c r="AC6" s="99">
        <v>5</v>
      </c>
      <c r="AD6" s="99">
        <v>4</v>
      </c>
      <c r="AE6" s="99">
        <v>12</v>
      </c>
      <c r="AF6" s="99">
        <v>13</v>
      </c>
      <c r="AG6" s="99"/>
      <c r="AH6" s="99"/>
      <c r="AI6" s="104"/>
      <c r="AJ6" s="105"/>
      <c r="AK6" s="105"/>
      <c r="AL6" s="105"/>
      <c r="AM6" s="105" t="b">
        <f>IF(COUNT(AM8:AM39)&gt;0,TRUE,FALSE)</f>
        <v>1</v>
      </c>
      <c r="AN6" s="105" t="b">
        <f>IF(COUNT(AN8:AN39)&gt;0,TRUE,FALSE)</f>
        <v>1</v>
      </c>
      <c r="AO6" s="99"/>
      <c r="AP6" s="99"/>
      <c r="AQ6" s="98"/>
      <c r="AR6" s="98"/>
      <c r="AS6" s="99"/>
      <c r="AT6" s="106">
        <v>0.2</v>
      </c>
      <c r="AU6" s="99"/>
      <c r="AV6" s="107">
        <f>0.01*input_maxb</f>
        <v>0.05</v>
      </c>
      <c r="AW6" s="108" t="s">
        <v>287</v>
      </c>
      <c r="AX6" s="109"/>
      <c r="AY6" s="108" t="s">
        <v>288</v>
      </c>
      <c r="AZ6" s="109"/>
      <c r="BA6" s="110" t="s">
        <v>289</v>
      </c>
      <c r="BB6" s="110"/>
      <c r="BC6" s="108" t="s">
        <v>290</v>
      </c>
      <c r="BD6" s="110"/>
      <c r="BE6" s="111"/>
      <c r="BF6" s="112"/>
      <c r="BG6" s="99" t="s">
        <v>291</v>
      </c>
      <c r="BH6" s="944"/>
      <c r="BI6" s="944"/>
      <c r="BJ6" s="944"/>
      <c r="BK6" s="944"/>
      <c r="BL6" s="977"/>
      <c r="BM6" s="977"/>
      <c r="BN6" s="977"/>
      <c r="BO6" s="90"/>
    </row>
    <row r="7" spans="2:73" ht="27" customHeight="1" thickBot="1" x14ac:dyDescent="0.25">
      <c r="B7" s="951" t="s">
        <v>292</v>
      </c>
      <c r="C7" s="952"/>
      <c r="D7" s="952"/>
      <c r="E7" s="952"/>
      <c r="F7" s="953"/>
      <c r="G7" s="113" t="s">
        <v>293</v>
      </c>
      <c r="H7" s="114" t="s">
        <v>294</v>
      </c>
      <c r="I7" s="115" t="s">
        <v>295</v>
      </c>
      <c r="J7" s="116" t="s">
        <v>296</v>
      </c>
      <c r="K7" s="117" t="s">
        <v>297</v>
      </c>
      <c r="L7" s="954" t="s">
        <v>298</v>
      </c>
      <c r="M7" s="952"/>
      <c r="N7" s="952"/>
      <c r="O7" s="952"/>
      <c r="P7" s="952"/>
      <c r="Q7" s="952"/>
      <c r="R7" s="955"/>
      <c r="T7" s="118" t="s">
        <v>299</v>
      </c>
      <c r="U7" s="118"/>
      <c r="V7" s="118" t="s">
        <v>300</v>
      </c>
      <c r="W7" s="118" t="s">
        <v>301</v>
      </c>
      <c r="X7" s="118" t="s">
        <v>302</v>
      </c>
      <c r="Y7" s="118" t="s">
        <v>303</v>
      </c>
      <c r="Z7" s="118" t="s">
        <v>304</v>
      </c>
      <c r="AA7" s="118" t="s">
        <v>305</v>
      </c>
      <c r="AB7" s="118" t="s">
        <v>306</v>
      </c>
      <c r="AC7" s="118" t="s">
        <v>307</v>
      </c>
      <c r="AD7" s="118" t="s">
        <v>308</v>
      </c>
      <c r="AE7" s="118" t="s">
        <v>309</v>
      </c>
      <c r="AF7" s="118" t="s">
        <v>310</v>
      </c>
      <c r="AG7" s="118" t="s">
        <v>311</v>
      </c>
      <c r="AH7" s="118" t="s">
        <v>312</v>
      </c>
      <c r="AI7" s="119" t="s">
        <v>313</v>
      </c>
      <c r="AJ7" s="120" t="s">
        <v>314</v>
      </c>
      <c r="AK7" s="121" t="s">
        <v>315</v>
      </c>
      <c r="AL7" s="121" t="s">
        <v>316</v>
      </c>
      <c r="AM7" s="121" t="s">
        <v>317</v>
      </c>
      <c r="AN7" s="121" t="s">
        <v>318</v>
      </c>
      <c r="AO7" s="120" t="s">
        <v>319</v>
      </c>
      <c r="AP7" s="120" t="s">
        <v>320</v>
      </c>
      <c r="AQ7" s="122" t="s">
        <v>321</v>
      </c>
      <c r="AR7" s="123" t="s">
        <v>1</v>
      </c>
      <c r="AS7" s="122" t="s">
        <v>322</v>
      </c>
      <c r="AT7" s="123" t="s">
        <v>1</v>
      </c>
      <c r="AU7" s="122" t="s">
        <v>323</v>
      </c>
      <c r="AV7" s="124" t="s">
        <v>324</v>
      </c>
      <c r="AW7" s="125" t="s">
        <v>325</v>
      </c>
      <c r="AX7" s="126" t="s">
        <v>326</v>
      </c>
      <c r="AY7" s="125" t="s">
        <v>327</v>
      </c>
      <c r="AZ7" s="126" t="s">
        <v>328</v>
      </c>
      <c r="BA7" s="127" t="s">
        <v>329</v>
      </c>
      <c r="BB7" s="127" t="s">
        <v>330</v>
      </c>
      <c r="BC7" s="128" t="s">
        <v>331</v>
      </c>
      <c r="BD7" s="129" t="s">
        <v>332</v>
      </c>
      <c r="BE7" s="130" t="s">
        <v>333</v>
      </c>
      <c r="BF7" s="131" t="s">
        <v>334</v>
      </c>
      <c r="BH7" s="88" t="s">
        <v>335</v>
      </c>
      <c r="BI7" s="88" t="s">
        <v>336</v>
      </c>
      <c r="BJ7" s="118" t="s">
        <v>337</v>
      </c>
      <c r="BK7" s="88" t="s">
        <v>338</v>
      </c>
      <c r="BL7" s="88" t="s">
        <v>335</v>
      </c>
      <c r="BM7" s="88" t="s">
        <v>336</v>
      </c>
      <c r="BN7" s="88" t="s">
        <v>338</v>
      </c>
    </row>
    <row r="8" spans="2:73" ht="12.95" customHeight="1" x14ac:dyDescent="0.2">
      <c r="B8" s="132" t="str">
        <f>IF(ISNA(Z8),"",IF(OR(Z8=1,Z8=2),"",1))</f>
        <v/>
      </c>
      <c r="C8" s="956" t="str">
        <f t="shared" ref="C8:C36" si="0">IF(ISNA(Z8),"",CONCATENATE($U8,IF(ISNUMBER(AI8),TEXT(ROUND($AI8,3)," (0.0%)"),""),IF(AU8&gt;0," Bonus","")))</f>
        <v>Airmanship Tasks (20.0%)</v>
      </c>
      <c r="D8" s="956"/>
      <c r="E8" s="956"/>
      <c r="F8" s="957"/>
      <c r="G8" s="133" t="str">
        <f t="shared" ref="G8:G39" si="1">BH8</f>
        <v/>
      </c>
      <c r="H8" s="134" t="str">
        <f t="shared" ref="H8:I39" si="2">BJ8</f>
        <v/>
      </c>
      <c r="I8" s="135" t="str">
        <f t="shared" si="2"/>
        <v/>
      </c>
      <c r="J8" s="136" t="s">
        <v>340</v>
      </c>
      <c r="K8" s="137" t="s">
        <v>340</v>
      </c>
      <c r="L8" s="1012" t="s">
        <v>1046</v>
      </c>
      <c r="M8" s="1013"/>
      <c r="N8" s="1013"/>
      <c r="O8" s="1013"/>
      <c r="P8" s="1013"/>
      <c r="Q8" s="1013"/>
      <c r="R8" s="1014"/>
      <c r="T8" s="88">
        <v>1</v>
      </c>
      <c r="U8" s="88" t="s">
        <v>339</v>
      </c>
      <c r="V8" s="453" t="s">
        <v>340</v>
      </c>
      <c r="W8" s="453" t="s">
        <v>340</v>
      </c>
      <c r="X8" s="453" t="s">
        <v>340</v>
      </c>
      <c r="Y8" s="453" t="s">
        <v>340</v>
      </c>
      <c r="Z8" s="453">
        <v>1</v>
      </c>
      <c r="AA8" s="453">
        <v>0</v>
      </c>
      <c r="AB8" s="453">
        <v>0</v>
      </c>
      <c r="AC8" s="453" t="s">
        <v>340</v>
      </c>
      <c r="AD8" s="453" t="s">
        <v>340</v>
      </c>
      <c r="AE8" s="453">
        <v>0</v>
      </c>
      <c r="AF8" s="453" t="s">
        <v>340</v>
      </c>
      <c r="AG8" s="453" t="str">
        <f t="shared" ref="AG8:AG39" si="3">IF(CrewSoloQual="Yes",$AC8,$AD8)</f>
        <v/>
      </c>
      <c r="AH8" s="453" t="str">
        <f t="shared" ref="AH8:AH39" si="4">IF(ISNUMBER(AC8),IF(CrewSoloQual="Yes",$AC8-1,$AD8-1),"")</f>
        <v/>
      </c>
      <c r="AI8" s="138">
        <f>IF(NOT(OR(Z8=1,Z8=2)),IF(AQ8&gt;0,$AR$44*AQ8/SUMIF($AQ$8:$AQ$39,"&gt;0"),IF(AU8&gt;0,$AV$44*AU8/SUMIF($AU$8:$AU$39,"&gt;0"),IF(AS8&gt;0,$AT$44*AS8/SUMIF($AS$8:$AS$39,"&gt;0"),""))),IF(SUMIF(AJ9:$AJ$39,"=" &amp; AJ8,AI9:$AI$39)=0,"",SUMIF(AJ9:$AJ$39,"=" &amp; AJ8,AI9:$AI$39)))</f>
        <v>0.2</v>
      </c>
      <c r="AJ8" s="139">
        <f>0</f>
        <v>0</v>
      </c>
      <c r="AK8" s="453" t="str">
        <f>BI8</f>
        <v/>
      </c>
      <c r="AL8" s="453" t="str">
        <f>IF(ISBLANK(K8),"",K8)</f>
        <v/>
      </c>
      <c r="AM8" s="453" t="str">
        <f>IF(ISNUMBER(AK8),IF(ISNUMBER(AL8),1,""),"")</f>
        <v/>
      </c>
      <c r="AN8" s="453" t="str">
        <f t="shared" ref="AN8:AN36" si="5">IF(ISNUMBER(AH8),IF(AND(AB8=0,ISNUMBER(AC8),ISNUMBER(AL8)),1,""),"")</f>
        <v/>
      </c>
      <c r="AO8" s="453" t="str">
        <f t="shared" ref="AO8:AO39" si="6">IF(AB8=0,IF(CrewSoloQual="No",BI8,BK8),"")</f>
        <v/>
      </c>
      <c r="AP8" s="453" t="str">
        <f t="shared" ref="AP8:AP39" si="7">IF(ISNA(Z8),"",IF(AND(ISNUMBER(B8),G8&gt;=1,H8&lt;&gt;"NG"),IF(K8&lt;BK8,TRUE,FALSE),IF(AND(G8&gt;=1,J8="NA"),TRUE,IF(AND(AM8=1,G8=0,AL8&lt;BI8),TRUE,""))))</f>
        <v/>
      </c>
      <c r="AQ8" s="140">
        <f>IF(ISNA(Z8),0,IF(OR(J8="NA",W8="",AB8=0),0,W8))</f>
        <v>0</v>
      </c>
      <c r="AR8" s="141" t="str">
        <f t="shared" ref="AR8:AR39" si="8">IF(ISNA(Z8),"",IF(AND(NOT(OR(Z8=1,Z8=2,AK8="NG",AB8=0)),IF(ISNUMBER(AL8),AL8&gt;=0,FALSE)),VLOOKUP((10*AD8+AC8),$AQ$50:$AV$58,2+AL8,FALSE),IF(AND(input_test=TRUE,ISNUMBER(AD8),V8&lt;&gt;0),VLOOKUP((10*AD8+AC8),$AQ$50:$AV$58,2,FALSE),"")))</f>
        <v/>
      </c>
      <c r="AS8" s="142">
        <f>IF(ISNA(Z8),0,IF(OR(J8="NA",X8="",AB8=1),0,X8))</f>
        <v>0</v>
      </c>
      <c r="AT8" s="141" t="str">
        <f t="shared" ref="AT8:AT39" si="9">IF(ISNA(Z8),"",IF(AND(NOT(OR(Z8=1,Z8=2,AK8="NG",AB8=1)),IF(ISNUMBER(AL8),AL8&gt;=0,FALSE)),VLOOKUP((10*AH8+AG8),$AQ$50:$AV$58,2+AL8,FALSE),IF(AND(input_test=TRUE,ISNUMBER(AD8),V8&lt;&gt;0),VLOOKUP((10*AH8+AG8),$AQ$50:$AV$58,2,FALSE),"")))</f>
        <v/>
      </c>
      <c r="AU8" s="143">
        <f t="shared" ref="AU8:AU39" si="10">IF(ISNA(Z8),0,IF(OR(J8="NA",Y8=""),0,Y8))</f>
        <v>0</v>
      </c>
      <c r="AV8" s="144" t="str">
        <f t="shared" ref="AV8:AV39" si="11">AR8</f>
        <v/>
      </c>
      <c r="AW8" s="143" t="b">
        <f t="shared" ref="AW8:AW39" si="12">IF(ISNA(Z8),FALSE,IF(OR(AB8=1,G8=0,Z8=1,Z8=2),FALSE,IF(OR(J8="NA",J8&gt;=G8),FALSE,TRUE)))</f>
        <v>0</v>
      </c>
      <c r="AX8" s="145" t="b">
        <f t="shared" ref="AX8:AX39" si="13">IF(ISNA(Z8),FALSE,IF(OR(AB8=0,G8=0,Z8=1,Z8=2,J8="NA"),FALSE,IF(AK8="NG",IF(NOT(ISBLANK(K8)),FALSE,TRUE),IF(J8&gt;=G8,FALSE,TRUE))))</f>
        <v>0</v>
      </c>
      <c r="AY8" s="143" t="b">
        <f t="shared" ref="AY8:AY39" si="14">IF(ISNA(Z8),FALSE,IF(OR(AB8=1,G8&lt;1,Z8=1,Z8=2,AE8=0,ISBLANK(K8)),FALSE,IF(OR(J8="NA",K8&gt;=BI8),FALSE,TRUE)))</f>
        <v>0</v>
      </c>
      <c r="AZ8" s="145" t="b">
        <f t="shared" ref="AZ8:AZ39" si="15">IF(ISNA(Z8),FALSE,IF(OR(AB8=0,G8=0,Z8=1,Z8=2,AE8=0,BI8="NG",K8="",ISBLANK(K8)),FALSE,IF(OR(J8="NA",K8&gt;=AK8),FALSE,TRUE)))</f>
        <v>0</v>
      </c>
      <c r="BA8" s="453" t="b">
        <f t="shared" ref="BA8:BA39" si="16">IF(ISNA(Z8),FALSE,IF(OR(AB8=1,G8&lt;1,Z8=1,Z8=2,AE8=0),FALSE,IF(J8="NA",TRUE,FALSE)))</f>
        <v>0</v>
      </c>
      <c r="BB8" s="453" t="b">
        <f t="shared" ref="BB8:BB39" si="17">IF(ISNA(Z8),FALSE,IF(OR(AB8=0,G8=0,Z8=1,Z8=2),FALSE,IF(J8="NA",TRUE,FALSE)))</f>
        <v>0</v>
      </c>
      <c r="BC8" s="143" t="b">
        <f t="shared" ref="BC8:BC39" si="18">IF(OR(ISNA($Z8),ISNUMBER($Z8),NOT(ISNUMBER($J8)),K8="D"),FALSE,IF(AND(NOT(ISNUMBER($K8)),J8&gt;0),TRUE,FALSE))</f>
        <v>0</v>
      </c>
      <c r="BD8" s="146" t="b">
        <f>IF(OR(ISNA($Z8),ISNUMBER($Z8),NOT(ISNUMBER(K8))),FALSE,OR(NOT(ISNUMBER(J8)),J8=0,AND(J8=0,K8&lt;&gt;0)))</f>
        <v>0</v>
      </c>
      <c r="BE8" s="145" t="b">
        <f t="shared" ref="BE8:BE21" si="19">IF(OR(ISNA($Z8),K8&lt;&gt;"D"),FALSE,IF(OR(AND(H8="NG",J8=0),AND(H8&lt;&gt;"NG",NOT(OR(J8="NA",J8=0)))),TRUE,FALSE))</f>
        <v>0</v>
      </c>
      <c r="BF8" s="147" t="b">
        <f t="shared" ref="BF8:BF30" si="20">IF(OR(ISNA($Z8),H8&lt;&gt;"NG"),FALSE,IF(AND(J8="NA",K8&lt;&gt;""),TRUE,FALSE))</f>
        <v>0</v>
      </c>
      <c r="BG8" s="453" t="b">
        <f t="shared" ref="BG8:BG21" si="21">IF(ISNA($Z8),"NA",IF(OR(AZ8,AY8,AX8,AW8,AP8,BA8,BB8),TRUE,FALSE))</f>
        <v>0</v>
      </c>
      <c r="BH8" s="148" t="str">
        <f>IF(ISNA($Z8),"",IF(OR($Z8=1,$Z8=2),"",$V8))</f>
        <v/>
      </c>
      <c r="BI8" s="453" t="str">
        <f t="shared" ref="BI8:BI39" si="22">IF(ISNA($Z8),"",IF(OR($Z8=1,$Z8=2,$G8=""),"",IF(AB8=0,AH8,$AD8)))</f>
        <v/>
      </c>
      <c r="BJ8" s="453" t="str">
        <f t="shared" ref="BJ8:BJ39" si="23">IF(ISNA(AE8),"",IF(OR(Z8=1,Z8=2),"",IF(OR(AE8=0,AD8="NG"),TEXT(BI8,"0"),CONCATENATE(TEXT(BI8,"0"),"*"))))</f>
        <v/>
      </c>
      <c r="BK8" s="453" t="str">
        <f t="shared" ref="BK8:BK39" si="24">IF(ISNA($Z8),"",IF(OR($Z8=1,$Z8=2,$G8=""),"",IF(AB8=0,AG8,$AC8)))</f>
        <v/>
      </c>
      <c r="BL8" s="148" t="str">
        <f>IF(ISBLANK(BH8),"",IF(BH8=0,"",BH8))</f>
        <v/>
      </c>
      <c r="BM8" s="453" t="str">
        <f t="shared" ref="BM8:BM39" si="25">IF($BH8=0,"",IF($BI8="NG","D",$BI8))</f>
        <v/>
      </c>
      <c r="BN8" s="453" t="str">
        <f t="shared" ref="BN8:BN39" si="26">IF(ISNA(U8),"",IF($BH8=0,"",IF($BI8="NG","D",BK8)))</f>
        <v/>
      </c>
      <c r="BO8" s="149" t="s">
        <v>341</v>
      </c>
      <c r="BP8" s="150"/>
    </row>
    <row r="9" spans="2:73" s="94" customFormat="1" ht="12.95" customHeight="1" x14ac:dyDescent="0.2">
      <c r="B9" s="151">
        <f>IF(ISNA(Z9),"",IF(OR(Z9=1,Z9=2),"    ",MAX($B$8:B8)+1))</f>
        <v>1</v>
      </c>
      <c r="C9" s="904" t="str">
        <f t="shared" si="0"/>
        <v>Basic Aircraft Procedures (4.0%)</v>
      </c>
      <c r="D9" s="904"/>
      <c r="E9" s="904"/>
      <c r="F9" s="905"/>
      <c r="G9" s="133">
        <f t="shared" si="1"/>
        <v>1</v>
      </c>
      <c r="H9" s="134" t="str">
        <f t="shared" si="2"/>
        <v>2*</v>
      </c>
      <c r="I9" s="152">
        <f t="shared" si="2"/>
        <v>3</v>
      </c>
      <c r="J9" s="153">
        <v>1</v>
      </c>
      <c r="K9" s="154">
        <v>4</v>
      </c>
      <c r="L9" s="1015"/>
      <c r="M9" s="1016"/>
      <c r="N9" s="1016"/>
      <c r="O9" s="1016"/>
      <c r="P9" s="1016"/>
      <c r="Q9" s="1016"/>
      <c r="R9" s="1017"/>
      <c r="T9" s="99">
        <v>2</v>
      </c>
      <c r="U9" s="88" t="s">
        <v>342</v>
      </c>
      <c r="V9" s="453">
        <v>1</v>
      </c>
      <c r="W9" s="453" t="s">
        <v>340</v>
      </c>
      <c r="X9" s="453">
        <v>1</v>
      </c>
      <c r="Y9" s="453" t="s">
        <v>340</v>
      </c>
      <c r="Z9" s="146" t="s">
        <v>340</v>
      </c>
      <c r="AA9" s="146">
        <v>1</v>
      </c>
      <c r="AB9" s="146">
        <v>0</v>
      </c>
      <c r="AC9" s="453">
        <v>3</v>
      </c>
      <c r="AD9" s="453">
        <v>2</v>
      </c>
      <c r="AE9" s="453">
        <v>1</v>
      </c>
      <c r="AF9" s="453" t="b">
        <v>1</v>
      </c>
      <c r="AG9" s="453">
        <f t="shared" si="3"/>
        <v>3</v>
      </c>
      <c r="AH9" s="453">
        <f t="shared" si="4"/>
        <v>2</v>
      </c>
      <c r="AI9" s="138">
        <f>IF(NOT(OR(Z9=1,Z9=2)),IF(AQ9&gt;0,$AR$44*AQ9/SUMIF($AQ$8:$AQ$39,"&gt;0"),IF(AU9&gt;0,$AV$44*AU9/SUMIF($AU$8:$AU$39,"&gt;0"),IF(AS9&gt;0,$AT$44*AS9/SUMIF($AS$8:$AS$39,"&gt;0"),""))),IF(SUMIF(AJ10:$AJ$39,"=" &amp; AJ9,AI10:$AI$39)=0,"",SUMIF(AJ10:$AJ$39,"=" &amp; AJ9,AI10:$AI$39)))</f>
        <v>0.04</v>
      </c>
      <c r="AJ9" s="139">
        <f>IF(OR(Z9=1,Z9=2,AA9&lt;AA8),AJ8+1,AJ8)</f>
        <v>0</v>
      </c>
      <c r="AK9" s="453">
        <f t="shared" ref="AK9:AK39" si="27">BI9</f>
        <v>2</v>
      </c>
      <c r="AL9" s="146">
        <f t="shared" ref="AL9:AL39" si="28">IF(ISBLANK(K9),"",K9)</f>
        <v>4</v>
      </c>
      <c r="AM9" s="146">
        <f>IF(ISNUMBER(AK9),IF(ISNUMBER(AL9),1,""),"")</f>
        <v>1</v>
      </c>
      <c r="AN9" s="146">
        <f t="shared" si="5"/>
        <v>1</v>
      </c>
      <c r="AO9" s="146">
        <f t="shared" si="6"/>
        <v>3</v>
      </c>
      <c r="AP9" s="453" t="b">
        <f>IF(ISNA(Z9),"",IF(AND(ISNUMBER(B9),G9&gt;=1,H9&lt;&gt;"NG"),IF(K9&lt;BK9,TRUE,FALSE),IF(AND(G9&gt;=1,J9="NA"),TRUE,IF(AND(AM9=1,G9=0,AL9&lt;BI9),TRUE,""))))</f>
        <v>0</v>
      </c>
      <c r="AQ9" s="140">
        <f t="shared" ref="AQ9:AQ39" si="29">IF(ISNA(Z9),0,IF(OR(J9="NA",W9="",AB9=0),0,W9))</f>
        <v>0</v>
      </c>
      <c r="AR9" s="141" t="str">
        <f>IF(ISNA(Z9),"",IF(AND(NOT(OR(Z9=1,Z9=2,AK9="NG",AB9=0)),IF(ISNUMBER(AL9),AL9&gt;=0,FALSE)),VLOOKUP((10*AD9+AC9),$AQ$50:$AV$58,2+AL9,FALSE),IF(AND(input_test=TRUE,ISNUMBER(AD9),V9&lt;&gt;0),VLOOKUP((10*AD9+AC9),$AQ$50:$AV$58,2,FALSE),"")))</f>
        <v/>
      </c>
      <c r="AS9" s="142">
        <f t="shared" ref="AS9:AS39" si="30">IF(ISNA(Z9),0,IF(OR(J9="NA",X9="",AB9=1),0,X9))</f>
        <v>1</v>
      </c>
      <c r="AT9" s="141">
        <f>IF(ISNA(Z9),"",IF(AND(NOT(OR(Z9=1,Z9=2,AK9="NG",AB9=1)),IF(ISNUMBER(AL9),AL9&gt;=0,FALSE)),VLOOKUP((10*AH9+AG9),$AQ$50:$AV$58,2+AL9,FALSE),IF(AND(input_test=TRUE,ISNUMBER(AD9),V9&lt;&gt;0),VLOOKUP((10*AH9+AG9),$AQ$50:$AV$58,2,FALSE),"")))</f>
        <v>1</v>
      </c>
      <c r="AU9" s="143">
        <f t="shared" si="10"/>
        <v>0</v>
      </c>
      <c r="AV9" s="144" t="str">
        <f t="shared" si="11"/>
        <v/>
      </c>
      <c r="AW9" s="143" t="b">
        <f t="shared" si="12"/>
        <v>0</v>
      </c>
      <c r="AX9" s="145" t="b">
        <f t="shared" si="13"/>
        <v>0</v>
      </c>
      <c r="AY9" s="143" t="b">
        <f t="shared" si="14"/>
        <v>0</v>
      </c>
      <c r="AZ9" s="145" t="b">
        <f t="shared" si="15"/>
        <v>0</v>
      </c>
      <c r="BA9" s="453" t="b">
        <f t="shared" si="16"/>
        <v>0</v>
      </c>
      <c r="BB9" s="453" t="b">
        <f t="shared" si="17"/>
        <v>0</v>
      </c>
      <c r="BC9" s="143" t="b">
        <f t="shared" si="18"/>
        <v>0</v>
      </c>
      <c r="BD9" s="146" t="b">
        <f t="shared" ref="BD9:BD39" si="31">IF(OR(ISNA($Z9),ISNUMBER($Z9),NOT(ISNUMBER(K9))),FALSE,OR(NOT(ISNUMBER(J9)),J9=0,AND(J9=0,K9&lt;&gt;0)))</f>
        <v>0</v>
      </c>
      <c r="BE9" s="145" t="b">
        <f t="shared" si="19"/>
        <v>0</v>
      </c>
      <c r="BF9" s="147" t="b">
        <f t="shared" si="20"/>
        <v>0</v>
      </c>
      <c r="BG9" s="453" t="b">
        <f t="shared" si="21"/>
        <v>0</v>
      </c>
      <c r="BH9" s="453">
        <f t="shared" ref="BH9:BH39" si="32">IF(ISNA($Z9),"",IF(OR($Z9=1,$Z9=2),"",$V9))</f>
        <v>1</v>
      </c>
      <c r="BI9" s="453">
        <f t="shared" si="22"/>
        <v>2</v>
      </c>
      <c r="BJ9" s="453" t="str">
        <f t="shared" si="23"/>
        <v>2*</v>
      </c>
      <c r="BK9" s="453">
        <f t="shared" si="24"/>
        <v>3</v>
      </c>
      <c r="BL9" s="148">
        <f t="shared" ref="BL9:BL39" si="33">IF(ISBLANK(BH9),"",IF(BH9=0,"",BH9))</f>
        <v>1</v>
      </c>
      <c r="BM9" s="453">
        <f t="shared" si="25"/>
        <v>2</v>
      </c>
      <c r="BN9" s="453">
        <f t="shared" si="26"/>
        <v>3</v>
      </c>
      <c r="BO9" s="155" t="s">
        <v>343</v>
      </c>
      <c r="BP9" s="156" t="s">
        <v>344</v>
      </c>
    </row>
    <row r="10" spans="2:73" s="94" customFormat="1" ht="12.95" customHeight="1" x14ac:dyDescent="0.2">
      <c r="B10" s="151">
        <f>IF(ISNA(Z10),"",IF(OR(Z10=1,Z10=2),"    ",MAX($B$8:B9)+1))</f>
        <v>2</v>
      </c>
      <c r="C10" s="904" t="str">
        <f t="shared" si="0"/>
        <v>Basic Aircraft Handling (4.0%)</v>
      </c>
      <c r="D10" s="904"/>
      <c r="E10" s="904"/>
      <c r="F10" s="905"/>
      <c r="G10" s="133">
        <f t="shared" si="1"/>
        <v>1</v>
      </c>
      <c r="H10" s="134" t="str">
        <f t="shared" si="2"/>
        <v>2*</v>
      </c>
      <c r="I10" s="152">
        <f t="shared" si="2"/>
        <v>3</v>
      </c>
      <c r="J10" s="157">
        <v>1</v>
      </c>
      <c r="K10" s="154">
        <v>4</v>
      </c>
      <c r="L10" s="1015"/>
      <c r="M10" s="1016"/>
      <c r="N10" s="1016"/>
      <c r="O10" s="1016"/>
      <c r="P10" s="1016"/>
      <c r="Q10" s="1016"/>
      <c r="R10" s="1017"/>
      <c r="T10" s="99">
        <v>3</v>
      </c>
      <c r="U10" s="88" t="s">
        <v>551</v>
      </c>
      <c r="V10" s="453">
        <v>1</v>
      </c>
      <c r="W10" s="453" t="s">
        <v>340</v>
      </c>
      <c r="X10" s="453">
        <v>1</v>
      </c>
      <c r="Y10" s="453" t="s">
        <v>340</v>
      </c>
      <c r="Z10" s="146" t="s">
        <v>340</v>
      </c>
      <c r="AA10" s="146">
        <v>1</v>
      </c>
      <c r="AB10" s="146">
        <v>0</v>
      </c>
      <c r="AC10" s="453">
        <v>3</v>
      </c>
      <c r="AD10" s="453">
        <v>2</v>
      </c>
      <c r="AE10" s="453">
        <v>1</v>
      </c>
      <c r="AF10" s="453" t="b">
        <v>1</v>
      </c>
      <c r="AG10" s="453">
        <f t="shared" si="3"/>
        <v>3</v>
      </c>
      <c r="AH10" s="453">
        <f t="shared" si="4"/>
        <v>2</v>
      </c>
      <c r="AI10" s="138">
        <f>IF(NOT(OR(Z10=1,Z10=2)),IF(AQ10&gt;0,$AR$44*AQ10/SUMIF($AQ$8:$AQ$39,"&gt;0"),IF(AU10&gt;0,$AV$44*AU10/SUMIF($AU$8:$AU$39,"&gt;0"),IF(AS10&gt;0,$AT$44*AS10/SUMIF($AS$8:$AS$39,"&gt;0"),""))),IF(SUMIF(AJ11:$AJ$39,"=" &amp; AJ10,AI11:$AI$39)=0,"",SUMIF(AJ11:$AJ$39,"=" &amp; AJ10,AI11:$AI$39)))</f>
        <v>0.04</v>
      </c>
      <c r="AJ10" s="139">
        <f t="shared" ref="AJ10:AJ39" si="34">IF(OR(Z10=1,Z10=2,AA10&lt;AA9),AJ9+1,AJ9)</f>
        <v>0</v>
      </c>
      <c r="AK10" s="453">
        <f t="shared" si="27"/>
        <v>2</v>
      </c>
      <c r="AL10" s="146">
        <f t="shared" si="28"/>
        <v>4</v>
      </c>
      <c r="AM10" s="146">
        <f t="shared" ref="AM10:AM39" si="35">IF(ISNUMBER(AK10),IF(ISNUMBER(AL10),1,""),"")</f>
        <v>1</v>
      </c>
      <c r="AN10" s="146">
        <f t="shared" si="5"/>
        <v>1</v>
      </c>
      <c r="AO10" s="146">
        <f t="shared" si="6"/>
        <v>3</v>
      </c>
      <c r="AP10" s="453" t="b">
        <f t="shared" si="7"/>
        <v>0</v>
      </c>
      <c r="AQ10" s="140">
        <f t="shared" si="29"/>
        <v>0</v>
      </c>
      <c r="AR10" s="141" t="str">
        <f t="shared" si="8"/>
        <v/>
      </c>
      <c r="AS10" s="142">
        <f t="shared" si="30"/>
        <v>1</v>
      </c>
      <c r="AT10" s="141">
        <f t="shared" si="9"/>
        <v>1</v>
      </c>
      <c r="AU10" s="143">
        <f t="shared" si="10"/>
        <v>0</v>
      </c>
      <c r="AV10" s="144" t="str">
        <f t="shared" si="11"/>
        <v/>
      </c>
      <c r="AW10" s="143" t="b">
        <f t="shared" si="12"/>
        <v>0</v>
      </c>
      <c r="AX10" s="145" t="b">
        <f t="shared" si="13"/>
        <v>0</v>
      </c>
      <c r="AY10" s="143" t="b">
        <f t="shared" si="14"/>
        <v>0</v>
      </c>
      <c r="AZ10" s="145" t="b">
        <f t="shared" si="15"/>
        <v>0</v>
      </c>
      <c r="BA10" s="453" t="b">
        <f t="shared" si="16"/>
        <v>0</v>
      </c>
      <c r="BB10" s="453" t="b">
        <f t="shared" si="17"/>
        <v>0</v>
      </c>
      <c r="BC10" s="143" t="b">
        <f t="shared" si="18"/>
        <v>0</v>
      </c>
      <c r="BD10" s="146" t="b">
        <f t="shared" si="31"/>
        <v>0</v>
      </c>
      <c r="BE10" s="145" t="b">
        <f t="shared" si="19"/>
        <v>0</v>
      </c>
      <c r="BF10" s="147" t="b">
        <f t="shared" si="20"/>
        <v>0</v>
      </c>
      <c r="BG10" s="453" t="b">
        <f t="shared" si="21"/>
        <v>0</v>
      </c>
      <c r="BH10" s="453">
        <f t="shared" si="32"/>
        <v>1</v>
      </c>
      <c r="BI10" s="453">
        <f t="shared" si="22"/>
        <v>2</v>
      </c>
      <c r="BJ10" s="453" t="str">
        <f t="shared" si="23"/>
        <v>2*</v>
      </c>
      <c r="BK10" s="453">
        <f t="shared" si="24"/>
        <v>3</v>
      </c>
      <c r="BL10" s="148">
        <f t="shared" si="33"/>
        <v>1</v>
      </c>
      <c r="BM10" s="453">
        <f t="shared" si="25"/>
        <v>2</v>
      </c>
      <c r="BN10" s="453">
        <f t="shared" si="26"/>
        <v>3</v>
      </c>
      <c r="BO10" s="155">
        <v>0</v>
      </c>
      <c r="BP10" s="156" t="s">
        <v>346</v>
      </c>
    </row>
    <row r="11" spans="2:73" s="94" customFormat="1" ht="12.95" customHeight="1" x14ac:dyDescent="0.2">
      <c r="B11" s="151">
        <f>IF(ISNA(Z11),"",IF(OR(Z11=1,Z11=2),"    ",MAX($B$8:B10)+1))</f>
        <v>3</v>
      </c>
      <c r="C11" s="904" t="str">
        <f t="shared" si="0"/>
        <v>Local Area Proc./Orientation/Comm (4.0%)</v>
      </c>
      <c r="D11" s="904"/>
      <c r="E11" s="904"/>
      <c r="F11" s="905"/>
      <c r="G11" s="133">
        <f t="shared" si="1"/>
        <v>1</v>
      </c>
      <c r="H11" s="134" t="str">
        <f t="shared" si="2"/>
        <v>2*</v>
      </c>
      <c r="I11" s="152">
        <f t="shared" si="2"/>
        <v>3</v>
      </c>
      <c r="J11" s="157">
        <v>1</v>
      </c>
      <c r="K11" s="154">
        <v>4</v>
      </c>
      <c r="L11" s="1015"/>
      <c r="M11" s="1016"/>
      <c r="N11" s="1016"/>
      <c r="O11" s="1016"/>
      <c r="P11" s="1016"/>
      <c r="Q11" s="1016"/>
      <c r="R11" s="1017"/>
      <c r="T11" s="99">
        <v>4</v>
      </c>
      <c r="U11" s="88" t="s">
        <v>345</v>
      </c>
      <c r="V11" s="453">
        <v>1</v>
      </c>
      <c r="W11" s="453" t="s">
        <v>340</v>
      </c>
      <c r="X11" s="453">
        <v>1</v>
      </c>
      <c r="Y11" s="453" t="s">
        <v>340</v>
      </c>
      <c r="Z11" s="146" t="s">
        <v>340</v>
      </c>
      <c r="AA11" s="146">
        <v>1</v>
      </c>
      <c r="AB11" s="146">
        <v>0</v>
      </c>
      <c r="AC11" s="453">
        <v>3</v>
      </c>
      <c r="AD11" s="453">
        <v>3</v>
      </c>
      <c r="AE11" s="453">
        <v>1</v>
      </c>
      <c r="AF11" s="453" t="b">
        <v>1</v>
      </c>
      <c r="AG11" s="453">
        <f t="shared" si="3"/>
        <v>3</v>
      </c>
      <c r="AH11" s="453">
        <f t="shared" si="4"/>
        <v>2</v>
      </c>
      <c r="AI11" s="138">
        <f>IF(NOT(OR(Z11=1,Z11=2)),IF(AQ11&gt;0,$AR$44*AQ11/SUMIF($AQ$8:$AQ$39,"&gt;0"),IF(AU11&gt;0,$AV$44*AU11/SUMIF($AU$8:$AU$39,"&gt;0"),IF(AS11&gt;0,$AT$44*AS11/SUMIF($AS$8:$AS$39,"&gt;0"),""))),IF(SUMIF(AJ12:$AJ$39,"=" &amp; AJ11,AI12:$AI$39)=0,"",SUMIF(AJ12:$AJ$39,"=" &amp; AJ11,AI12:$AI$39)))</f>
        <v>0.04</v>
      </c>
      <c r="AJ11" s="139">
        <f t="shared" si="34"/>
        <v>0</v>
      </c>
      <c r="AK11" s="453">
        <f t="shared" si="27"/>
        <v>2</v>
      </c>
      <c r="AL11" s="146">
        <f t="shared" si="28"/>
        <v>4</v>
      </c>
      <c r="AM11" s="146">
        <f t="shared" si="35"/>
        <v>1</v>
      </c>
      <c r="AN11" s="146">
        <f t="shared" si="5"/>
        <v>1</v>
      </c>
      <c r="AO11" s="146">
        <f t="shared" si="6"/>
        <v>3</v>
      </c>
      <c r="AP11" s="453" t="b">
        <f t="shared" si="7"/>
        <v>0</v>
      </c>
      <c r="AQ11" s="140">
        <f t="shared" si="29"/>
        <v>0</v>
      </c>
      <c r="AR11" s="141" t="str">
        <f t="shared" si="8"/>
        <v/>
      </c>
      <c r="AS11" s="142">
        <f t="shared" si="30"/>
        <v>1</v>
      </c>
      <c r="AT11" s="141">
        <f t="shared" si="9"/>
        <v>1</v>
      </c>
      <c r="AU11" s="143">
        <f t="shared" si="10"/>
        <v>0</v>
      </c>
      <c r="AV11" s="144" t="str">
        <f t="shared" si="11"/>
        <v/>
      </c>
      <c r="AW11" s="143" t="b">
        <f t="shared" si="12"/>
        <v>0</v>
      </c>
      <c r="AX11" s="145" t="b">
        <f t="shared" si="13"/>
        <v>0</v>
      </c>
      <c r="AY11" s="143" t="b">
        <f t="shared" si="14"/>
        <v>0</v>
      </c>
      <c r="AZ11" s="145" t="b">
        <f t="shared" si="15"/>
        <v>0</v>
      </c>
      <c r="BA11" s="453" t="b">
        <f t="shared" si="16"/>
        <v>0</v>
      </c>
      <c r="BB11" s="453" t="b">
        <f t="shared" si="17"/>
        <v>0</v>
      </c>
      <c r="BC11" s="143" t="b">
        <f t="shared" si="18"/>
        <v>0</v>
      </c>
      <c r="BD11" s="146" t="b">
        <f t="shared" si="31"/>
        <v>0</v>
      </c>
      <c r="BE11" s="145" t="b">
        <f t="shared" si="19"/>
        <v>0</v>
      </c>
      <c r="BF11" s="147" t="b">
        <f t="shared" si="20"/>
        <v>0</v>
      </c>
      <c r="BG11" s="453" t="b">
        <f t="shared" si="21"/>
        <v>0</v>
      </c>
      <c r="BH11" s="453">
        <f t="shared" si="32"/>
        <v>1</v>
      </c>
      <c r="BI11" s="453">
        <f t="shared" si="22"/>
        <v>2</v>
      </c>
      <c r="BJ11" s="453" t="str">
        <f t="shared" si="23"/>
        <v>2*</v>
      </c>
      <c r="BK11" s="453">
        <f t="shared" si="24"/>
        <v>3</v>
      </c>
      <c r="BL11" s="148">
        <f t="shared" si="33"/>
        <v>1</v>
      </c>
      <c r="BM11" s="453">
        <f t="shared" si="25"/>
        <v>2</v>
      </c>
      <c r="BN11" s="453">
        <f t="shared" si="26"/>
        <v>3</v>
      </c>
      <c r="BO11" s="155">
        <v>1</v>
      </c>
      <c r="BP11" s="156" t="s">
        <v>348</v>
      </c>
    </row>
    <row r="12" spans="2:73" s="94" customFormat="1" ht="12.95" customHeight="1" x14ac:dyDescent="0.2">
      <c r="B12" s="151">
        <f>IF(ISNA(Z12),"",IF(OR(Z12=1,Z12=2),"    ",MAX($B$8:B11)+1))</f>
        <v>4</v>
      </c>
      <c r="C12" s="904" t="str">
        <f t="shared" si="0"/>
        <v>Situational Awareness/Judgement (4.0%)</v>
      </c>
      <c r="D12" s="904"/>
      <c r="E12" s="904"/>
      <c r="F12" s="905"/>
      <c r="G12" s="133">
        <f t="shared" si="1"/>
        <v>1</v>
      </c>
      <c r="H12" s="134" t="str">
        <f t="shared" si="2"/>
        <v>2*</v>
      </c>
      <c r="I12" s="152">
        <f t="shared" si="2"/>
        <v>3</v>
      </c>
      <c r="J12" s="157">
        <v>1</v>
      </c>
      <c r="K12" s="154">
        <v>4</v>
      </c>
      <c r="L12" s="1015"/>
      <c r="M12" s="1016"/>
      <c r="N12" s="1016"/>
      <c r="O12" s="1016"/>
      <c r="P12" s="1016"/>
      <c r="Q12" s="1016"/>
      <c r="R12" s="1017"/>
      <c r="T12" s="99">
        <v>5</v>
      </c>
      <c r="U12" s="88" t="s">
        <v>347</v>
      </c>
      <c r="V12" s="453">
        <v>1</v>
      </c>
      <c r="W12" s="453" t="s">
        <v>340</v>
      </c>
      <c r="X12" s="453">
        <v>1</v>
      </c>
      <c r="Y12" s="453" t="s">
        <v>340</v>
      </c>
      <c r="Z12" s="146" t="s">
        <v>340</v>
      </c>
      <c r="AA12" s="146">
        <v>1</v>
      </c>
      <c r="AB12" s="146">
        <v>0</v>
      </c>
      <c r="AC12" s="453">
        <v>3</v>
      </c>
      <c r="AD12" s="453">
        <v>3</v>
      </c>
      <c r="AE12" s="453">
        <v>1</v>
      </c>
      <c r="AF12" s="453" t="b">
        <v>1</v>
      </c>
      <c r="AG12" s="453">
        <f t="shared" si="3"/>
        <v>3</v>
      </c>
      <c r="AH12" s="453">
        <f t="shared" si="4"/>
        <v>2</v>
      </c>
      <c r="AI12" s="138">
        <f>IF(NOT(OR(Z12=1,Z12=2)),IF(AQ12&gt;0,$AR$44*AQ12/SUMIF($AQ$8:$AQ$39,"&gt;0"),IF(AU12&gt;0,$AV$44*AU12/SUMIF($AU$8:$AU$39,"&gt;0"),IF(AS12&gt;0,$AT$44*AS12/SUMIF($AS$8:$AS$39,"&gt;0"),""))),IF(SUMIF(AJ13:$AJ$39,"=" &amp; AJ12,AI13:$AI$39)=0,"",SUMIF(AJ13:$AJ$39,"=" &amp; AJ12,AI13:$AI$39)))</f>
        <v>0.04</v>
      </c>
      <c r="AJ12" s="139">
        <f t="shared" si="34"/>
        <v>0</v>
      </c>
      <c r="AK12" s="453">
        <f t="shared" si="27"/>
        <v>2</v>
      </c>
      <c r="AL12" s="146">
        <f t="shared" si="28"/>
        <v>4</v>
      </c>
      <c r="AM12" s="146">
        <f t="shared" si="35"/>
        <v>1</v>
      </c>
      <c r="AN12" s="146">
        <f t="shared" si="5"/>
        <v>1</v>
      </c>
      <c r="AO12" s="146">
        <f t="shared" si="6"/>
        <v>3</v>
      </c>
      <c r="AP12" s="453" t="b">
        <f t="shared" si="7"/>
        <v>0</v>
      </c>
      <c r="AQ12" s="140">
        <f t="shared" si="29"/>
        <v>0</v>
      </c>
      <c r="AR12" s="141" t="str">
        <f t="shared" si="8"/>
        <v/>
      </c>
      <c r="AS12" s="142">
        <f t="shared" si="30"/>
        <v>1</v>
      </c>
      <c r="AT12" s="141">
        <f t="shared" si="9"/>
        <v>1</v>
      </c>
      <c r="AU12" s="143">
        <f t="shared" si="10"/>
        <v>0</v>
      </c>
      <c r="AV12" s="144" t="str">
        <f t="shared" si="11"/>
        <v/>
      </c>
      <c r="AW12" s="143" t="b">
        <f t="shared" si="12"/>
        <v>0</v>
      </c>
      <c r="AX12" s="145" t="b">
        <f t="shared" si="13"/>
        <v>0</v>
      </c>
      <c r="AY12" s="143" t="b">
        <f t="shared" si="14"/>
        <v>0</v>
      </c>
      <c r="AZ12" s="145" t="b">
        <f t="shared" si="15"/>
        <v>0</v>
      </c>
      <c r="BA12" s="453" t="b">
        <f t="shared" si="16"/>
        <v>0</v>
      </c>
      <c r="BB12" s="453" t="b">
        <f t="shared" si="17"/>
        <v>0</v>
      </c>
      <c r="BC12" s="143" t="b">
        <f t="shared" si="18"/>
        <v>0</v>
      </c>
      <c r="BD12" s="146" t="b">
        <f t="shared" si="31"/>
        <v>0</v>
      </c>
      <c r="BE12" s="145" t="b">
        <f t="shared" si="19"/>
        <v>0</v>
      </c>
      <c r="BF12" s="147" t="b">
        <f t="shared" si="20"/>
        <v>0</v>
      </c>
      <c r="BG12" s="453" t="b">
        <f t="shared" si="21"/>
        <v>0</v>
      </c>
      <c r="BH12" s="453">
        <f t="shared" si="32"/>
        <v>1</v>
      </c>
      <c r="BI12" s="453">
        <f t="shared" si="22"/>
        <v>2</v>
      </c>
      <c r="BJ12" s="453" t="str">
        <f t="shared" si="23"/>
        <v>2*</v>
      </c>
      <c r="BK12" s="453">
        <f t="shared" si="24"/>
        <v>3</v>
      </c>
      <c r="BL12" s="148">
        <f t="shared" si="33"/>
        <v>1</v>
      </c>
      <c r="BM12" s="453">
        <f t="shared" si="25"/>
        <v>2</v>
      </c>
      <c r="BN12" s="453">
        <f t="shared" si="26"/>
        <v>3</v>
      </c>
      <c r="BO12" s="155">
        <v>2</v>
      </c>
      <c r="BP12" s="156" t="s">
        <v>350</v>
      </c>
    </row>
    <row r="13" spans="2:73" s="94" customFormat="1" ht="12.95" customHeight="1" x14ac:dyDescent="0.2">
      <c r="B13" s="151">
        <f>IF(ISNA(Z13),"",IF(OR(Z13=1,Z13=2),"    ",MAX($B$8:B12)+1))</f>
        <v>5</v>
      </c>
      <c r="C13" s="904" t="str">
        <f t="shared" si="0"/>
        <v>Clearing/Visual Lookout (4.0%)</v>
      </c>
      <c r="D13" s="904"/>
      <c r="E13" s="904"/>
      <c r="F13" s="905"/>
      <c r="G13" s="133">
        <f t="shared" si="1"/>
        <v>1</v>
      </c>
      <c r="H13" s="134" t="str">
        <f t="shared" si="2"/>
        <v>2*</v>
      </c>
      <c r="I13" s="152">
        <f t="shared" si="2"/>
        <v>3</v>
      </c>
      <c r="J13" s="157">
        <v>1</v>
      </c>
      <c r="K13" s="154">
        <v>4</v>
      </c>
      <c r="L13" s="1015"/>
      <c r="M13" s="1016"/>
      <c r="N13" s="1016"/>
      <c r="O13" s="1016"/>
      <c r="P13" s="1016"/>
      <c r="Q13" s="1016"/>
      <c r="R13" s="1017"/>
      <c r="T13" s="99">
        <v>6</v>
      </c>
      <c r="U13" s="88" t="s">
        <v>349</v>
      </c>
      <c r="V13" s="453">
        <v>1</v>
      </c>
      <c r="W13" s="453" t="s">
        <v>340</v>
      </c>
      <c r="X13" s="453">
        <v>1</v>
      </c>
      <c r="Y13" s="453" t="s">
        <v>340</v>
      </c>
      <c r="Z13" s="146" t="s">
        <v>340</v>
      </c>
      <c r="AA13" s="146">
        <v>1</v>
      </c>
      <c r="AB13" s="146">
        <v>0</v>
      </c>
      <c r="AC13" s="453">
        <v>3</v>
      </c>
      <c r="AD13" s="453">
        <v>3</v>
      </c>
      <c r="AE13" s="453">
        <v>1</v>
      </c>
      <c r="AF13" s="453" t="b">
        <v>1</v>
      </c>
      <c r="AG13" s="453">
        <f t="shared" si="3"/>
        <v>3</v>
      </c>
      <c r="AH13" s="453">
        <f t="shared" si="4"/>
        <v>2</v>
      </c>
      <c r="AI13" s="138">
        <f>IF(NOT(OR(Z13=1,Z13=2)),IF(AQ13&gt;0,$AR$44*AQ13/SUMIF($AQ$8:$AQ$39,"&gt;0"),IF(AU13&gt;0,$AV$44*AU13/SUMIF($AU$8:$AU$39,"&gt;0"),IF(AS13&gt;0,$AT$44*AS13/SUMIF($AS$8:$AS$39,"&gt;0"),""))),IF(SUMIF(AJ14:$AJ$39,"=" &amp; AJ13,AI14:$AI$39)=0,"",SUMIF(AJ14:$AJ$39,"=" &amp; AJ13,AI14:$AI$39)))</f>
        <v>0.04</v>
      </c>
      <c r="AJ13" s="139">
        <f t="shared" si="34"/>
        <v>0</v>
      </c>
      <c r="AK13" s="453">
        <f t="shared" si="27"/>
        <v>2</v>
      </c>
      <c r="AL13" s="146">
        <f t="shared" si="28"/>
        <v>4</v>
      </c>
      <c r="AM13" s="146">
        <f t="shared" si="35"/>
        <v>1</v>
      </c>
      <c r="AN13" s="146">
        <f t="shared" si="5"/>
        <v>1</v>
      </c>
      <c r="AO13" s="146">
        <f t="shared" si="6"/>
        <v>3</v>
      </c>
      <c r="AP13" s="453" t="b">
        <f t="shared" si="7"/>
        <v>0</v>
      </c>
      <c r="AQ13" s="140">
        <f t="shared" si="29"/>
        <v>0</v>
      </c>
      <c r="AR13" s="141" t="str">
        <f t="shared" si="8"/>
        <v/>
      </c>
      <c r="AS13" s="142">
        <f t="shared" si="30"/>
        <v>1</v>
      </c>
      <c r="AT13" s="141">
        <f t="shared" si="9"/>
        <v>1</v>
      </c>
      <c r="AU13" s="143">
        <f t="shared" si="10"/>
        <v>0</v>
      </c>
      <c r="AV13" s="144" t="str">
        <f t="shared" si="11"/>
        <v/>
      </c>
      <c r="AW13" s="143" t="b">
        <f t="shared" si="12"/>
        <v>0</v>
      </c>
      <c r="AX13" s="145" t="b">
        <f t="shared" si="13"/>
        <v>0</v>
      </c>
      <c r="AY13" s="143" t="b">
        <f t="shared" si="14"/>
        <v>0</v>
      </c>
      <c r="AZ13" s="145" t="b">
        <f t="shared" si="15"/>
        <v>0</v>
      </c>
      <c r="BA13" s="453" t="b">
        <f t="shared" si="16"/>
        <v>0</v>
      </c>
      <c r="BB13" s="453" t="b">
        <f t="shared" si="17"/>
        <v>0</v>
      </c>
      <c r="BC13" s="143" t="b">
        <f t="shared" si="18"/>
        <v>0</v>
      </c>
      <c r="BD13" s="146" t="b">
        <f t="shared" si="31"/>
        <v>0</v>
      </c>
      <c r="BE13" s="145" t="b">
        <f t="shared" si="19"/>
        <v>0</v>
      </c>
      <c r="BF13" s="147" t="b">
        <f t="shared" si="20"/>
        <v>0</v>
      </c>
      <c r="BG13" s="453" t="b">
        <f t="shared" si="21"/>
        <v>0</v>
      </c>
      <c r="BH13" s="453">
        <f t="shared" si="32"/>
        <v>1</v>
      </c>
      <c r="BI13" s="453">
        <f t="shared" si="22"/>
        <v>2</v>
      </c>
      <c r="BJ13" s="453" t="str">
        <f t="shared" si="23"/>
        <v>2*</v>
      </c>
      <c r="BK13" s="453">
        <f t="shared" si="24"/>
        <v>3</v>
      </c>
      <c r="BL13" s="148">
        <f t="shared" si="33"/>
        <v>1</v>
      </c>
      <c r="BM13" s="453">
        <f t="shared" si="25"/>
        <v>2</v>
      </c>
      <c r="BN13" s="453">
        <f t="shared" si="26"/>
        <v>3</v>
      </c>
      <c r="BO13" s="155">
        <v>3</v>
      </c>
      <c r="BP13" s="156" t="s">
        <v>352</v>
      </c>
    </row>
    <row r="14" spans="2:73" s="94" customFormat="1" ht="12.95" customHeight="1" x14ac:dyDescent="0.2">
      <c r="B14" s="151" t="str">
        <f>IF(ISNA(Z14),"",IF(OR(Z14=1,Z14=2),"    ",MAX($B$8:B13)+1))</f>
        <v xml:space="preserve">    </v>
      </c>
      <c r="C14" s="904" t="str">
        <f t="shared" si="0"/>
        <v>Academic Tasks</v>
      </c>
      <c r="D14" s="904"/>
      <c r="E14" s="904"/>
      <c r="F14" s="905"/>
      <c r="G14" s="133" t="str">
        <f t="shared" si="1"/>
        <v/>
      </c>
      <c r="H14" s="134" t="str">
        <f t="shared" si="2"/>
        <v/>
      </c>
      <c r="I14" s="152" t="str">
        <f t="shared" si="2"/>
        <v/>
      </c>
      <c r="J14" s="158" t="s">
        <v>340</v>
      </c>
      <c r="K14" s="159" t="s">
        <v>340</v>
      </c>
      <c r="L14" s="1015"/>
      <c r="M14" s="1016"/>
      <c r="N14" s="1016"/>
      <c r="O14" s="1016"/>
      <c r="P14" s="1016"/>
      <c r="Q14" s="1016"/>
      <c r="R14" s="1017"/>
      <c r="T14" s="99">
        <v>7</v>
      </c>
      <c r="U14" s="88" t="s">
        <v>351</v>
      </c>
      <c r="V14" s="453" t="s">
        <v>340</v>
      </c>
      <c r="W14" s="453" t="s">
        <v>340</v>
      </c>
      <c r="X14" s="453" t="s">
        <v>340</v>
      </c>
      <c r="Y14" s="453" t="s">
        <v>340</v>
      </c>
      <c r="Z14" s="146">
        <v>1</v>
      </c>
      <c r="AA14" s="146">
        <v>0</v>
      </c>
      <c r="AB14" s="146">
        <v>1</v>
      </c>
      <c r="AC14" s="453" t="s">
        <v>340</v>
      </c>
      <c r="AD14" s="453" t="s">
        <v>340</v>
      </c>
      <c r="AE14" s="453">
        <v>0</v>
      </c>
      <c r="AF14" s="453" t="s">
        <v>340</v>
      </c>
      <c r="AG14" s="453" t="str">
        <f t="shared" si="3"/>
        <v/>
      </c>
      <c r="AH14" s="453" t="str">
        <f t="shared" si="4"/>
        <v/>
      </c>
      <c r="AI14" s="138" t="str">
        <f>IF(NOT(OR(Z14=1,Z14=2)),IF(AQ14&gt;0,$AR$44*AQ14/SUMIF($AQ$8:$AQ$39,"&gt;0"),IF(AU14&gt;0,$AV$44*AU14/SUMIF($AU$8:$AU$39,"&gt;0"),IF(AS14&gt;0,$AT$44*AS14/SUMIF($AS$8:$AS$39,"&gt;0"),""))),IF(SUMIF(AJ15:$AJ$39,"=" &amp; AJ14,AI15:$AI$39)=0,"",SUMIF(AJ15:$AJ$39,"=" &amp; AJ14,AI15:$AI$39)))</f>
        <v/>
      </c>
      <c r="AJ14" s="139">
        <f t="shared" si="34"/>
        <v>1</v>
      </c>
      <c r="AK14" s="453" t="str">
        <f t="shared" si="27"/>
        <v/>
      </c>
      <c r="AL14" s="146" t="str">
        <f t="shared" si="28"/>
        <v/>
      </c>
      <c r="AM14" s="146" t="str">
        <f t="shared" si="35"/>
        <v/>
      </c>
      <c r="AN14" s="146" t="str">
        <f t="shared" si="5"/>
        <v/>
      </c>
      <c r="AO14" s="146" t="str">
        <f t="shared" si="6"/>
        <v/>
      </c>
      <c r="AP14" s="453" t="str">
        <f t="shared" si="7"/>
        <v/>
      </c>
      <c r="AQ14" s="140">
        <f t="shared" si="29"/>
        <v>0</v>
      </c>
      <c r="AR14" s="141" t="str">
        <f t="shared" si="8"/>
        <v/>
      </c>
      <c r="AS14" s="142">
        <f t="shared" si="30"/>
        <v>0</v>
      </c>
      <c r="AT14" s="141" t="str">
        <f t="shared" si="9"/>
        <v/>
      </c>
      <c r="AU14" s="143">
        <f t="shared" si="10"/>
        <v>0</v>
      </c>
      <c r="AV14" s="144" t="str">
        <f t="shared" si="11"/>
        <v/>
      </c>
      <c r="AW14" s="143" t="b">
        <f t="shared" si="12"/>
        <v>0</v>
      </c>
      <c r="AX14" s="145" t="b">
        <f t="shared" si="13"/>
        <v>0</v>
      </c>
      <c r="AY14" s="143" t="b">
        <f t="shared" si="14"/>
        <v>0</v>
      </c>
      <c r="AZ14" s="145" t="b">
        <f t="shared" si="15"/>
        <v>0</v>
      </c>
      <c r="BA14" s="453" t="b">
        <f t="shared" si="16"/>
        <v>0</v>
      </c>
      <c r="BB14" s="453" t="b">
        <f t="shared" si="17"/>
        <v>0</v>
      </c>
      <c r="BC14" s="143" t="b">
        <f t="shared" si="18"/>
        <v>0</v>
      </c>
      <c r="BD14" s="146" t="b">
        <f t="shared" si="31"/>
        <v>0</v>
      </c>
      <c r="BE14" s="145" t="b">
        <f t="shared" si="19"/>
        <v>0</v>
      </c>
      <c r="BF14" s="147" t="b">
        <f t="shared" si="20"/>
        <v>0</v>
      </c>
      <c r="BG14" s="453" t="b">
        <f t="shared" si="21"/>
        <v>0</v>
      </c>
      <c r="BH14" s="453" t="str">
        <f t="shared" si="32"/>
        <v/>
      </c>
      <c r="BI14" s="453" t="str">
        <f t="shared" si="22"/>
        <v/>
      </c>
      <c r="BJ14" s="453" t="str">
        <f t="shared" si="23"/>
        <v/>
      </c>
      <c r="BK14" s="453" t="str">
        <f t="shared" si="24"/>
        <v/>
      </c>
      <c r="BL14" s="148" t="str">
        <f t="shared" si="33"/>
        <v/>
      </c>
      <c r="BM14" s="453" t="str">
        <f t="shared" si="25"/>
        <v/>
      </c>
      <c r="BN14" s="453" t="str">
        <f t="shared" si="26"/>
        <v/>
      </c>
      <c r="BO14" s="155">
        <v>4</v>
      </c>
      <c r="BP14" s="156" t="s">
        <v>354</v>
      </c>
    </row>
    <row r="15" spans="2:73" s="94" customFormat="1" ht="12.95" customHeight="1" x14ac:dyDescent="0.2">
      <c r="B15" s="151" t="str">
        <f>IF(ISNA(Z15),"",IF(OR(Z15=1,Z15=2),"    ",MAX($B$8:B14)+1))</f>
        <v xml:space="preserve">    </v>
      </c>
      <c r="C15" s="904" t="str">
        <f t="shared" si="0"/>
        <v>Test Conduct (20.0%)</v>
      </c>
      <c r="D15" s="904"/>
      <c r="E15" s="904"/>
      <c r="F15" s="905"/>
      <c r="G15" s="133" t="str">
        <f t="shared" si="1"/>
        <v/>
      </c>
      <c r="H15" s="134" t="str">
        <f t="shared" si="2"/>
        <v/>
      </c>
      <c r="I15" s="152" t="str">
        <f t="shared" si="2"/>
        <v/>
      </c>
      <c r="J15" s="158" t="s">
        <v>340</v>
      </c>
      <c r="K15" s="159" t="s">
        <v>340</v>
      </c>
      <c r="L15" s="1015"/>
      <c r="M15" s="1016"/>
      <c r="N15" s="1016"/>
      <c r="O15" s="1016"/>
      <c r="P15" s="1016"/>
      <c r="Q15" s="1016"/>
      <c r="R15" s="1017"/>
      <c r="T15" s="99">
        <v>8</v>
      </c>
      <c r="U15" s="88" t="s">
        <v>353</v>
      </c>
      <c r="V15" s="453" t="s">
        <v>340</v>
      </c>
      <c r="W15" s="453" t="s">
        <v>340</v>
      </c>
      <c r="X15" s="453" t="s">
        <v>340</v>
      </c>
      <c r="Y15" s="453" t="s">
        <v>340</v>
      </c>
      <c r="Z15" s="146">
        <v>2</v>
      </c>
      <c r="AA15" s="146">
        <v>1</v>
      </c>
      <c r="AB15" s="146">
        <v>1</v>
      </c>
      <c r="AC15" s="453" t="s">
        <v>340</v>
      </c>
      <c r="AD15" s="453" t="s">
        <v>340</v>
      </c>
      <c r="AE15" s="453" t="s">
        <v>340</v>
      </c>
      <c r="AF15" s="453" t="s">
        <v>340</v>
      </c>
      <c r="AG15" s="453" t="str">
        <f t="shared" si="3"/>
        <v/>
      </c>
      <c r="AH15" s="453" t="str">
        <f t="shared" si="4"/>
        <v/>
      </c>
      <c r="AI15" s="138">
        <f>IF(NOT(OR(Z15=1,Z15=2)),IF(AQ15&gt;0,$AR$44*AQ15/SUMIF($AQ$8:$AQ$39,"&gt;0"),IF(AU15&gt;0,$AV$44*AU15/SUMIF($AU$8:$AU$39,"&gt;0"),IF(AS15&gt;0,$AT$44*AS15/SUMIF($AS$8:$AS$39,"&gt;0"),""))),IF(SUMIF(AJ16:$AJ$39,"=" &amp; AJ15,AI16:$AI$39)=0,"",SUMIF(AJ16:$AJ$39,"=" &amp; AJ15,AI16:$AI$39)))</f>
        <v>0.2</v>
      </c>
      <c r="AJ15" s="139">
        <f t="shared" si="34"/>
        <v>2</v>
      </c>
      <c r="AK15" s="453" t="str">
        <f t="shared" si="27"/>
        <v/>
      </c>
      <c r="AL15" s="146" t="str">
        <f t="shared" si="28"/>
        <v/>
      </c>
      <c r="AM15" s="146" t="str">
        <f t="shared" si="35"/>
        <v/>
      </c>
      <c r="AN15" s="146" t="str">
        <f t="shared" si="5"/>
        <v/>
      </c>
      <c r="AO15" s="146" t="str">
        <f t="shared" si="6"/>
        <v/>
      </c>
      <c r="AP15" s="453" t="str">
        <f t="shared" si="7"/>
        <v/>
      </c>
      <c r="AQ15" s="140">
        <f t="shared" si="29"/>
        <v>0</v>
      </c>
      <c r="AR15" s="141" t="str">
        <f t="shared" si="8"/>
        <v/>
      </c>
      <c r="AS15" s="142">
        <f t="shared" si="30"/>
        <v>0</v>
      </c>
      <c r="AT15" s="141" t="str">
        <f t="shared" si="9"/>
        <v/>
      </c>
      <c r="AU15" s="143">
        <f t="shared" si="10"/>
        <v>0</v>
      </c>
      <c r="AV15" s="144" t="str">
        <f t="shared" si="11"/>
        <v/>
      </c>
      <c r="AW15" s="143" t="b">
        <f t="shared" si="12"/>
        <v>0</v>
      </c>
      <c r="AX15" s="145" t="b">
        <f t="shared" si="13"/>
        <v>0</v>
      </c>
      <c r="AY15" s="143" t="b">
        <f t="shared" si="14"/>
        <v>0</v>
      </c>
      <c r="AZ15" s="145" t="b">
        <f t="shared" si="15"/>
        <v>0</v>
      </c>
      <c r="BA15" s="453" t="b">
        <f t="shared" si="16"/>
        <v>0</v>
      </c>
      <c r="BB15" s="453" t="b">
        <f t="shared" si="17"/>
        <v>0</v>
      </c>
      <c r="BC15" s="143" t="b">
        <f t="shared" si="18"/>
        <v>0</v>
      </c>
      <c r="BD15" s="146" t="b">
        <f t="shared" si="31"/>
        <v>0</v>
      </c>
      <c r="BE15" s="145" t="b">
        <f t="shared" si="19"/>
        <v>0</v>
      </c>
      <c r="BF15" s="147" t="b">
        <f t="shared" si="20"/>
        <v>0</v>
      </c>
      <c r="BG15" s="453" t="b">
        <f t="shared" si="21"/>
        <v>0</v>
      </c>
      <c r="BH15" s="453" t="str">
        <f t="shared" si="32"/>
        <v/>
      </c>
      <c r="BI15" s="453" t="str">
        <f t="shared" si="22"/>
        <v/>
      </c>
      <c r="BJ15" s="453" t="str">
        <f t="shared" si="23"/>
        <v/>
      </c>
      <c r="BK15" s="453" t="str">
        <f t="shared" si="24"/>
        <v/>
      </c>
      <c r="BL15" s="148" t="str">
        <f t="shared" si="33"/>
        <v/>
      </c>
      <c r="BM15" s="453" t="str">
        <f t="shared" si="25"/>
        <v/>
      </c>
      <c r="BN15" s="453" t="str">
        <f t="shared" si="26"/>
        <v/>
      </c>
      <c r="BO15" s="90"/>
    </row>
    <row r="16" spans="2:73" s="94" customFormat="1" ht="12.95" customHeight="1" x14ac:dyDescent="0.2">
      <c r="B16" s="151">
        <f>IF(ISNA(Z16),"",IF(OR(Z16=1,Z16=2),"    ",MAX($B$8:B15)+1))</f>
        <v>6</v>
      </c>
      <c r="C16" s="904" t="str">
        <f t="shared" si="0"/>
        <v xml:space="preserve">      - Mission Preparation (5.0%)</v>
      </c>
      <c r="D16" s="904"/>
      <c r="E16" s="904"/>
      <c r="F16" s="905"/>
      <c r="G16" s="133">
        <f t="shared" si="1"/>
        <v>1</v>
      </c>
      <c r="H16" s="134" t="str">
        <f t="shared" si="2"/>
        <v>2*</v>
      </c>
      <c r="I16" s="152">
        <f t="shared" si="2"/>
        <v>3</v>
      </c>
      <c r="J16" s="157">
        <v>1</v>
      </c>
      <c r="K16" s="154">
        <v>4</v>
      </c>
      <c r="L16" s="1015"/>
      <c r="M16" s="1016"/>
      <c r="N16" s="1016"/>
      <c r="O16" s="1016"/>
      <c r="P16" s="1016"/>
      <c r="Q16" s="1016"/>
      <c r="R16" s="1017"/>
      <c r="T16" s="99">
        <v>9</v>
      </c>
      <c r="U16" s="88" t="s">
        <v>498</v>
      </c>
      <c r="V16" s="453">
        <v>1</v>
      </c>
      <c r="W16" s="453">
        <v>1</v>
      </c>
      <c r="X16" s="453" t="s">
        <v>340</v>
      </c>
      <c r="Y16" s="453" t="s">
        <v>340</v>
      </c>
      <c r="Z16" s="146" t="s">
        <v>340</v>
      </c>
      <c r="AA16" s="146">
        <v>2</v>
      </c>
      <c r="AB16" s="146">
        <v>1</v>
      </c>
      <c r="AC16" s="453">
        <v>3</v>
      </c>
      <c r="AD16" s="453">
        <v>2</v>
      </c>
      <c r="AE16" s="453">
        <v>1</v>
      </c>
      <c r="AF16" s="453" t="b">
        <v>1</v>
      </c>
      <c r="AG16" s="453">
        <f t="shared" si="3"/>
        <v>3</v>
      </c>
      <c r="AH16" s="453">
        <f t="shared" si="4"/>
        <v>2</v>
      </c>
      <c r="AI16" s="138">
        <f>IF(NOT(OR(Z16=1,Z16=2)),IF(AQ16&gt;0,$AR$44*AQ16/SUMIF($AQ$8:$AQ$39,"&gt;0"),IF(AU16&gt;0,$AV$44*AU16/SUMIF($AU$8:$AU$39,"&gt;0"),IF(AS16&gt;0,$AT$44*AS16/SUMIF($AS$8:$AS$39,"&gt;0"),""))),IF(SUMIF(AJ17:$AJ$39,"=" &amp; AJ16,AI17:$AI$39)=0,"",SUMIF(AJ17:$AJ$39,"=" &amp; AJ16,AI17:$AI$39)))</f>
        <v>0.05</v>
      </c>
      <c r="AJ16" s="139">
        <f t="shared" si="34"/>
        <v>2</v>
      </c>
      <c r="AK16" s="453">
        <f t="shared" si="27"/>
        <v>2</v>
      </c>
      <c r="AL16" s="146">
        <f t="shared" si="28"/>
        <v>4</v>
      </c>
      <c r="AM16" s="146">
        <f t="shared" si="35"/>
        <v>1</v>
      </c>
      <c r="AN16" s="146" t="str">
        <f t="shared" si="5"/>
        <v/>
      </c>
      <c r="AO16" s="146" t="str">
        <f t="shared" si="6"/>
        <v/>
      </c>
      <c r="AP16" s="453" t="b">
        <f t="shared" si="7"/>
        <v>0</v>
      </c>
      <c r="AQ16" s="140">
        <f t="shared" si="29"/>
        <v>1</v>
      </c>
      <c r="AR16" s="141">
        <f t="shared" si="8"/>
        <v>1</v>
      </c>
      <c r="AS16" s="142">
        <f t="shared" si="30"/>
        <v>0</v>
      </c>
      <c r="AT16" s="141" t="str">
        <f t="shared" si="9"/>
        <v/>
      </c>
      <c r="AU16" s="143">
        <f t="shared" si="10"/>
        <v>0</v>
      </c>
      <c r="AV16" s="144">
        <f t="shared" si="11"/>
        <v>1</v>
      </c>
      <c r="AW16" s="143" t="b">
        <f t="shared" si="12"/>
        <v>0</v>
      </c>
      <c r="AX16" s="145" t="b">
        <f t="shared" si="13"/>
        <v>0</v>
      </c>
      <c r="AY16" s="143" t="b">
        <f t="shared" si="14"/>
        <v>0</v>
      </c>
      <c r="AZ16" s="145" t="b">
        <f t="shared" si="15"/>
        <v>0</v>
      </c>
      <c r="BA16" s="453" t="b">
        <f t="shared" si="16"/>
        <v>0</v>
      </c>
      <c r="BB16" s="453" t="b">
        <f t="shared" si="17"/>
        <v>0</v>
      </c>
      <c r="BC16" s="143" t="b">
        <f t="shared" si="18"/>
        <v>0</v>
      </c>
      <c r="BD16" s="146" t="b">
        <f t="shared" si="31"/>
        <v>0</v>
      </c>
      <c r="BE16" s="145" t="b">
        <f t="shared" si="19"/>
        <v>0</v>
      </c>
      <c r="BF16" s="147" t="b">
        <f t="shared" si="20"/>
        <v>0</v>
      </c>
      <c r="BG16" s="453" t="b">
        <f t="shared" si="21"/>
        <v>0</v>
      </c>
      <c r="BH16" s="453">
        <f t="shared" si="32"/>
        <v>1</v>
      </c>
      <c r="BI16" s="453">
        <f t="shared" si="22"/>
        <v>2</v>
      </c>
      <c r="BJ16" s="453" t="str">
        <f t="shared" si="23"/>
        <v>2*</v>
      </c>
      <c r="BK16" s="453">
        <f t="shared" si="24"/>
        <v>3</v>
      </c>
      <c r="BL16" s="148">
        <f t="shared" si="33"/>
        <v>1</v>
      </c>
      <c r="BM16" s="453">
        <f t="shared" si="25"/>
        <v>2</v>
      </c>
      <c r="BN16" s="453">
        <f t="shared" si="26"/>
        <v>3</v>
      </c>
      <c r="BO16" s="155"/>
      <c r="BP16" s="160"/>
    </row>
    <row r="17" spans="2:73" s="94" customFormat="1" ht="12.95" customHeight="1" x14ac:dyDescent="0.2">
      <c r="B17" s="151">
        <f>IF(ISNA(Z17),"",IF(OR(Z17=1,Z17=2),"    ",MAX($B$8:B16)+1))</f>
        <v>7</v>
      </c>
      <c r="C17" s="904" t="str">
        <f t="shared" si="0"/>
        <v xml:space="preserve">      - SA/Adaptation (5.0%)</v>
      </c>
      <c r="D17" s="904"/>
      <c r="E17" s="904"/>
      <c r="F17" s="905"/>
      <c r="G17" s="133">
        <f t="shared" si="1"/>
        <v>1</v>
      </c>
      <c r="H17" s="134" t="str">
        <f t="shared" si="2"/>
        <v>2*</v>
      </c>
      <c r="I17" s="152">
        <f t="shared" si="2"/>
        <v>3</v>
      </c>
      <c r="J17" s="157">
        <v>1</v>
      </c>
      <c r="K17" s="154">
        <v>4</v>
      </c>
      <c r="L17" s="1015"/>
      <c r="M17" s="1016"/>
      <c r="N17" s="1016"/>
      <c r="O17" s="1016"/>
      <c r="P17" s="1016"/>
      <c r="Q17" s="1016"/>
      <c r="R17" s="1017"/>
      <c r="T17" s="99">
        <v>10</v>
      </c>
      <c r="U17" s="88" t="s">
        <v>552</v>
      </c>
      <c r="V17" s="453">
        <v>1</v>
      </c>
      <c r="W17" s="453">
        <v>1</v>
      </c>
      <c r="X17" s="453" t="s">
        <v>340</v>
      </c>
      <c r="Y17" s="453" t="s">
        <v>340</v>
      </c>
      <c r="Z17" s="146" t="s">
        <v>340</v>
      </c>
      <c r="AA17" s="146">
        <v>2</v>
      </c>
      <c r="AB17" s="146">
        <v>1</v>
      </c>
      <c r="AC17" s="453">
        <v>3</v>
      </c>
      <c r="AD17" s="453">
        <v>2</v>
      </c>
      <c r="AE17" s="453">
        <v>1</v>
      </c>
      <c r="AF17" s="453" t="b">
        <v>1</v>
      </c>
      <c r="AG17" s="453">
        <f t="shared" si="3"/>
        <v>3</v>
      </c>
      <c r="AH17" s="453">
        <f t="shared" si="4"/>
        <v>2</v>
      </c>
      <c r="AI17" s="138">
        <f>IF(NOT(OR(Z17=1,Z17=2)),IF(AQ17&gt;0,$AR$44*AQ17/SUMIF($AQ$8:$AQ$39,"&gt;0"),IF(AU17&gt;0,$AV$44*AU17/SUMIF($AU$8:$AU$39,"&gt;0"),IF(AS17&gt;0,$AT$44*AS17/SUMIF($AS$8:$AS$39,"&gt;0"),""))),IF(SUMIF(AJ18:$AJ$39,"=" &amp; AJ17,AI18:$AI$39)=0,"",SUMIF(AJ18:$AJ$39,"=" &amp; AJ17,AI18:$AI$39)))</f>
        <v>0.05</v>
      </c>
      <c r="AJ17" s="139">
        <f t="shared" si="34"/>
        <v>2</v>
      </c>
      <c r="AK17" s="453">
        <f t="shared" si="27"/>
        <v>2</v>
      </c>
      <c r="AL17" s="146">
        <f t="shared" si="28"/>
        <v>4</v>
      </c>
      <c r="AM17" s="146">
        <f t="shared" si="35"/>
        <v>1</v>
      </c>
      <c r="AN17" s="146" t="str">
        <f t="shared" si="5"/>
        <v/>
      </c>
      <c r="AO17" s="146" t="str">
        <f t="shared" si="6"/>
        <v/>
      </c>
      <c r="AP17" s="453" t="b">
        <f t="shared" si="7"/>
        <v>0</v>
      </c>
      <c r="AQ17" s="140">
        <f t="shared" si="29"/>
        <v>1</v>
      </c>
      <c r="AR17" s="141">
        <f t="shared" si="8"/>
        <v>1</v>
      </c>
      <c r="AS17" s="142">
        <f t="shared" si="30"/>
        <v>0</v>
      </c>
      <c r="AT17" s="141" t="str">
        <f t="shared" si="9"/>
        <v/>
      </c>
      <c r="AU17" s="143">
        <f t="shared" si="10"/>
        <v>0</v>
      </c>
      <c r="AV17" s="144">
        <f t="shared" si="11"/>
        <v>1</v>
      </c>
      <c r="AW17" s="143" t="b">
        <f t="shared" si="12"/>
        <v>0</v>
      </c>
      <c r="AX17" s="145" t="b">
        <f t="shared" si="13"/>
        <v>0</v>
      </c>
      <c r="AY17" s="143" t="b">
        <f t="shared" si="14"/>
        <v>0</v>
      </c>
      <c r="AZ17" s="145" t="b">
        <f t="shared" si="15"/>
        <v>0</v>
      </c>
      <c r="BA17" s="453" t="b">
        <f t="shared" si="16"/>
        <v>0</v>
      </c>
      <c r="BB17" s="453" t="b">
        <f t="shared" si="17"/>
        <v>0</v>
      </c>
      <c r="BC17" s="143" t="b">
        <f t="shared" si="18"/>
        <v>0</v>
      </c>
      <c r="BD17" s="146" t="b">
        <f t="shared" si="31"/>
        <v>0</v>
      </c>
      <c r="BE17" s="145" t="b">
        <f t="shared" si="19"/>
        <v>0</v>
      </c>
      <c r="BF17" s="147" t="b">
        <f t="shared" si="20"/>
        <v>0</v>
      </c>
      <c r="BG17" s="453" t="b">
        <f t="shared" si="21"/>
        <v>0</v>
      </c>
      <c r="BH17" s="453">
        <f t="shared" si="32"/>
        <v>1</v>
      </c>
      <c r="BI17" s="453">
        <f t="shared" si="22"/>
        <v>2</v>
      </c>
      <c r="BJ17" s="453" t="str">
        <f t="shared" si="23"/>
        <v>2*</v>
      </c>
      <c r="BK17" s="453">
        <f t="shared" si="24"/>
        <v>3</v>
      </c>
      <c r="BL17" s="148">
        <f t="shared" si="33"/>
        <v>1</v>
      </c>
      <c r="BM17" s="453">
        <f t="shared" si="25"/>
        <v>2</v>
      </c>
      <c r="BN17" s="453">
        <f t="shared" si="26"/>
        <v>3</v>
      </c>
      <c r="BO17" s="90"/>
    </row>
    <row r="18" spans="2:73" s="94" customFormat="1" ht="12.95" customHeight="1" x14ac:dyDescent="0.2">
      <c r="B18" s="151">
        <f>IF(ISNA(Z18),"",IF(OR(Z18=1,Z18=2),"    ",MAX($B$8:B17)+1))</f>
        <v>8</v>
      </c>
      <c r="C18" s="904" t="str">
        <f t="shared" si="0"/>
        <v xml:space="preserve">      - Communication (5.0%)</v>
      </c>
      <c r="D18" s="904"/>
      <c r="E18" s="904"/>
      <c r="F18" s="905"/>
      <c r="G18" s="133">
        <f t="shared" si="1"/>
        <v>1</v>
      </c>
      <c r="H18" s="134" t="str">
        <f t="shared" si="2"/>
        <v>2*</v>
      </c>
      <c r="I18" s="152">
        <f t="shared" si="2"/>
        <v>3</v>
      </c>
      <c r="J18" s="157">
        <v>1</v>
      </c>
      <c r="K18" s="154">
        <v>4</v>
      </c>
      <c r="L18" s="1015"/>
      <c r="M18" s="1016"/>
      <c r="N18" s="1016"/>
      <c r="O18" s="1016"/>
      <c r="P18" s="1016"/>
      <c r="Q18" s="1016"/>
      <c r="R18" s="1017"/>
      <c r="T18" s="99">
        <v>11</v>
      </c>
      <c r="U18" s="88" t="s">
        <v>500</v>
      </c>
      <c r="V18" s="453">
        <v>1</v>
      </c>
      <c r="W18" s="453">
        <v>1</v>
      </c>
      <c r="X18" s="453" t="s">
        <v>340</v>
      </c>
      <c r="Y18" s="453" t="s">
        <v>340</v>
      </c>
      <c r="Z18" s="146" t="s">
        <v>340</v>
      </c>
      <c r="AA18" s="146">
        <v>2</v>
      </c>
      <c r="AB18" s="146">
        <v>1</v>
      </c>
      <c r="AC18" s="453">
        <v>3</v>
      </c>
      <c r="AD18" s="453">
        <v>2</v>
      </c>
      <c r="AE18" s="453">
        <v>1</v>
      </c>
      <c r="AF18" s="453" t="b">
        <v>1</v>
      </c>
      <c r="AG18" s="453">
        <f t="shared" si="3"/>
        <v>3</v>
      </c>
      <c r="AH18" s="453">
        <f t="shared" si="4"/>
        <v>2</v>
      </c>
      <c r="AI18" s="138">
        <f>IF(NOT(OR(Z18=1,Z18=2)),IF(AQ18&gt;0,$AR$44*AQ18/SUMIF($AQ$8:$AQ$39,"&gt;0"),IF(AU18&gt;0,$AV$44*AU18/SUMIF($AU$8:$AU$39,"&gt;0"),IF(AS18&gt;0,$AT$44*AS18/SUMIF($AS$8:$AS$39,"&gt;0"),""))),IF(SUMIF(AJ19:$AJ$39,"=" &amp; AJ18,AI19:$AI$39)=0,"",SUMIF(AJ19:$AJ$39,"=" &amp; AJ18,AI19:$AI$39)))</f>
        <v>0.05</v>
      </c>
      <c r="AJ18" s="139">
        <f t="shared" si="34"/>
        <v>2</v>
      </c>
      <c r="AK18" s="453">
        <f t="shared" si="27"/>
        <v>2</v>
      </c>
      <c r="AL18" s="146">
        <f t="shared" si="28"/>
        <v>4</v>
      </c>
      <c r="AM18" s="146">
        <f t="shared" si="35"/>
        <v>1</v>
      </c>
      <c r="AN18" s="146" t="str">
        <f t="shared" si="5"/>
        <v/>
      </c>
      <c r="AO18" s="146" t="str">
        <f t="shared" si="6"/>
        <v/>
      </c>
      <c r="AP18" s="453" t="b">
        <f t="shared" si="7"/>
        <v>0</v>
      </c>
      <c r="AQ18" s="140">
        <f t="shared" si="29"/>
        <v>1</v>
      </c>
      <c r="AR18" s="141">
        <f t="shared" si="8"/>
        <v>1</v>
      </c>
      <c r="AS18" s="142">
        <f t="shared" si="30"/>
        <v>0</v>
      </c>
      <c r="AT18" s="141" t="str">
        <f t="shared" si="9"/>
        <v/>
      </c>
      <c r="AU18" s="143">
        <f t="shared" si="10"/>
        <v>0</v>
      </c>
      <c r="AV18" s="144">
        <f t="shared" si="11"/>
        <v>1</v>
      </c>
      <c r="AW18" s="143" t="b">
        <f t="shared" si="12"/>
        <v>0</v>
      </c>
      <c r="AX18" s="145" t="b">
        <f t="shared" si="13"/>
        <v>0</v>
      </c>
      <c r="AY18" s="143" t="b">
        <f t="shared" si="14"/>
        <v>0</v>
      </c>
      <c r="AZ18" s="145" t="b">
        <f t="shared" si="15"/>
        <v>0</v>
      </c>
      <c r="BA18" s="453" t="b">
        <f t="shared" si="16"/>
        <v>0</v>
      </c>
      <c r="BB18" s="453" t="b">
        <f t="shared" si="17"/>
        <v>0</v>
      </c>
      <c r="BC18" s="143" t="b">
        <f t="shared" si="18"/>
        <v>0</v>
      </c>
      <c r="BD18" s="146" t="b">
        <f t="shared" si="31"/>
        <v>0</v>
      </c>
      <c r="BE18" s="145" t="b">
        <f t="shared" si="19"/>
        <v>0</v>
      </c>
      <c r="BF18" s="147" t="b">
        <f t="shared" si="20"/>
        <v>0</v>
      </c>
      <c r="BG18" s="453" t="b">
        <f t="shared" si="21"/>
        <v>0</v>
      </c>
      <c r="BH18" s="453">
        <f t="shared" si="32"/>
        <v>1</v>
      </c>
      <c r="BI18" s="453">
        <f t="shared" si="22"/>
        <v>2</v>
      </c>
      <c r="BJ18" s="453" t="str">
        <f t="shared" si="23"/>
        <v>2*</v>
      </c>
      <c r="BK18" s="453">
        <f t="shared" si="24"/>
        <v>3</v>
      </c>
      <c r="BL18" s="148">
        <f t="shared" si="33"/>
        <v>1</v>
      </c>
      <c r="BM18" s="453">
        <f t="shared" si="25"/>
        <v>2</v>
      </c>
      <c r="BN18" s="453">
        <f t="shared" si="26"/>
        <v>3</v>
      </c>
      <c r="BO18" s="300"/>
      <c r="BP18" s="160" t="s">
        <v>355</v>
      </c>
      <c r="BQ18" s="161"/>
      <c r="BR18" s="161"/>
      <c r="BS18" s="161"/>
      <c r="BT18" s="161"/>
      <c r="BU18" s="161"/>
    </row>
    <row r="19" spans="2:73" s="94" customFormat="1" ht="12.95" customHeight="1" x14ac:dyDescent="0.2">
      <c r="B19" s="151">
        <f>IF(ISNA(Z19),"",IF(OR(Z19=1,Z19=2),"    ",MAX($B$8:B18)+1))</f>
        <v>9</v>
      </c>
      <c r="C19" s="904" t="str">
        <f t="shared" si="0"/>
        <v xml:space="preserve">      - Teamwork (5.0%)</v>
      </c>
      <c r="D19" s="904"/>
      <c r="E19" s="904"/>
      <c r="F19" s="905"/>
      <c r="G19" s="133">
        <f t="shared" si="1"/>
        <v>1</v>
      </c>
      <c r="H19" s="134" t="str">
        <f t="shared" si="2"/>
        <v>2*</v>
      </c>
      <c r="I19" s="152">
        <f t="shared" si="2"/>
        <v>3</v>
      </c>
      <c r="J19" s="157">
        <v>1</v>
      </c>
      <c r="K19" s="154">
        <v>4</v>
      </c>
      <c r="L19" s="1015"/>
      <c r="M19" s="1016"/>
      <c r="N19" s="1016"/>
      <c r="O19" s="1016"/>
      <c r="P19" s="1016"/>
      <c r="Q19" s="1016"/>
      <c r="R19" s="1017"/>
      <c r="T19" s="99">
        <v>12</v>
      </c>
      <c r="U19" s="88" t="s">
        <v>501</v>
      </c>
      <c r="V19" s="453">
        <v>1</v>
      </c>
      <c r="W19" s="453">
        <v>1</v>
      </c>
      <c r="X19" s="453" t="s">
        <v>340</v>
      </c>
      <c r="Y19" s="453" t="s">
        <v>340</v>
      </c>
      <c r="Z19" s="146" t="s">
        <v>340</v>
      </c>
      <c r="AA19" s="146">
        <v>2</v>
      </c>
      <c r="AB19" s="146">
        <v>1</v>
      </c>
      <c r="AC19" s="453">
        <v>3</v>
      </c>
      <c r="AD19" s="453">
        <v>2</v>
      </c>
      <c r="AE19" s="453">
        <v>1</v>
      </c>
      <c r="AF19" s="453" t="b">
        <v>1</v>
      </c>
      <c r="AG19" s="453">
        <f t="shared" si="3"/>
        <v>3</v>
      </c>
      <c r="AH19" s="453">
        <f t="shared" si="4"/>
        <v>2</v>
      </c>
      <c r="AI19" s="138">
        <f>IF(NOT(OR(Z19=1,Z19=2)),IF(AQ19&gt;0,$AR$44*AQ19/SUMIF($AQ$8:$AQ$39,"&gt;0"),IF(AU19&gt;0,$AV$44*AU19/SUMIF($AU$8:$AU$39,"&gt;0"),IF(AS19&gt;0,$AT$44*AS19/SUMIF($AS$8:$AS$39,"&gt;0"),""))),IF(SUMIF(AJ20:$AJ$39,"=" &amp; AJ19,AI20:$AI$39)=0,"",SUMIF(AJ20:$AJ$39,"=" &amp; AJ19,AI20:$AI$39)))</f>
        <v>0.05</v>
      </c>
      <c r="AJ19" s="139">
        <f t="shared" si="34"/>
        <v>2</v>
      </c>
      <c r="AK19" s="453">
        <f t="shared" si="27"/>
        <v>2</v>
      </c>
      <c r="AL19" s="146">
        <f t="shared" si="28"/>
        <v>4</v>
      </c>
      <c r="AM19" s="146">
        <f t="shared" si="35"/>
        <v>1</v>
      </c>
      <c r="AN19" s="146" t="str">
        <f t="shared" si="5"/>
        <v/>
      </c>
      <c r="AO19" s="146" t="str">
        <f t="shared" si="6"/>
        <v/>
      </c>
      <c r="AP19" s="453" t="b">
        <f t="shared" si="7"/>
        <v>0</v>
      </c>
      <c r="AQ19" s="140">
        <f t="shared" si="29"/>
        <v>1</v>
      </c>
      <c r="AR19" s="141">
        <f t="shared" si="8"/>
        <v>1</v>
      </c>
      <c r="AS19" s="142">
        <f t="shared" si="30"/>
        <v>0</v>
      </c>
      <c r="AT19" s="141" t="str">
        <f t="shared" si="9"/>
        <v/>
      </c>
      <c r="AU19" s="143">
        <f t="shared" si="10"/>
        <v>0</v>
      </c>
      <c r="AV19" s="144">
        <f t="shared" si="11"/>
        <v>1</v>
      </c>
      <c r="AW19" s="143" t="b">
        <f t="shared" si="12"/>
        <v>0</v>
      </c>
      <c r="AX19" s="145" t="b">
        <f t="shared" si="13"/>
        <v>0</v>
      </c>
      <c r="AY19" s="143" t="b">
        <f t="shared" si="14"/>
        <v>0</v>
      </c>
      <c r="AZ19" s="145" t="b">
        <f t="shared" si="15"/>
        <v>0</v>
      </c>
      <c r="BA19" s="453" t="b">
        <f t="shared" si="16"/>
        <v>0</v>
      </c>
      <c r="BB19" s="453" t="b">
        <f t="shared" si="17"/>
        <v>0</v>
      </c>
      <c r="BC19" s="143" t="b">
        <f t="shared" si="18"/>
        <v>0</v>
      </c>
      <c r="BD19" s="146" t="b">
        <f t="shared" si="31"/>
        <v>0</v>
      </c>
      <c r="BE19" s="145" t="b">
        <f t="shared" si="19"/>
        <v>0</v>
      </c>
      <c r="BF19" s="147" t="b">
        <f t="shared" si="20"/>
        <v>0</v>
      </c>
      <c r="BG19" s="453" t="b">
        <f t="shared" si="21"/>
        <v>0</v>
      </c>
      <c r="BH19" s="453">
        <f t="shared" si="32"/>
        <v>1</v>
      </c>
      <c r="BI19" s="453">
        <f t="shared" si="22"/>
        <v>2</v>
      </c>
      <c r="BJ19" s="453" t="str">
        <f t="shared" si="23"/>
        <v>2*</v>
      </c>
      <c r="BK19" s="453">
        <f t="shared" si="24"/>
        <v>3</v>
      </c>
      <c r="BL19" s="148">
        <f t="shared" si="33"/>
        <v>1</v>
      </c>
      <c r="BM19" s="453">
        <f t="shared" si="25"/>
        <v>2</v>
      </c>
      <c r="BN19" s="453">
        <f t="shared" si="26"/>
        <v>3</v>
      </c>
      <c r="BO19" s="300"/>
      <c r="BP19" s="150"/>
      <c r="BQ19" s="935" t="s">
        <v>356</v>
      </c>
      <c r="BR19" s="935"/>
      <c r="BS19" s="935"/>
      <c r="BT19" s="935"/>
      <c r="BU19" s="935"/>
    </row>
    <row r="20" spans="2:73" s="94" customFormat="1" ht="12.95" customHeight="1" x14ac:dyDescent="0.2">
      <c r="B20" s="151" t="str">
        <f>IF(ISNA(Z20),"",IF(OR(Z20=1,Z20=2),"    ",MAX($B$8:B19)+1))</f>
        <v xml:space="preserve">    </v>
      </c>
      <c r="C20" s="904" t="str">
        <f t="shared" si="0"/>
        <v>FTTs (60.0%)</v>
      </c>
      <c r="D20" s="904"/>
      <c r="E20" s="904"/>
      <c r="F20" s="905"/>
      <c r="G20" s="133" t="str">
        <f t="shared" si="1"/>
        <v/>
      </c>
      <c r="H20" s="134" t="str">
        <f t="shared" si="2"/>
        <v/>
      </c>
      <c r="I20" s="152" t="str">
        <f t="shared" si="2"/>
        <v/>
      </c>
      <c r="J20" s="158" t="s">
        <v>340</v>
      </c>
      <c r="K20" s="159" t="s">
        <v>340</v>
      </c>
      <c r="L20" s="1015"/>
      <c r="M20" s="1016"/>
      <c r="N20" s="1016"/>
      <c r="O20" s="1016"/>
      <c r="P20" s="1016"/>
      <c r="Q20" s="1016"/>
      <c r="R20" s="1017"/>
      <c r="T20" s="99">
        <v>13</v>
      </c>
      <c r="U20" s="88" t="s">
        <v>652</v>
      </c>
      <c r="V20" s="453" t="s">
        <v>340</v>
      </c>
      <c r="W20" s="453" t="s">
        <v>340</v>
      </c>
      <c r="X20" s="453" t="s">
        <v>340</v>
      </c>
      <c r="Y20" s="453" t="s">
        <v>340</v>
      </c>
      <c r="Z20" s="146">
        <v>2</v>
      </c>
      <c r="AA20" s="146">
        <v>1</v>
      </c>
      <c r="AB20" s="146">
        <v>1</v>
      </c>
      <c r="AC20" s="453" t="s">
        <v>340</v>
      </c>
      <c r="AD20" s="453" t="s">
        <v>340</v>
      </c>
      <c r="AE20" s="453" t="s">
        <v>340</v>
      </c>
      <c r="AF20" s="453" t="s">
        <v>340</v>
      </c>
      <c r="AG20" s="453" t="str">
        <f t="shared" si="3"/>
        <v/>
      </c>
      <c r="AH20" s="453" t="str">
        <f t="shared" si="4"/>
        <v/>
      </c>
      <c r="AI20" s="138">
        <f>IF(NOT(OR(Z20=1,Z20=2)),IF(AQ20&gt;0,$AR$44*AQ20/SUMIF($AQ$8:$AQ$39,"&gt;0"),IF(AU20&gt;0,$AV$44*AU20/SUMIF($AU$8:$AU$39,"&gt;0"),IF(AS20&gt;0,$AT$44*AS20/SUMIF($AS$8:$AS$39,"&gt;0"),""))),IF(SUMIF(AJ21:$AJ$39,"=" &amp; AJ20,AI21:$AI$39)=0,"",SUMIF(AJ21:$AJ$39,"=" &amp; AJ20,AI21:$AI$39)))</f>
        <v>0.6</v>
      </c>
      <c r="AJ20" s="139">
        <f t="shared" si="34"/>
        <v>3</v>
      </c>
      <c r="AK20" s="453" t="str">
        <f t="shared" si="27"/>
        <v/>
      </c>
      <c r="AL20" s="146" t="str">
        <f t="shared" si="28"/>
        <v/>
      </c>
      <c r="AM20" s="146" t="str">
        <f t="shared" si="35"/>
        <v/>
      </c>
      <c r="AN20" s="146" t="str">
        <f t="shared" si="5"/>
        <v/>
      </c>
      <c r="AO20" s="146" t="str">
        <f t="shared" si="6"/>
        <v/>
      </c>
      <c r="AP20" s="453" t="str">
        <f t="shared" si="7"/>
        <v/>
      </c>
      <c r="AQ20" s="140">
        <f t="shared" si="29"/>
        <v>0</v>
      </c>
      <c r="AR20" s="141" t="str">
        <f t="shared" si="8"/>
        <v/>
      </c>
      <c r="AS20" s="142">
        <f t="shared" si="30"/>
        <v>0</v>
      </c>
      <c r="AT20" s="141" t="str">
        <f t="shared" si="9"/>
        <v/>
      </c>
      <c r="AU20" s="143">
        <f t="shared" si="10"/>
        <v>0</v>
      </c>
      <c r="AV20" s="144" t="str">
        <f t="shared" si="11"/>
        <v/>
      </c>
      <c r="AW20" s="143" t="b">
        <f t="shared" si="12"/>
        <v>0</v>
      </c>
      <c r="AX20" s="145" t="b">
        <f t="shared" si="13"/>
        <v>0</v>
      </c>
      <c r="AY20" s="143" t="b">
        <f t="shared" si="14"/>
        <v>0</v>
      </c>
      <c r="AZ20" s="145" t="b">
        <f t="shared" si="15"/>
        <v>0</v>
      </c>
      <c r="BA20" s="453" t="b">
        <f t="shared" si="16"/>
        <v>0</v>
      </c>
      <c r="BB20" s="453" t="b">
        <f t="shared" si="17"/>
        <v>0</v>
      </c>
      <c r="BC20" s="143" t="b">
        <f t="shared" si="18"/>
        <v>0</v>
      </c>
      <c r="BD20" s="146" t="b">
        <f t="shared" si="31"/>
        <v>0</v>
      </c>
      <c r="BE20" s="145" t="b">
        <f t="shared" si="19"/>
        <v>0</v>
      </c>
      <c r="BF20" s="147" t="b">
        <f t="shared" si="20"/>
        <v>0</v>
      </c>
      <c r="BG20" s="453" t="b">
        <f t="shared" si="21"/>
        <v>0</v>
      </c>
      <c r="BH20" s="453" t="str">
        <f t="shared" si="32"/>
        <v/>
      </c>
      <c r="BI20" s="453" t="str">
        <f t="shared" si="22"/>
        <v/>
      </c>
      <c r="BJ20" s="453" t="str">
        <f t="shared" si="23"/>
        <v/>
      </c>
      <c r="BK20" s="453" t="str">
        <f t="shared" si="24"/>
        <v/>
      </c>
      <c r="BL20" s="148" t="str">
        <f t="shared" si="33"/>
        <v/>
      </c>
      <c r="BM20" s="453" t="str">
        <f t="shared" si="25"/>
        <v/>
      </c>
      <c r="BN20" s="453" t="str">
        <f t="shared" si="26"/>
        <v/>
      </c>
      <c r="BO20" s="300"/>
      <c r="BP20" s="300"/>
      <c r="BQ20" s="300">
        <v>0</v>
      </c>
      <c r="BR20" s="300">
        <v>1</v>
      </c>
      <c r="BS20" s="300">
        <v>2</v>
      </c>
      <c r="BT20" s="300">
        <v>3</v>
      </c>
      <c r="BU20" s="300">
        <v>4</v>
      </c>
    </row>
    <row r="21" spans="2:73" s="94" customFormat="1" ht="12.95" customHeight="1" x14ac:dyDescent="0.2">
      <c r="B21" s="151">
        <f>IF(ISNA(Z21),"",IF(OR(Z21=1,Z21=2),"    ",MAX($B$8:B20)+1))</f>
        <v>10</v>
      </c>
      <c r="C21" s="904" t="str">
        <f t="shared" si="0"/>
        <v xml:space="preserve">      - MIL Power Check Climb (5.0%)</v>
      </c>
      <c r="D21" s="904"/>
      <c r="E21" s="904"/>
      <c r="F21" s="905"/>
      <c r="G21" s="133">
        <f t="shared" si="1"/>
        <v>1</v>
      </c>
      <c r="H21" s="134" t="str">
        <f t="shared" si="2"/>
        <v>2*</v>
      </c>
      <c r="I21" s="152">
        <f t="shared" si="2"/>
        <v>3</v>
      </c>
      <c r="J21" s="157">
        <v>1</v>
      </c>
      <c r="K21" s="154">
        <v>3</v>
      </c>
      <c r="L21" s="1015"/>
      <c r="M21" s="1016"/>
      <c r="N21" s="1016"/>
      <c r="O21" s="1016"/>
      <c r="P21" s="1016"/>
      <c r="Q21" s="1016"/>
      <c r="R21" s="1017"/>
      <c r="T21" s="99">
        <v>14</v>
      </c>
      <c r="U21" s="88" t="s">
        <v>653</v>
      </c>
      <c r="V21" s="453">
        <v>1</v>
      </c>
      <c r="W21" s="453">
        <v>1</v>
      </c>
      <c r="X21" s="453" t="s">
        <v>340</v>
      </c>
      <c r="Y21" s="453" t="s">
        <v>340</v>
      </c>
      <c r="Z21" s="146" t="s">
        <v>340</v>
      </c>
      <c r="AA21" s="146">
        <v>2</v>
      </c>
      <c r="AB21" s="146">
        <v>1</v>
      </c>
      <c r="AC21" s="453">
        <v>3</v>
      </c>
      <c r="AD21" s="453">
        <v>2</v>
      </c>
      <c r="AE21" s="453">
        <v>1</v>
      </c>
      <c r="AF21" s="453" t="b">
        <v>1</v>
      </c>
      <c r="AG21" s="453">
        <f t="shared" si="3"/>
        <v>3</v>
      </c>
      <c r="AH21" s="453">
        <f t="shared" si="4"/>
        <v>2</v>
      </c>
      <c r="AI21" s="138">
        <f>IF(NOT(OR(Z21=1,Z21=2)),IF(AQ21&gt;0,$AR$44*AQ21/SUMIF($AQ$8:$AQ$39,"&gt;0"),IF(AU21&gt;0,$AV$44*AU21/SUMIF($AU$8:$AU$39,"&gt;0"),IF(AS21&gt;0,$AT$44*AS21/SUMIF($AS$8:$AS$39,"&gt;0"),""))),IF(SUMIF(AJ22:$AJ$39,"=" &amp; AJ21,AI22:$AI$39)=0,"",SUMIF(AJ22:$AJ$39,"=" &amp; AJ21,AI22:$AI$39)))</f>
        <v>0.05</v>
      </c>
      <c r="AJ21" s="139">
        <f t="shared" si="34"/>
        <v>3</v>
      </c>
      <c r="AK21" s="453">
        <f t="shared" si="27"/>
        <v>2</v>
      </c>
      <c r="AL21" s="146">
        <f t="shared" si="28"/>
        <v>3</v>
      </c>
      <c r="AM21" s="146">
        <f t="shared" si="35"/>
        <v>1</v>
      </c>
      <c r="AN21" s="146" t="str">
        <f t="shared" si="5"/>
        <v/>
      </c>
      <c r="AO21" s="146" t="str">
        <f t="shared" si="6"/>
        <v/>
      </c>
      <c r="AP21" s="453" t="b">
        <f t="shared" si="7"/>
        <v>0</v>
      </c>
      <c r="AQ21" s="140">
        <f t="shared" si="29"/>
        <v>1</v>
      </c>
      <c r="AR21" s="141">
        <f t="shared" si="8"/>
        <v>0.9</v>
      </c>
      <c r="AS21" s="142">
        <f t="shared" si="30"/>
        <v>0</v>
      </c>
      <c r="AT21" s="141" t="str">
        <f t="shared" si="9"/>
        <v/>
      </c>
      <c r="AU21" s="143">
        <f t="shared" si="10"/>
        <v>0</v>
      </c>
      <c r="AV21" s="144">
        <f t="shared" si="11"/>
        <v>0.9</v>
      </c>
      <c r="AW21" s="143" t="b">
        <f t="shared" si="12"/>
        <v>0</v>
      </c>
      <c r="AX21" s="145" t="b">
        <f t="shared" si="13"/>
        <v>0</v>
      </c>
      <c r="AY21" s="143" t="b">
        <f t="shared" si="14"/>
        <v>0</v>
      </c>
      <c r="AZ21" s="145" t="b">
        <f t="shared" si="15"/>
        <v>0</v>
      </c>
      <c r="BA21" s="453" t="b">
        <f t="shared" si="16"/>
        <v>0</v>
      </c>
      <c r="BB21" s="453" t="b">
        <f t="shared" si="17"/>
        <v>0</v>
      </c>
      <c r="BC21" s="143" t="b">
        <f t="shared" si="18"/>
        <v>0</v>
      </c>
      <c r="BD21" s="146" t="b">
        <f t="shared" si="31"/>
        <v>0</v>
      </c>
      <c r="BE21" s="145" t="b">
        <f t="shared" si="19"/>
        <v>0</v>
      </c>
      <c r="BF21" s="147" t="b">
        <f t="shared" si="20"/>
        <v>0</v>
      </c>
      <c r="BG21" s="453" t="b">
        <f t="shared" si="21"/>
        <v>0</v>
      </c>
      <c r="BH21" s="453">
        <f t="shared" si="32"/>
        <v>1</v>
      </c>
      <c r="BI21" s="453">
        <f t="shared" si="22"/>
        <v>2</v>
      </c>
      <c r="BJ21" s="453" t="str">
        <f t="shared" si="23"/>
        <v>2*</v>
      </c>
      <c r="BK21" s="453">
        <f t="shared" si="24"/>
        <v>3</v>
      </c>
      <c r="BL21" s="148">
        <f t="shared" si="33"/>
        <v>1</v>
      </c>
      <c r="BM21" s="453">
        <f t="shared" si="25"/>
        <v>2</v>
      </c>
      <c r="BN21" s="453">
        <f t="shared" si="26"/>
        <v>3</v>
      </c>
      <c r="BO21" s="936" t="s">
        <v>358</v>
      </c>
      <c r="BP21" s="300" t="s">
        <v>359</v>
      </c>
      <c r="BQ21" s="162">
        <f t="shared" ref="BQ21:BU29" si="36">AR50</f>
        <v>0.7</v>
      </c>
      <c r="BR21" s="163">
        <f t="shared" si="36"/>
        <v>0.9</v>
      </c>
      <c r="BS21" s="163">
        <f t="shared" si="36"/>
        <v>0.93330000000000002</v>
      </c>
      <c r="BT21" s="163">
        <f t="shared" si="36"/>
        <v>0.9667</v>
      </c>
      <c r="BU21" s="164">
        <f t="shared" si="36"/>
        <v>1</v>
      </c>
    </row>
    <row r="22" spans="2:73" s="94" customFormat="1" ht="12.95" customHeight="1" x14ac:dyDescent="0.2">
      <c r="B22" s="151">
        <f>IF(ISNA(Z22),"",IF(OR(Z22=1,Z22=2),"    ",MAX($B$8:B21)+1))</f>
        <v>11</v>
      </c>
      <c r="C22" s="904" t="str">
        <f t="shared" si="0"/>
        <v xml:space="preserve">      - CL 1g Trim Shots (5.0%)</v>
      </c>
      <c r="D22" s="904"/>
      <c r="E22" s="904"/>
      <c r="F22" s="905"/>
      <c r="G22" s="133">
        <f t="shared" si="1"/>
        <v>1</v>
      </c>
      <c r="H22" s="134" t="str">
        <f t="shared" si="2"/>
        <v>2*</v>
      </c>
      <c r="I22" s="152">
        <f t="shared" si="2"/>
        <v>3</v>
      </c>
      <c r="J22" s="157">
        <v>1</v>
      </c>
      <c r="K22" s="154">
        <v>3</v>
      </c>
      <c r="L22" s="1015"/>
      <c r="M22" s="1016"/>
      <c r="N22" s="1016"/>
      <c r="O22" s="1016"/>
      <c r="P22" s="1016"/>
      <c r="Q22" s="1016"/>
      <c r="R22" s="1017"/>
      <c r="T22" s="99">
        <v>15</v>
      </c>
      <c r="U22" s="88" t="s">
        <v>654</v>
      </c>
      <c r="V22" s="453">
        <v>1</v>
      </c>
      <c r="W22" s="453">
        <v>1</v>
      </c>
      <c r="X22" s="453" t="s">
        <v>340</v>
      </c>
      <c r="Y22" s="453" t="s">
        <v>340</v>
      </c>
      <c r="Z22" s="146" t="s">
        <v>340</v>
      </c>
      <c r="AA22" s="146">
        <v>2</v>
      </c>
      <c r="AB22" s="146">
        <v>1</v>
      </c>
      <c r="AC22" s="453">
        <v>3</v>
      </c>
      <c r="AD22" s="453">
        <v>2</v>
      </c>
      <c r="AE22" s="453">
        <v>1</v>
      </c>
      <c r="AF22" s="453" t="b">
        <v>1</v>
      </c>
      <c r="AG22" s="453">
        <f t="shared" si="3"/>
        <v>3</v>
      </c>
      <c r="AH22" s="453">
        <f t="shared" si="4"/>
        <v>2</v>
      </c>
      <c r="AI22" s="138">
        <f>IF(NOT(OR(Z22=1,Z22=2)),IF(AQ22&gt;0,$AR$44*AQ22/SUMIF($AQ$8:$AQ$39,"&gt;0"),IF(AU22&gt;0,$AV$44*AU22/SUMIF($AU$8:$AU$39,"&gt;0"),IF(AS22&gt;0,$AT$44*AS22/SUMIF($AS$8:$AS$39,"&gt;0"),""))),IF(SUMIF(AJ23:$AJ$39,"=" &amp; AJ22,AI23:$AI$39)=0,"",SUMIF(AJ23:$AJ$39,"=" &amp; AJ22,AI23:$AI$39)))</f>
        <v>0.05</v>
      </c>
      <c r="AJ22" s="139">
        <f t="shared" si="34"/>
        <v>3</v>
      </c>
      <c r="AK22" s="453">
        <f t="shared" si="27"/>
        <v>2</v>
      </c>
      <c r="AL22" s="146">
        <f t="shared" si="28"/>
        <v>3</v>
      </c>
      <c r="AM22" s="146">
        <f t="shared" si="35"/>
        <v>1</v>
      </c>
      <c r="AN22" s="146" t="str">
        <f t="shared" si="5"/>
        <v/>
      </c>
      <c r="AO22" s="146" t="str">
        <f t="shared" si="6"/>
        <v/>
      </c>
      <c r="AP22" s="453" t="b">
        <f t="shared" si="7"/>
        <v>0</v>
      </c>
      <c r="AQ22" s="140">
        <f t="shared" si="29"/>
        <v>1</v>
      </c>
      <c r="AR22" s="141">
        <f t="shared" si="8"/>
        <v>0.9</v>
      </c>
      <c r="AS22" s="142">
        <f t="shared" si="30"/>
        <v>0</v>
      </c>
      <c r="AT22" s="141" t="str">
        <f t="shared" si="9"/>
        <v/>
      </c>
      <c r="AU22" s="143">
        <f t="shared" si="10"/>
        <v>0</v>
      </c>
      <c r="AV22" s="144">
        <f t="shared" si="11"/>
        <v>0.9</v>
      </c>
      <c r="AW22" s="143" t="b">
        <f t="shared" si="12"/>
        <v>0</v>
      </c>
      <c r="AX22" s="145" t="b">
        <f t="shared" si="13"/>
        <v>0</v>
      </c>
      <c r="AY22" s="143" t="b">
        <f t="shared" si="14"/>
        <v>0</v>
      </c>
      <c r="AZ22" s="145" t="b">
        <f t="shared" si="15"/>
        <v>0</v>
      </c>
      <c r="BA22" s="453" t="b">
        <f t="shared" si="16"/>
        <v>0</v>
      </c>
      <c r="BB22" s="453" t="b">
        <f t="shared" si="17"/>
        <v>0</v>
      </c>
      <c r="BC22" s="143" t="b">
        <f t="shared" si="18"/>
        <v>0</v>
      </c>
      <c r="BD22" s="146" t="b">
        <f t="shared" si="31"/>
        <v>0</v>
      </c>
      <c r="BE22" s="145" t="b">
        <f>IF(OR(ISNA($Z22),K22&lt;&gt;"D"),FALSE,IF(OR(AND(H22="NG",J22=0),AND(H22&lt;&gt;"NG",NOT(OR(J22="NA",J22=0)))),TRUE,FALSE))</f>
        <v>0</v>
      </c>
      <c r="BF22" s="147" t="b">
        <f t="shared" si="20"/>
        <v>0</v>
      </c>
      <c r="BG22" s="453" t="b">
        <f>IF(ISNA($Z22),"NA",IF(OR(AZ22,AY22,AX22,AW22,AP22,BA22,BB22),TRUE,FALSE))</f>
        <v>0</v>
      </c>
      <c r="BH22" s="453">
        <f t="shared" si="32"/>
        <v>1</v>
      </c>
      <c r="BI22" s="453">
        <f t="shared" si="22"/>
        <v>2</v>
      </c>
      <c r="BJ22" s="453" t="str">
        <f t="shared" si="23"/>
        <v>2*</v>
      </c>
      <c r="BK22" s="453">
        <f t="shared" si="24"/>
        <v>3</v>
      </c>
      <c r="BL22" s="148">
        <f t="shared" si="33"/>
        <v>1</v>
      </c>
      <c r="BM22" s="453">
        <f t="shared" si="25"/>
        <v>2</v>
      </c>
      <c r="BN22" s="453">
        <f t="shared" si="26"/>
        <v>3</v>
      </c>
      <c r="BO22" s="936"/>
      <c r="BP22" s="300" t="s">
        <v>360</v>
      </c>
      <c r="BQ22" s="165">
        <f t="shared" si="36"/>
        <v>0.7</v>
      </c>
      <c r="BR22" s="166">
        <f t="shared" si="36"/>
        <v>0.8</v>
      </c>
      <c r="BS22" s="166">
        <f t="shared" si="36"/>
        <v>0.9</v>
      </c>
      <c r="BT22" s="166">
        <f t="shared" si="36"/>
        <v>0.95</v>
      </c>
      <c r="BU22" s="167">
        <f t="shared" si="36"/>
        <v>1</v>
      </c>
    </row>
    <row r="23" spans="2:73" s="94" customFormat="1" ht="12.95" customHeight="1" x14ac:dyDescent="0.2">
      <c r="B23" s="151">
        <f>IF(ISNA(Z23),"",IF(OR(Z23=1,Z23=2),"    ",MAX($B$8:B22)+1))</f>
        <v>12</v>
      </c>
      <c r="C23" s="904" t="str">
        <f t="shared" si="0"/>
        <v xml:space="preserve">      - Aeromodeling Sawtooth Climbs (5.0%)</v>
      </c>
      <c r="D23" s="904"/>
      <c r="E23" s="904"/>
      <c r="F23" s="905"/>
      <c r="G23" s="133">
        <f t="shared" si="1"/>
        <v>1</v>
      </c>
      <c r="H23" s="134" t="str">
        <f t="shared" si="2"/>
        <v>2*</v>
      </c>
      <c r="I23" s="152">
        <f t="shared" si="2"/>
        <v>3</v>
      </c>
      <c r="J23" s="157">
        <v>1</v>
      </c>
      <c r="K23" s="154">
        <v>3</v>
      </c>
      <c r="L23" s="1015"/>
      <c r="M23" s="1016"/>
      <c r="N23" s="1016"/>
      <c r="O23" s="1016"/>
      <c r="P23" s="1016"/>
      <c r="Q23" s="1016"/>
      <c r="R23" s="1017"/>
      <c r="T23" s="99">
        <v>16</v>
      </c>
      <c r="U23" s="88" t="s">
        <v>655</v>
      </c>
      <c r="V23" s="453">
        <v>1</v>
      </c>
      <c r="W23" s="453">
        <v>1</v>
      </c>
      <c r="X23" s="453" t="s">
        <v>340</v>
      </c>
      <c r="Y23" s="453" t="s">
        <v>340</v>
      </c>
      <c r="Z23" s="146" t="s">
        <v>340</v>
      </c>
      <c r="AA23" s="146">
        <v>2</v>
      </c>
      <c r="AB23" s="146">
        <v>1</v>
      </c>
      <c r="AC23" s="453">
        <v>3</v>
      </c>
      <c r="AD23" s="453">
        <v>2</v>
      </c>
      <c r="AE23" s="453">
        <v>1</v>
      </c>
      <c r="AF23" s="453" t="b">
        <v>1</v>
      </c>
      <c r="AG23" s="453">
        <f t="shared" si="3"/>
        <v>3</v>
      </c>
      <c r="AH23" s="453">
        <f t="shared" si="4"/>
        <v>2</v>
      </c>
      <c r="AI23" s="138">
        <f>IF(NOT(OR(Z23=1,Z23=2)),IF(AQ23&gt;0,$AR$44*AQ23/SUMIF($AQ$8:$AQ$39,"&gt;0"),IF(AU23&gt;0,$AV$44*AU23/SUMIF($AU$8:$AU$39,"&gt;0"),IF(AS23&gt;0,$AT$44*AS23/SUMIF($AS$8:$AS$39,"&gt;0"),""))),IF(SUMIF(AJ24:$AJ$39,"=" &amp; AJ23,AI24:$AI$39)=0,"",SUMIF(AJ24:$AJ$39,"=" &amp; AJ23,AI24:$AI$39)))</f>
        <v>0.05</v>
      </c>
      <c r="AJ23" s="139">
        <f t="shared" si="34"/>
        <v>3</v>
      </c>
      <c r="AK23" s="453">
        <f t="shared" si="27"/>
        <v>2</v>
      </c>
      <c r="AL23" s="146">
        <f t="shared" si="28"/>
        <v>3</v>
      </c>
      <c r="AM23" s="146">
        <f t="shared" si="35"/>
        <v>1</v>
      </c>
      <c r="AN23" s="146" t="str">
        <f t="shared" si="5"/>
        <v/>
      </c>
      <c r="AO23" s="146" t="str">
        <f t="shared" si="6"/>
        <v/>
      </c>
      <c r="AP23" s="453" t="b">
        <f t="shared" si="7"/>
        <v>0</v>
      </c>
      <c r="AQ23" s="140">
        <f t="shared" si="29"/>
        <v>1</v>
      </c>
      <c r="AR23" s="141">
        <f t="shared" si="8"/>
        <v>0.9</v>
      </c>
      <c r="AS23" s="142">
        <f t="shared" si="30"/>
        <v>0</v>
      </c>
      <c r="AT23" s="141" t="str">
        <f t="shared" si="9"/>
        <v/>
      </c>
      <c r="AU23" s="143">
        <f t="shared" si="10"/>
        <v>0</v>
      </c>
      <c r="AV23" s="144">
        <f t="shared" si="11"/>
        <v>0.9</v>
      </c>
      <c r="AW23" s="143" t="b">
        <f t="shared" si="12"/>
        <v>0</v>
      </c>
      <c r="AX23" s="145" t="b">
        <f t="shared" si="13"/>
        <v>0</v>
      </c>
      <c r="AY23" s="143" t="b">
        <f t="shared" si="14"/>
        <v>0</v>
      </c>
      <c r="AZ23" s="145" t="b">
        <f t="shared" si="15"/>
        <v>0</v>
      </c>
      <c r="BA23" s="453" t="b">
        <f t="shared" si="16"/>
        <v>0</v>
      </c>
      <c r="BB23" s="453" t="b">
        <f t="shared" si="17"/>
        <v>0</v>
      </c>
      <c r="BC23" s="143" t="b">
        <f t="shared" si="18"/>
        <v>0</v>
      </c>
      <c r="BD23" s="146" t="b">
        <f t="shared" si="31"/>
        <v>0</v>
      </c>
      <c r="BE23" s="145" t="b">
        <f t="shared" ref="BE23:BE39" si="37">IF(OR(ISNA($Z23),K23&lt;&gt;"D"),FALSE,IF(OR(AND(H23="NG",J23=0),AND(H23&lt;&gt;"NG",NOT(OR(J23="NA",J23=0)))),TRUE,FALSE))</f>
        <v>0</v>
      </c>
      <c r="BF23" s="147" t="b">
        <f t="shared" si="20"/>
        <v>0</v>
      </c>
      <c r="BG23" s="453" t="b">
        <f t="shared" ref="BG23:BG39" si="38">IF(ISNA($Z23),"NA",IF(OR(AZ23,AY23,AX23,AW23,AP23,BA23,BB23),TRUE,FALSE))</f>
        <v>0</v>
      </c>
      <c r="BH23" s="453">
        <f t="shared" si="32"/>
        <v>1</v>
      </c>
      <c r="BI23" s="453">
        <f t="shared" si="22"/>
        <v>2</v>
      </c>
      <c r="BJ23" s="453" t="str">
        <f t="shared" si="23"/>
        <v>2*</v>
      </c>
      <c r="BK23" s="453">
        <f t="shared" si="24"/>
        <v>3</v>
      </c>
      <c r="BL23" s="148">
        <f t="shared" si="33"/>
        <v>1</v>
      </c>
      <c r="BM23" s="453">
        <f t="shared" si="25"/>
        <v>2</v>
      </c>
      <c r="BN23" s="453">
        <f t="shared" si="26"/>
        <v>3</v>
      </c>
      <c r="BO23" s="936"/>
      <c r="BP23" s="300" t="s">
        <v>361</v>
      </c>
      <c r="BQ23" s="165">
        <f t="shared" si="36"/>
        <v>0.7</v>
      </c>
      <c r="BR23" s="166">
        <f t="shared" si="36"/>
        <v>0.76670000000000005</v>
      </c>
      <c r="BS23" s="166">
        <f t="shared" si="36"/>
        <v>0.83330000000000004</v>
      </c>
      <c r="BT23" s="166">
        <f t="shared" si="36"/>
        <v>0.9</v>
      </c>
      <c r="BU23" s="167">
        <f t="shared" si="36"/>
        <v>1</v>
      </c>
    </row>
    <row r="24" spans="2:73" s="94" customFormat="1" ht="12.95" customHeight="1" x14ac:dyDescent="0.2">
      <c r="B24" s="151">
        <f>IF(ISNA(Z24),"",IF(OR(Z24=1,Z24=2),"    ",MAX($B$8:B23)+1))</f>
        <v>13</v>
      </c>
      <c r="C24" s="904" t="str">
        <f t="shared" si="0"/>
        <v xml:space="preserve">      - Roller Coaster, 0.8M (5.0%)</v>
      </c>
      <c r="D24" s="904"/>
      <c r="E24" s="904"/>
      <c r="F24" s="905"/>
      <c r="G24" s="133">
        <f t="shared" si="1"/>
        <v>1</v>
      </c>
      <c r="H24" s="134" t="str">
        <f t="shared" si="2"/>
        <v>2*</v>
      </c>
      <c r="I24" s="152">
        <f t="shared" si="2"/>
        <v>3</v>
      </c>
      <c r="J24" s="157">
        <v>1</v>
      </c>
      <c r="K24" s="154">
        <v>4</v>
      </c>
      <c r="L24" s="1015"/>
      <c r="M24" s="1016"/>
      <c r="N24" s="1016"/>
      <c r="O24" s="1016"/>
      <c r="P24" s="1016"/>
      <c r="Q24" s="1016"/>
      <c r="R24" s="1017"/>
      <c r="T24" s="99">
        <v>17</v>
      </c>
      <c r="U24" s="88" t="s">
        <v>656</v>
      </c>
      <c r="V24" s="453">
        <v>1</v>
      </c>
      <c r="W24" s="453">
        <v>1</v>
      </c>
      <c r="X24" s="453" t="s">
        <v>340</v>
      </c>
      <c r="Y24" s="453" t="s">
        <v>340</v>
      </c>
      <c r="Z24" s="146" t="s">
        <v>340</v>
      </c>
      <c r="AA24" s="146">
        <v>2</v>
      </c>
      <c r="AB24" s="146">
        <v>1</v>
      </c>
      <c r="AC24" s="453">
        <v>3</v>
      </c>
      <c r="AD24" s="453">
        <v>2</v>
      </c>
      <c r="AE24" s="453">
        <v>1</v>
      </c>
      <c r="AF24" s="453" t="b">
        <v>1</v>
      </c>
      <c r="AG24" s="453">
        <f t="shared" si="3"/>
        <v>3</v>
      </c>
      <c r="AH24" s="453">
        <f t="shared" si="4"/>
        <v>2</v>
      </c>
      <c r="AI24" s="138">
        <f>IF(NOT(OR(Z24=1,Z24=2)),IF(AQ24&gt;0,$AR$44*AQ24/SUMIF($AQ$8:$AQ$39,"&gt;0"),IF(AU24&gt;0,$AV$44*AU24/SUMIF($AU$8:$AU$39,"&gt;0"),IF(AS24&gt;0,$AT$44*AS24/SUMIF($AS$8:$AS$39,"&gt;0"),""))),IF(SUMIF(AJ25:$AJ$39,"=" &amp; AJ24,AI25:$AI$39)=0,"",SUMIF(AJ25:$AJ$39,"=" &amp; AJ24,AI25:$AI$39)))</f>
        <v>0.05</v>
      </c>
      <c r="AJ24" s="139">
        <f t="shared" si="34"/>
        <v>3</v>
      </c>
      <c r="AK24" s="453">
        <f t="shared" si="27"/>
        <v>2</v>
      </c>
      <c r="AL24" s="146">
        <f t="shared" si="28"/>
        <v>4</v>
      </c>
      <c r="AM24" s="146">
        <f t="shared" si="35"/>
        <v>1</v>
      </c>
      <c r="AN24" s="146" t="str">
        <f t="shared" si="5"/>
        <v/>
      </c>
      <c r="AO24" s="146" t="str">
        <f t="shared" si="6"/>
        <v/>
      </c>
      <c r="AP24" s="453" t="b">
        <f t="shared" si="7"/>
        <v>0</v>
      </c>
      <c r="AQ24" s="140">
        <f t="shared" si="29"/>
        <v>1</v>
      </c>
      <c r="AR24" s="141">
        <f t="shared" si="8"/>
        <v>1</v>
      </c>
      <c r="AS24" s="142">
        <f t="shared" si="30"/>
        <v>0</v>
      </c>
      <c r="AT24" s="141" t="str">
        <f t="shared" si="9"/>
        <v/>
      </c>
      <c r="AU24" s="143">
        <f t="shared" si="10"/>
        <v>0</v>
      </c>
      <c r="AV24" s="144">
        <f t="shared" si="11"/>
        <v>1</v>
      </c>
      <c r="AW24" s="143" t="b">
        <f t="shared" si="12"/>
        <v>0</v>
      </c>
      <c r="AX24" s="145" t="b">
        <f t="shared" si="13"/>
        <v>0</v>
      </c>
      <c r="AY24" s="143" t="b">
        <f t="shared" si="14"/>
        <v>0</v>
      </c>
      <c r="AZ24" s="145" t="b">
        <f t="shared" si="15"/>
        <v>0</v>
      </c>
      <c r="BA24" s="453" t="b">
        <f t="shared" si="16"/>
        <v>0</v>
      </c>
      <c r="BB24" s="453" t="b">
        <f t="shared" si="17"/>
        <v>0</v>
      </c>
      <c r="BC24" s="143" t="b">
        <f t="shared" si="18"/>
        <v>0</v>
      </c>
      <c r="BD24" s="146" t="b">
        <f t="shared" si="31"/>
        <v>0</v>
      </c>
      <c r="BE24" s="145" t="b">
        <f t="shared" si="37"/>
        <v>0</v>
      </c>
      <c r="BF24" s="147" t="b">
        <f t="shared" si="20"/>
        <v>0</v>
      </c>
      <c r="BG24" s="453" t="b">
        <f t="shared" si="38"/>
        <v>0</v>
      </c>
      <c r="BH24" s="453">
        <f t="shared" si="32"/>
        <v>1</v>
      </c>
      <c r="BI24" s="453">
        <f t="shared" si="22"/>
        <v>2</v>
      </c>
      <c r="BJ24" s="453" t="str">
        <f t="shared" si="23"/>
        <v>2*</v>
      </c>
      <c r="BK24" s="453">
        <f t="shared" si="24"/>
        <v>3</v>
      </c>
      <c r="BL24" s="148">
        <f t="shared" si="33"/>
        <v>1</v>
      </c>
      <c r="BM24" s="453">
        <f t="shared" si="25"/>
        <v>2</v>
      </c>
      <c r="BN24" s="453">
        <f t="shared" si="26"/>
        <v>3</v>
      </c>
      <c r="BO24" s="936"/>
      <c r="BP24" s="300" t="s">
        <v>362</v>
      </c>
      <c r="BQ24" s="165">
        <f t="shared" si="36"/>
        <v>0.6</v>
      </c>
      <c r="BR24" s="166">
        <f t="shared" si="36"/>
        <v>0.9</v>
      </c>
      <c r="BS24" s="166">
        <f t="shared" si="36"/>
        <v>0.93330000000000002</v>
      </c>
      <c r="BT24" s="166">
        <f t="shared" si="36"/>
        <v>0.9667</v>
      </c>
      <c r="BU24" s="167">
        <f t="shared" si="36"/>
        <v>1</v>
      </c>
    </row>
    <row r="25" spans="2:73" s="94" customFormat="1" ht="12.95" customHeight="1" x14ac:dyDescent="0.2">
      <c r="B25" s="151">
        <f>IF(ISNA(Z25),"",IF(OR(Z25=1,Z25=2),"    ",MAX($B$8:B24)+1))</f>
        <v>14</v>
      </c>
      <c r="C25" s="904" t="str">
        <f t="shared" si="0"/>
        <v xml:space="preserve">      - Wind-Up Turn, 0.8M (5.0%)</v>
      </c>
      <c r="D25" s="904"/>
      <c r="E25" s="904"/>
      <c r="F25" s="905"/>
      <c r="G25" s="133">
        <f t="shared" si="1"/>
        <v>1</v>
      </c>
      <c r="H25" s="134" t="str">
        <f t="shared" si="2"/>
        <v>2*</v>
      </c>
      <c r="I25" s="152">
        <f t="shared" si="2"/>
        <v>3</v>
      </c>
      <c r="J25" s="157">
        <v>1</v>
      </c>
      <c r="K25" s="154">
        <v>4</v>
      </c>
      <c r="L25" s="1015"/>
      <c r="M25" s="1016"/>
      <c r="N25" s="1016"/>
      <c r="O25" s="1016"/>
      <c r="P25" s="1016"/>
      <c r="Q25" s="1016"/>
      <c r="R25" s="1017"/>
      <c r="T25" s="99">
        <v>18</v>
      </c>
      <c r="U25" s="88" t="s">
        <v>657</v>
      </c>
      <c r="V25" s="453">
        <v>1</v>
      </c>
      <c r="W25" s="453">
        <v>1</v>
      </c>
      <c r="X25" s="453" t="s">
        <v>340</v>
      </c>
      <c r="Y25" s="453" t="s">
        <v>340</v>
      </c>
      <c r="Z25" s="146" t="s">
        <v>340</v>
      </c>
      <c r="AA25" s="146">
        <v>2</v>
      </c>
      <c r="AB25" s="146">
        <v>1</v>
      </c>
      <c r="AC25" s="453">
        <v>3</v>
      </c>
      <c r="AD25" s="453">
        <v>2</v>
      </c>
      <c r="AE25" s="453">
        <v>1</v>
      </c>
      <c r="AF25" s="453" t="b">
        <v>1</v>
      </c>
      <c r="AG25" s="453">
        <f t="shared" si="3"/>
        <v>3</v>
      </c>
      <c r="AH25" s="453">
        <f t="shared" si="4"/>
        <v>2</v>
      </c>
      <c r="AI25" s="138">
        <f>IF(NOT(OR(Z25=1,Z25=2)),IF(AQ25&gt;0,$AR$44*AQ25/SUMIF($AQ$8:$AQ$39,"&gt;0"),IF(AU25&gt;0,$AV$44*AU25/SUMIF($AU$8:$AU$39,"&gt;0"),IF(AS25&gt;0,$AT$44*AS25/SUMIF($AS$8:$AS$39,"&gt;0"),""))),IF(SUMIF(AJ26:$AJ$39,"=" &amp; AJ25,AI26:$AI$39)=0,"",SUMIF(AJ26:$AJ$39,"=" &amp; AJ25,AI26:$AI$39)))</f>
        <v>0.05</v>
      </c>
      <c r="AJ25" s="139">
        <f t="shared" si="34"/>
        <v>3</v>
      </c>
      <c r="AK25" s="453">
        <f t="shared" si="27"/>
        <v>2</v>
      </c>
      <c r="AL25" s="146">
        <f t="shared" si="28"/>
        <v>4</v>
      </c>
      <c r="AM25" s="146">
        <f t="shared" si="35"/>
        <v>1</v>
      </c>
      <c r="AN25" s="146" t="str">
        <f t="shared" si="5"/>
        <v/>
      </c>
      <c r="AO25" s="146" t="str">
        <f t="shared" si="6"/>
        <v/>
      </c>
      <c r="AP25" s="453" t="b">
        <f t="shared" si="7"/>
        <v>0</v>
      </c>
      <c r="AQ25" s="140">
        <f t="shared" si="29"/>
        <v>1</v>
      </c>
      <c r="AR25" s="141">
        <f t="shared" si="8"/>
        <v>1</v>
      </c>
      <c r="AS25" s="142">
        <f t="shared" si="30"/>
        <v>0</v>
      </c>
      <c r="AT25" s="141" t="str">
        <f t="shared" si="9"/>
        <v/>
      </c>
      <c r="AU25" s="143">
        <f t="shared" si="10"/>
        <v>0</v>
      </c>
      <c r="AV25" s="144">
        <f t="shared" si="11"/>
        <v>1</v>
      </c>
      <c r="AW25" s="143" t="b">
        <f t="shared" si="12"/>
        <v>0</v>
      </c>
      <c r="AX25" s="145" t="b">
        <f t="shared" si="13"/>
        <v>0</v>
      </c>
      <c r="AY25" s="143" t="b">
        <f t="shared" si="14"/>
        <v>0</v>
      </c>
      <c r="AZ25" s="145" t="b">
        <f t="shared" si="15"/>
        <v>0</v>
      </c>
      <c r="BA25" s="453" t="b">
        <f t="shared" si="16"/>
        <v>0</v>
      </c>
      <c r="BB25" s="453" t="b">
        <f t="shared" si="17"/>
        <v>0</v>
      </c>
      <c r="BC25" s="143" t="b">
        <f t="shared" si="18"/>
        <v>0</v>
      </c>
      <c r="BD25" s="146" t="b">
        <f t="shared" si="31"/>
        <v>0</v>
      </c>
      <c r="BE25" s="145" t="b">
        <f t="shared" si="37"/>
        <v>0</v>
      </c>
      <c r="BF25" s="147" t="b">
        <f t="shared" si="20"/>
        <v>0</v>
      </c>
      <c r="BG25" s="453" t="b">
        <f t="shared" si="38"/>
        <v>0</v>
      </c>
      <c r="BH25" s="453">
        <f t="shared" si="32"/>
        <v>1</v>
      </c>
      <c r="BI25" s="453">
        <f t="shared" si="22"/>
        <v>2</v>
      </c>
      <c r="BJ25" s="453" t="str">
        <f t="shared" si="23"/>
        <v>2*</v>
      </c>
      <c r="BK25" s="453">
        <f t="shared" si="24"/>
        <v>3</v>
      </c>
      <c r="BL25" s="148">
        <f t="shared" si="33"/>
        <v>1</v>
      </c>
      <c r="BM25" s="453">
        <f t="shared" si="25"/>
        <v>2</v>
      </c>
      <c r="BN25" s="453">
        <f t="shared" si="26"/>
        <v>3</v>
      </c>
      <c r="BO25" s="936"/>
      <c r="BP25" s="300" t="s">
        <v>363</v>
      </c>
      <c r="BQ25" s="165">
        <f t="shared" si="36"/>
        <v>0.6</v>
      </c>
      <c r="BR25" s="166">
        <f t="shared" si="36"/>
        <v>0.7</v>
      </c>
      <c r="BS25" s="166">
        <f t="shared" si="36"/>
        <v>0.9</v>
      </c>
      <c r="BT25" s="166">
        <f t="shared" si="36"/>
        <v>0.95</v>
      </c>
      <c r="BU25" s="167">
        <f t="shared" si="36"/>
        <v>1</v>
      </c>
    </row>
    <row r="26" spans="2:73" s="94" customFormat="1" ht="12.95" customHeight="1" x14ac:dyDescent="0.2">
      <c r="B26" s="151">
        <f>IF(ISNA(Z26),"",IF(OR(Z26=1,Z26=2),"    ",MAX($B$8:B25)+1))</f>
        <v>15</v>
      </c>
      <c r="C26" s="904" t="str">
        <f t="shared" si="0"/>
        <v xml:space="preserve">      - Split-S, 0.8M (5.0%)</v>
      </c>
      <c r="D26" s="904"/>
      <c r="E26" s="904"/>
      <c r="F26" s="905"/>
      <c r="G26" s="133">
        <f t="shared" si="1"/>
        <v>1</v>
      </c>
      <c r="H26" s="134" t="str">
        <f t="shared" si="2"/>
        <v>2*</v>
      </c>
      <c r="I26" s="152">
        <f t="shared" si="2"/>
        <v>3</v>
      </c>
      <c r="J26" s="157">
        <v>1</v>
      </c>
      <c r="K26" s="154">
        <v>4</v>
      </c>
      <c r="L26" s="1015"/>
      <c r="M26" s="1016"/>
      <c r="N26" s="1016"/>
      <c r="O26" s="1016"/>
      <c r="P26" s="1016"/>
      <c r="Q26" s="1016"/>
      <c r="R26" s="1017"/>
      <c r="T26" s="99">
        <v>19</v>
      </c>
      <c r="U26" s="88" t="s">
        <v>658</v>
      </c>
      <c r="V26" s="453">
        <v>1</v>
      </c>
      <c r="W26" s="453">
        <v>1</v>
      </c>
      <c r="X26" s="453" t="s">
        <v>340</v>
      </c>
      <c r="Y26" s="453" t="s">
        <v>340</v>
      </c>
      <c r="Z26" s="146" t="s">
        <v>340</v>
      </c>
      <c r="AA26" s="146">
        <v>2</v>
      </c>
      <c r="AB26" s="146">
        <v>1</v>
      </c>
      <c r="AC26" s="453">
        <v>3</v>
      </c>
      <c r="AD26" s="453">
        <v>2</v>
      </c>
      <c r="AE26" s="453">
        <v>1</v>
      </c>
      <c r="AF26" s="453" t="b">
        <v>1</v>
      </c>
      <c r="AG26" s="453">
        <f t="shared" si="3"/>
        <v>3</v>
      </c>
      <c r="AH26" s="453">
        <f t="shared" si="4"/>
        <v>2</v>
      </c>
      <c r="AI26" s="138">
        <f>IF(NOT(OR(Z26=1,Z26=2)),IF(AQ26&gt;0,$AR$44*AQ26/SUMIF($AQ$8:$AQ$39,"&gt;0"),IF(AU26&gt;0,$AV$44*AU26/SUMIF($AU$8:$AU$39,"&gt;0"),IF(AS26&gt;0,$AT$44*AS26/SUMIF($AS$8:$AS$39,"&gt;0"),""))),IF(SUMIF(AJ27:$AJ$39,"=" &amp; AJ26,AI27:$AI$39)=0,"",SUMIF(AJ27:$AJ$39,"=" &amp; AJ26,AI27:$AI$39)))</f>
        <v>0.05</v>
      </c>
      <c r="AJ26" s="139">
        <f t="shared" si="34"/>
        <v>3</v>
      </c>
      <c r="AK26" s="453">
        <f t="shared" si="27"/>
        <v>2</v>
      </c>
      <c r="AL26" s="146">
        <f t="shared" si="28"/>
        <v>4</v>
      </c>
      <c r="AM26" s="146">
        <f t="shared" si="35"/>
        <v>1</v>
      </c>
      <c r="AN26" s="146" t="str">
        <f t="shared" si="5"/>
        <v/>
      </c>
      <c r="AO26" s="146" t="str">
        <f t="shared" si="6"/>
        <v/>
      </c>
      <c r="AP26" s="453" t="b">
        <f t="shared" si="7"/>
        <v>0</v>
      </c>
      <c r="AQ26" s="140">
        <f t="shared" si="29"/>
        <v>1</v>
      </c>
      <c r="AR26" s="141">
        <f t="shared" si="8"/>
        <v>1</v>
      </c>
      <c r="AS26" s="142">
        <f t="shared" si="30"/>
        <v>0</v>
      </c>
      <c r="AT26" s="141" t="str">
        <f t="shared" si="9"/>
        <v/>
      </c>
      <c r="AU26" s="143">
        <f t="shared" si="10"/>
        <v>0</v>
      </c>
      <c r="AV26" s="144">
        <f t="shared" si="11"/>
        <v>1</v>
      </c>
      <c r="AW26" s="143" t="b">
        <f t="shared" si="12"/>
        <v>0</v>
      </c>
      <c r="AX26" s="145" t="b">
        <f t="shared" si="13"/>
        <v>0</v>
      </c>
      <c r="AY26" s="143" t="b">
        <f t="shared" si="14"/>
        <v>0</v>
      </c>
      <c r="AZ26" s="145" t="b">
        <f t="shared" si="15"/>
        <v>0</v>
      </c>
      <c r="BA26" s="453" t="b">
        <f t="shared" si="16"/>
        <v>0</v>
      </c>
      <c r="BB26" s="453" t="b">
        <f t="shared" si="17"/>
        <v>0</v>
      </c>
      <c r="BC26" s="143" t="b">
        <f t="shared" si="18"/>
        <v>0</v>
      </c>
      <c r="BD26" s="146" t="b">
        <f t="shared" si="31"/>
        <v>0</v>
      </c>
      <c r="BE26" s="145" t="b">
        <f t="shared" si="37"/>
        <v>0</v>
      </c>
      <c r="BF26" s="147" t="b">
        <f t="shared" si="20"/>
        <v>0</v>
      </c>
      <c r="BG26" s="453" t="b">
        <f t="shared" si="38"/>
        <v>0</v>
      </c>
      <c r="BH26" s="453">
        <f t="shared" si="32"/>
        <v>1</v>
      </c>
      <c r="BI26" s="453">
        <f t="shared" si="22"/>
        <v>2</v>
      </c>
      <c r="BJ26" s="453" t="str">
        <f t="shared" si="23"/>
        <v>2*</v>
      </c>
      <c r="BK26" s="453">
        <f t="shared" si="24"/>
        <v>3</v>
      </c>
      <c r="BL26" s="148">
        <f t="shared" si="33"/>
        <v>1</v>
      </c>
      <c r="BM26" s="453">
        <f t="shared" si="25"/>
        <v>2</v>
      </c>
      <c r="BN26" s="453">
        <f t="shared" si="26"/>
        <v>3</v>
      </c>
      <c r="BO26" s="936"/>
      <c r="BP26" s="300" t="s">
        <v>364</v>
      </c>
      <c r="BQ26" s="165">
        <f t="shared" si="36"/>
        <v>0.6</v>
      </c>
      <c r="BR26" s="166">
        <f t="shared" si="36"/>
        <v>0.7</v>
      </c>
      <c r="BS26" s="166">
        <f t="shared" si="36"/>
        <v>0.8</v>
      </c>
      <c r="BT26" s="166">
        <f t="shared" si="36"/>
        <v>0.9</v>
      </c>
      <c r="BU26" s="167">
        <f t="shared" si="36"/>
        <v>1</v>
      </c>
    </row>
    <row r="27" spans="2:73" s="94" customFormat="1" ht="12.95" customHeight="1" x14ac:dyDescent="0.2">
      <c r="B27" s="151">
        <f>IF(ISNA(Z27),"",IF(OR(Z27=1,Z27=2),"    ",MAX($B$8:B26)+1))</f>
        <v>16</v>
      </c>
      <c r="C27" s="904" t="str">
        <f t="shared" si="0"/>
        <v xml:space="preserve">      - Roller Coaster, ~1.1M (5.0%)</v>
      </c>
      <c r="D27" s="904"/>
      <c r="E27" s="904"/>
      <c r="F27" s="905"/>
      <c r="G27" s="133">
        <f t="shared" si="1"/>
        <v>1</v>
      </c>
      <c r="H27" s="134" t="str">
        <f t="shared" si="2"/>
        <v>2*</v>
      </c>
      <c r="I27" s="152">
        <f t="shared" si="2"/>
        <v>3</v>
      </c>
      <c r="J27" s="157">
        <v>1</v>
      </c>
      <c r="K27" s="154">
        <v>3</v>
      </c>
      <c r="L27" s="1015"/>
      <c r="M27" s="1016"/>
      <c r="N27" s="1016"/>
      <c r="O27" s="1016"/>
      <c r="P27" s="1016"/>
      <c r="Q27" s="1016"/>
      <c r="R27" s="1017"/>
      <c r="T27" s="99">
        <v>20</v>
      </c>
      <c r="U27" s="88" t="s">
        <v>659</v>
      </c>
      <c r="V27" s="453">
        <v>1</v>
      </c>
      <c r="W27" s="453">
        <v>1</v>
      </c>
      <c r="X27" s="453" t="s">
        <v>340</v>
      </c>
      <c r="Y27" s="453" t="s">
        <v>340</v>
      </c>
      <c r="Z27" s="146" t="s">
        <v>340</v>
      </c>
      <c r="AA27" s="146">
        <v>2</v>
      </c>
      <c r="AB27" s="146">
        <v>1</v>
      </c>
      <c r="AC27" s="453">
        <v>3</v>
      </c>
      <c r="AD27" s="453">
        <v>2</v>
      </c>
      <c r="AE27" s="453">
        <v>1</v>
      </c>
      <c r="AF27" s="453" t="b">
        <v>1</v>
      </c>
      <c r="AG27" s="453">
        <f t="shared" si="3"/>
        <v>3</v>
      </c>
      <c r="AH27" s="453">
        <f t="shared" si="4"/>
        <v>2</v>
      </c>
      <c r="AI27" s="138">
        <f>IF(NOT(OR(Z27=1,Z27=2)),IF(AQ27&gt;0,$AR$44*AQ27/SUMIF($AQ$8:$AQ$39,"&gt;0"),IF(AU27&gt;0,$AV$44*AU27/SUMIF($AU$8:$AU$39,"&gt;0"),IF(AS27&gt;0,$AT$44*AS27/SUMIF($AS$8:$AS$39,"&gt;0"),""))),IF(SUMIF(AJ28:$AJ$39,"=" &amp; AJ27,AI28:$AI$39)=0,"",SUMIF(AJ28:$AJ$39,"=" &amp; AJ27,AI28:$AI$39)))</f>
        <v>0.05</v>
      </c>
      <c r="AJ27" s="139">
        <f t="shared" si="34"/>
        <v>3</v>
      </c>
      <c r="AK27" s="453">
        <f t="shared" si="27"/>
        <v>2</v>
      </c>
      <c r="AL27" s="146">
        <f t="shared" si="28"/>
        <v>3</v>
      </c>
      <c r="AM27" s="146">
        <f t="shared" si="35"/>
        <v>1</v>
      </c>
      <c r="AN27" s="146" t="str">
        <f t="shared" si="5"/>
        <v/>
      </c>
      <c r="AO27" s="146" t="str">
        <f t="shared" si="6"/>
        <v/>
      </c>
      <c r="AP27" s="453" t="b">
        <f t="shared" si="7"/>
        <v>0</v>
      </c>
      <c r="AQ27" s="140">
        <f t="shared" si="29"/>
        <v>1</v>
      </c>
      <c r="AR27" s="141">
        <f t="shared" si="8"/>
        <v>0.9</v>
      </c>
      <c r="AS27" s="142">
        <f t="shared" si="30"/>
        <v>0</v>
      </c>
      <c r="AT27" s="141" t="str">
        <f t="shared" si="9"/>
        <v/>
      </c>
      <c r="AU27" s="143">
        <f t="shared" si="10"/>
        <v>0</v>
      </c>
      <c r="AV27" s="144">
        <f t="shared" si="11"/>
        <v>0.9</v>
      </c>
      <c r="AW27" s="143" t="b">
        <f t="shared" si="12"/>
        <v>0</v>
      </c>
      <c r="AX27" s="145" t="b">
        <f t="shared" si="13"/>
        <v>0</v>
      </c>
      <c r="AY27" s="143" t="b">
        <f t="shared" si="14"/>
        <v>0</v>
      </c>
      <c r="AZ27" s="145" t="b">
        <f t="shared" si="15"/>
        <v>0</v>
      </c>
      <c r="BA27" s="453" t="b">
        <f t="shared" si="16"/>
        <v>0</v>
      </c>
      <c r="BB27" s="453" t="b">
        <f t="shared" si="17"/>
        <v>0</v>
      </c>
      <c r="BC27" s="143" t="b">
        <f t="shared" si="18"/>
        <v>0</v>
      </c>
      <c r="BD27" s="146" t="b">
        <f t="shared" si="31"/>
        <v>0</v>
      </c>
      <c r="BE27" s="145" t="b">
        <f t="shared" si="37"/>
        <v>0</v>
      </c>
      <c r="BF27" s="147" t="b">
        <f t="shared" si="20"/>
        <v>0</v>
      </c>
      <c r="BG27" s="453" t="b">
        <f t="shared" si="38"/>
        <v>0</v>
      </c>
      <c r="BH27" s="453">
        <f t="shared" si="32"/>
        <v>1</v>
      </c>
      <c r="BI27" s="453">
        <f t="shared" si="22"/>
        <v>2</v>
      </c>
      <c r="BJ27" s="453" t="str">
        <f t="shared" si="23"/>
        <v>2*</v>
      </c>
      <c r="BK27" s="453">
        <f t="shared" si="24"/>
        <v>3</v>
      </c>
      <c r="BL27" s="148">
        <f t="shared" si="33"/>
        <v>1</v>
      </c>
      <c r="BM27" s="453">
        <f t="shared" si="25"/>
        <v>2</v>
      </c>
      <c r="BN27" s="453">
        <f t="shared" si="26"/>
        <v>3</v>
      </c>
      <c r="BO27" s="936"/>
      <c r="BP27" s="300" t="s">
        <v>365</v>
      </c>
      <c r="BQ27" s="165">
        <f t="shared" si="36"/>
        <v>0.3</v>
      </c>
      <c r="BR27" s="166">
        <f t="shared" si="36"/>
        <v>0.6</v>
      </c>
      <c r="BS27" s="166">
        <f t="shared" si="36"/>
        <v>0.9</v>
      </c>
      <c r="BT27" s="166">
        <f t="shared" si="36"/>
        <v>0.95</v>
      </c>
      <c r="BU27" s="167">
        <f t="shared" si="36"/>
        <v>1</v>
      </c>
    </row>
    <row r="28" spans="2:73" s="94" customFormat="1" ht="12.95" customHeight="1" x14ac:dyDescent="0.2">
      <c r="B28" s="151">
        <f>IF(ISNA(Z28),"",IF(OR(Z28=1,Z28=2),"    ",MAX($B$8:B27)+1))</f>
        <v>17</v>
      </c>
      <c r="C28" s="904" t="str">
        <f t="shared" si="0"/>
        <v xml:space="preserve">      - Split-S, ~1.1M (5.0%)</v>
      </c>
      <c r="D28" s="904"/>
      <c r="E28" s="904"/>
      <c r="F28" s="905"/>
      <c r="G28" s="133">
        <f t="shared" si="1"/>
        <v>1</v>
      </c>
      <c r="H28" s="134" t="str">
        <f t="shared" si="2"/>
        <v>2*</v>
      </c>
      <c r="I28" s="152">
        <f t="shared" si="2"/>
        <v>3</v>
      </c>
      <c r="J28" s="157">
        <v>1</v>
      </c>
      <c r="K28" s="154">
        <v>3</v>
      </c>
      <c r="L28" s="1015"/>
      <c r="M28" s="1016"/>
      <c r="N28" s="1016"/>
      <c r="O28" s="1016"/>
      <c r="P28" s="1016"/>
      <c r="Q28" s="1016"/>
      <c r="R28" s="1017"/>
      <c r="T28" s="99">
        <v>21</v>
      </c>
      <c r="U28" s="88" t="s">
        <v>660</v>
      </c>
      <c r="V28" s="453">
        <v>1</v>
      </c>
      <c r="W28" s="453">
        <v>1</v>
      </c>
      <c r="X28" s="453" t="s">
        <v>340</v>
      </c>
      <c r="Y28" s="453" t="s">
        <v>340</v>
      </c>
      <c r="Z28" s="146" t="s">
        <v>340</v>
      </c>
      <c r="AA28" s="146">
        <v>2</v>
      </c>
      <c r="AB28" s="146">
        <v>1</v>
      </c>
      <c r="AC28" s="453">
        <v>3</v>
      </c>
      <c r="AD28" s="453">
        <v>2</v>
      </c>
      <c r="AE28" s="453">
        <v>1</v>
      </c>
      <c r="AF28" s="453" t="b">
        <v>1</v>
      </c>
      <c r="AG28" s="453">
        <f t="shared" si="3"/>
        <v>3</v>
      </c>
      <c r="AH28" s="453">
        <f t="shared" si="4"/>
        <v>2</v>
      </c>
      <c r="AI28" s="138">
        <f>IF(NOT(OR(Z28=1,Z28=2)),IF(AQ28&gt;0,$AR$44*AQ28/SUMIF($AQ$8:$AQ$39,"&gt;0"),IF(AU28&gt;0,$AV$44*AU28/SUMIF($AU$8:$AU$39,"&gt;0"),IF(AS28&gt;0,$AT$44*AS28/SUMIF($AS$8:$AS$39,"&gt;0"),""))),IF(SUMIF(AJ29:$AJ$39,"=" &amp; AJ28,AI29:$AI$39)=0,"",SUMIF(AJ29:$AJ$39,"=" &amp; AJ28,AI29:$AI$39)))</f>
        <v>0.05</v>
      </c>
      <c r="AJ28" s="139">
        <f t="shared" si="34"/>
        <v>3</v>
      </c>
      <c r="AK28" s="453">
        <f t="shared" si="27"/>
        <v>2</v>
      </c>
      <c r="AL28" s="146">
        <f t="shared" si="28"/>
        <v>3</v>
      </c>
      <c r="AM28" s="146">
        <f t="shared" si="35"/>
        <v>1</v>
      </c>
      <c r="AN28" s="146" t="str">
        <f t="shared" si="5"/>
        <v/>
      </c>
      <c r="AO28" s="146" t="str">
        <f t="shared" si="6"/>
        <v/>
      </c>
      <c r="AP28" s="453" t="b">
        <f t="shared" si="7"/>
        <v>0</v>
      </c>
      <c r="AQ28" s="140">
        <f t="shared" si="29"/>
        <v>1</v>
      </c>
      <c r="AR28" s="141">
        <f t="shared" si="8"/>
        <v>0.9</v>
      </c>
      <c r="AS28" s="142">
        <f t="shared" si="30"/>
        <v>0</v>
      </c>
      <c r="AT28" s="141" t="str">
        <f t="shared" si="9"/>
        <v/>
      </c>
      <c r="AU28" s="143">
        <f t="shared" si="10"/>
        <v>0</v>
      </c>
      <c r="AV28" s="144">
        <f t="shared" si="11"/>
        <v>0.9</v>
      </c>
      <c r="AW28" s="143" t="b">
        <f t="shared" si="12"/>
        <v>0</v>
      </c>
      <c r="AX28" s="145" t="b">
        <f t="shared" si="13"/>
        <v>0</v>
      </c>
      <c r="AY28" s="143" t="b">
        <f t="shared" si="14"/>
        <v>0</v>
      </c>
      <c r="AZ28" s="145" t="b">
        <f t="shared" si="15"/>
        <v>0</v>
      </c>
      <c r="BA28" s="453" t="b">
        <f t="shared" si="16"/>
        <v>0</v>
      </c>
      <c r="BB28" s="453" t="b">
        <f t="shared" si="17"/>
        <v>0</v>
      </c>
      <c r="BC28" s="143" t="b">
        <f t="shared" si="18"/>
        <v>0</v>
      </c>
      <c r="BD28" s="146" t="b">
        <f t="shared" si="31"/>
        <v>0</v>
      </c>
      <c r="BE28" s="145" t="b">
        <f t="shared" si="37"/>
        <v>0</v>
      </c>
      <c r="BF28" s="147" t="b">
        <f t="shared" si="20"/>
        <v>0</v>
      </c>
      <c r="BG28" s="453" t="b">
        <f t="shared" si="38"/>
        <v>0</v>
      </c>
      <c r="BH28" s="453">
        <f t="shared" si="32"/>
        <v>1</v>
      </c>
      <c r="BI28" s="453">
        <f t="shared" si="22"/>
        <v>2</v>
      </c>
      <c r="BJ28" s="453" t="str">
        <f t="shared" si="23"/>
        <v>2*</v>
      </c>
      <c r="BK28" s="453">
        <f t="shared" si="24"/>
        <v>3</v>
      </c>
      <c r="BL28" s="148">
        <f t="shared" si="33"/>
        <v>1</v>
      </c>
      <c r="BM28" s="453">
        <f t="shared" si="25"/>
        <v>2</v>
      </c>
      <c r="BN28" s="453">
        <f t="shared" si="26"/>
        <v>3</v>
      </c>
      <c r="BO28" s="936"/>
      <c r="BP28" s="300" t="s">
        <v>366</v>
      </c>
      <c r="BQ28" s="165">
        <f t="shared" si="36"/>
        <v>0.3</v>
      </c>
      <c r="BR28" s="166">
        <f t="shared" si="36"/>
        <v>0.6</v>
      </c>
      <c r="BS28" s="166">
        <f t="shared" si="36"/>
        <v>0.7</v>
      </c>
      <c r="BT28" s="166">
        <f t="shared" si="36"/>
        <v>0.9</v>
      </c>
      <c r="BU28" s="167">
        <f t="shared" si="36"/>
        <v>1</v>
      </c>
    </row>
    <row r="29" spans="2:73" s="94" customFormat="1" ht="12.95" customHeight="1" x14ac:dyDescent="0.2">
      <c r="B29" s="151">
        <f>IF(ISNA(Z29),"",IF(OR(Z29=1,Z29=2),"    ",MAX($B$8:B28)+1))</f>
        <v>18</v>
      </c>
      <c r="C29" s="904" t="str">
        <f t="shared" si="0"/>
        <v xml:space="preserve">      - Penetration Check Descent (5.0%)</v>
      </c>
      <c r="D29" s="904"/>
      <c r="E29" s="904"/>
      <c r="F29" s="905"/>
      <c r="G29" s="133">
        <f t="shared" si="1"/>
        <v>1</v>
      </c>
      <c r="H29" s="134" t="str">
        <f t="shared" si="2"/>
        <v>2*</v>
      </c>
      <c r="I29" s="152">
        <f t="shared" si="2"/>
        <v>3</v>
      </c>
      <c r="J29" s="157">
        <v>1</v>
      </c>
      <c r="K29" s="154">
        <v>3</v>
      </c>
      <c r="L29" s="1015"/>
      <c r="M29" s="1016"/>
      <c r="N29" s="1016"/>
      <c r="O29" s="1016"/>
      <c r="P29" s="1016"/>
      <c r="Q29" s="1016"/>
      <c r="R29" s="1017"/>
      <c r="T29" s="99">
        <v>22</v>
      </c>
      <c r="U29" s="88" t="s">
        <v>661</v>
      </c>
      <c r="V29" s="453">
        <v>1</v>
      </c>
      <c r="W29" s="453">
        <v>1</v>
      </c>
      <c r="X29" s="453" t="s">
        <v>340</v>
      </c>
      <c r="Y29" s="453" t="s">
        <v>340</v>
      </c>
      <c r="Z29" s="146" t="s">
        <v>340</v>
      </c>
      <c r="AA29" s="146">
        <v>2</v>
      </c>
      <c r="AB29" s="146">
        <v>1</v>
      </c>
      <c r="AC29" s="453">
        <v>3</v>
      </c>
      <c r="AD29" s="453">
        <v>2</v>
      </c>
      <c r="AE29" s="453">
        <v>1</v>
      </c>
      <c r="AF29" s="453" t="b">
        <v>1</v>
      </c>
      <c r="AG29" s="453">
        <f t="shared" si="3"/>
        <v>3</v>
      </c>
      <c r="AH29" s="453">
        <f t="shared" si="4"/>
        <v>2</v>
      </c>
      <c r="AI29" s="138">
        <f>IF(NOT(OR(Z29=1,Z29=2)),IF(AQ29&gt;0,$AR$44*AQ29/SUMIF($AQ$8:$AQ$39,"&gt;0"),IF(AU29&gt;0,$AV$44*AU29/SUMIF($AU$8:$AU$39,"&gt;0"),IF(AS29&gt;0,$AT$44*AS29/SUMIF($AS$8:$AS$39,"&gt;0"),""))),IF(SUMIF(AJ30:$AJ$39,"=" &amp; AJ29,AI30:$AI$39)=0,"",SUMIF(AJ30:$AJ$39,"=" &amp; AJ29,AI30:$AI$39)))</f>
        <v>0.05</v>
      </c>
      <c r="AJ29" s="139">
        <f t="shared" si="34"/>
        <v>3</v>
      </c>
      <c r="AK29" s="453">
        <f t="shared" si="27"/>
        <v>2</v>
      </c>
      <c r="AL29" s="146">
        <f t="shared" si="28"/>
        <v>3</v>
      </c>
      <c r="AM29" s="146">
        <f t="shared" si="35"/>
        <v>1</v>
      </c>
      <c r="AN29" s="146" t="str">
        <f t="shared" si="5"/>
        <v/>
      </c>
      <c r="AO29" s="146" t="str">
        <f t="shared" si="6"/>
        <v/>
      </c>
      <c r="AP29" s="453" t="b">
        <f t="shared" si="7"/>
        <v>0</v>
      </c>
      <c r="AQ29" s="140">
        <f t="shared" si="29"/>
        <v>1</v>
      </c>
      <c r="AR29" s="141">
        <f t="shared" si="8"/>
        <v>0.9</v>
      </c>
      <c r="AS29" s="142">
        <f t="shared" si="30"/>
        <v>0</v>
      </c>
      <c r="AT29" s="141" t="str">
        <f t="shared" si="9"/>
        <v/>
      </c>
      <c r="AU29" s="143">
        <f t="shared" si="10"/>
        <v>0</v>
      </c>
      <c r="AV29" s="144">
        <f t="shared" si="11"/>
        <v>0.9</v>
      </c>
      <c r="AW29" s="143" t="b">
        <f t="shared" si="12"/>
        <v>0</v>
      </c>
      <c r="AX29" s="145" t="b">
        <f t="shared" si="13"/>
        <v>0</v>
      </c>
      <c r="AY29" s="143" t="b">
        <f t="shared" si="14"/>
        <v>0</v>
      </c>
      <c r="AZ29" s="145" t="b">
        <f t="shared" si="15"/>
        <v>0</v>
      </c>
      <c r="BA29" s="453" t="b">
        <f t="shared" si="16"/>
        <v>0</v>
      </c>
      <c r="BB29" s="453" t="b">
        <f t="shared" si="17"/>
        <v>0</v>
      </c>
      <c r="BC29" s="143" t="b">
        <f t="shared" si="18"/>
        <v>0</v>
      </c>
      <c r="BD29" s="146" t="b">
        <f t="shared" si="31"/>
        <v>0</v>
      </c>
      <c r="BE29" s="145" t="b">
        <f t="shared" si="37"/>
        <v>0</v>
      </c>
      <c r="BF29" s="147" t="b">
        <f t="shared" si="20"/>
        <v>0</v>
      </c>
      <c r="BG29" s="453" t="b">
        <f t="shared" si="38"/>
        <v>0</v>
      </c>
      <c r="BH29" s="453">
        <f t="shared" si="32"/>
        <v>1</v>
      </c>
      <c r="BI29" s="453">
        <f t="shared" si="22"/>
        <v>2</v>
      </c>
      <c r="BJ29" s="453" t="str">
        <f t="shared" si="23"/>
        <v>2*</v>
      </c>
      <c r="BK29" s="453">
        <f t="shared" si="24"/>
        <v>3</v>
      </c>
      <c r="BL29" s="148">
        <f t="shared" si="33"/>
        <v>1</v>
      </c>
      <c r="BM29" s="453">
        <f t="shared" si="25"/>
        <v>2</v>
      </c>
      <c r="BN29" s="453">
        <f t="shared" si="26"/>
        <v>3</v>
      </c>
      <c r="BO29" s="936"/>
      <c r="BP29" s="300" t="s">
        <v>367</v>
      </c>
      <c r="BQ29" s="168">
        <f t="shared" si="36"/>
        <v>0</v>
      </c>
      <c r="BR29" s="169">
        <f t="shared" si="36"/>
        <v>0.3</v>
      </c>
      <c r="BS29" s="169">
        <f t="shared" si="36"/>
        <v>0.6</v>
      </c>
      <c r="BT29" s="169">
        <f t="shared" si="36"/>
        <v>0.9</v>
      </c>
      <c r="BU29" s="170">
        <f t="shared" si="36"/>
        <v>1</v>
      </c>
    </row>
    <row r="30" spans="2:73" s="94" customFormat="1" ht="12.95" customHeight="1" x14ac:dyDescent="0.2">
      <c r="B30" s="151">
        <f>IF(ISNA(Z30),"",IF(OR(Z30=1,Z30=2),"    ",MAX($B$8:B29)+1))</f>
        <v>19</v>
      </c>
      <c r="C30" s="904" t="str">
        <f t="shared" si="0"/>
        <v xml:space="preserve">      - Max Range Check Descent (5.0%)</v>
      </c>
      <c r="D30" s="904"/>
      <c r="E30" s="904"/>
      <c r="F30" s="905"/>
      <c r="G30" s="133">
        <f t="shared" si="1"/>
        <v>1</v>
      </c>
      <c r="H30" s="134" t="str">
        <f t="shared" si="2"/>
        <v>2*</v>
      </c>
      <c r="I30" s="152">
        <f t="shared" si="2"/>
        <v>3</v>
      </c>
      <c r="J30" s="157">
        <v>1</v>
      </c>
      <c r="K30" s="154">
        <v>4</v>
      </c>
      <c r="L30" s="1015"/>
      <c r="M30" s="1016"/>
      <c r="N30" s="1016"/>
      <c r="O30" s="1016"/>
      <c r="P30" s="1016"/>
      <c r="Q30" s="1016"/>
      <c r="R30" s="1017"/>
      <c r="T30" s="99">
        <v>23</v>
      </c>
      <c r="U30" s="88" t="s">
        <v>662</v>
      </c>
      <c r="V30" s="453">
        <v>1</v>
      </c>
      <c r="W30" s="453">
        <v>1</v>
      </c>
      <c r="X30" s="453" t="s">
        <v>340</v>
      </c>
      <c r="Y30" s="453" t="s">
        <v>340</v>
      </c>
      <c r="Z30" s="146" t="s">
        <v>340</v>
      </c>
      <c r="AA30" s="146">
        <v>2</v>
      </c>
      <c r="AB30" s="146">
        <v>1</v>
      </c>
      <c r="AC30" s="453">
        <v>3</v>
      </c>
      <c r="AD30" s="453">
        <v>2</v>
      </c>
      <c r="AE30" s="453">
        <v>1</v>
      </c>
      <c r="AF30" s="453" t="b">
        <v>1</v>
      </c>
      <c r="AG30" s="453">
        <f t="shared" si="3"/>
        <v>3</v>
      </c>
      <c r="AH30" s="453">
        <f t="shared" si="4"/>
        <v>2</v>
      </c>
      <c r="AI30" s="138">
        <f>IF(NOT(OR(Z30=1,Z30=2)),IF(AQ30&gt;0,$AR$44*AQ30/SUMIF($AQ$8:$AQ$39,"&gt;0"),IF(AU30&gt;0,$AV$44*AU30/SUMIF($AU$8:$AU$39,"&gt;0"),IF(AS30&gt;0,$AT$44*AS30/SUMIF($AS$8:$AS$39,"&gt;0"),""))),IF(SUMIF(AJ31:$AJ$39,"=" &amp; AJ30,AI31:$AI$39)=0,"",SUMIF(AJ31:$AJ$39,"=" &amp; AJ30,AI31:$AI$39)))</f>
        <v>0.05</v>
      </c>
      <c r="AJ30" s="139">
        <f t="shared" si="34"/>
        <v>3</v>
      </c>
      <c r="AK30" s="453">
        <f t="shared" si="27"/>
        <v>2</v>
      </c>
      <c r="AL30" s="146">
        <f t="shared" si="28"/>
        <v>4</v>
      </c>
      <c r="AM30" s="146">
        <f t="shared" si="35"/>
        <v>1</v>
      </c>
      <c r="AN30" s="146" t="str">
        <f t="shared" si="5"/>
        <v/>
      </c>
      <c r="AO30" s="146" t="str">
        <f t="shared" si="6"/>
        <v/>
      </c>
      <c r="AP30" s="453" t="b">
        <f t="shared" si="7"/>
        <v>0</v>
      </c>
      <c r="AQ30" s="140">
        <f t="shared" si="29"/>
        <v>1</v>
      </c>
      <c r="AR30" s="141">
        <f t="shared" si="8"/>
        <v>1</v>
      </c>
      <c r="AS30" s="142">
        <f t="shared" si="30"/>
        <v>0</v>
      </c>
      <c r="AT30" s="141" t="str">
        <f t="shared" si="9"/>
        <v/>
      </c>
      <c r="AU30" s="143">
        <f t="shared" si="10"/>
        <v>0</v>
      </c>
      <c r="AV30" s="144">
        <f t="shared" si="11"/>
        <v>1</v>
      </c>
      <c r="AW30" s="143" t="b">
        <f t="shared" si="12"/>
        <v>0</v>
      </c>
      <c r="AX30" s="145" t="b">
        <f t="shared" si="13"/>
        <v>0</v>
      </c>
      <c r="AY30" s="143" t="b">
        <f t="shared" si="14"/>
        <v>0</v>
      </c>
      <c r="AZ30" s="145" t="b">
        <f t="shared" si="15"/>
        <v>0</v>
      </c>
      <c r="BA30" s="453" t="b">
        <f t="shared" si="16"/>
        <v>0</v>
      </c>
      <c r="BB30" s="453" t="b">
        <f t="shared" si="17"/>
        <v>0</v>
      </c>
      <c r="BC30" s="143" t="b">
        <f t="shared" si="18"/>
        <v>0</v>
      </c>
      <c r="BD30" s="146" t="b">
        <f t="shared" si="31"/>
        <v>0</v>
      </c>
      <c r="BE30" s="145" t="b">
        <f t="shared" si="37"/>
        <v>0</v>
      </c>
      <c r="BF30" s="147" t="b">
        <f t="shared" si="20"/>
        <v>0</v>
      </c>
      <c r="BG30" s="453" t="b">
        <f t="shared" si="38"/>
        <v>0</v>
      </c>
      <c r="BH30" s="453">
        <f t="shared" si="32"/>
        <v>1</v>
      </c>
      <c r="BI30" s="453">
        <f t="shared" si="22"/>
        <v>2</v>
      </c>
      <c r="BJ30" s="453" t="str">
        <f t="shared" si="23"/>
        <v>2*</v>
      </c>
      <c r="BK30" s="453">
        <f t="shared" si="24"/>
        <v>3</v>
      </c>
      <c r="BL30" s="148">
        <f t="shared" si="33"/>
        <v>1</v>
      </c>
      <c r="BM30" s="453">
        <f t="shared" si="25"/>
        <v>2</v>
      </c>
      <c r="BN30" s="453">
        <f t="shared" si="26"/>
        <v>3</v>
      </c>
      <c r="BO30" s="90"/>
    </row>
    <row r="31" spans="2:73" s="94" customFormat="1" ht="12.95" customHeight="1" x14ac:dyDescent="0.2">
      <c r="B31" s="151">
        <f>IF(ISNA(Z31),"",IF(OR(Z31=1,Z31=2),"    ",MAX($B$8:B30)+1))</f>
        <v>20</v>
      </c>
      <c r="C31" s="904" t="str">
        <f t="shared" si="0"/>
        <v xml:space="preserve">      - Turning Trim Shots (5.0%)</v>
      </c>
      <c r="D31" s="904"/>
      <c r="E31" s="904"/>
      <c r="F31" s="905"/>
      <c r="G31" s="133">
        <f t="shared" si="1"/>
        <v>1</v>
      </c>
      <c r="H31" s="134" t="str">
        <f t="shared" si="2"/>
        <v>2*</v>
      </c>
      <c r="I31" s="152">
        <f t="shared" si="2"/>
        <v>3</v>
      </c>
      <c r="J31" s="157">
        <v>1</v>
      </c>
      <c r="K31" s="154">
        <v>3</v>
      </c>
      <c r="L31" s="1015"/>
      <c r="M31" s="1016"/>
      <c r="N31" s="1016"/>
      <c r="O31" s="1016"/>
      <c r="P31" s="1016"/>
      <c r="Q31" s="1016"/>
      <c r="R31" s="1017"/>
      <c r="T31" s="99">
        <v>24</v>
      </c>
      <c r="U31" s="88" t="s">
        <v>663</v>
      </c>
      <c r="V31" s="453">
        <v>1</v>
      </c>
      <c r="W31" s="453">
        <v>1</v>
      </c>
      <c r="X31" s="453" t="s">
        <v>340</v>
      </c>
      <c r="Y31" s="453" t="s">
        <v>340</v>
      </c>
      <c r="Z31" s="146" t="s">
        <v>340</v>
      </c>
      <c r="AA31" s="146">
        <v>2</v>
      </c>
      <c r="AB31" s="146">
        <v>1</v>
      </c>
      <c r="AC31" s="453">
        <v>3</v>
      </c>
      <c r="AD31" s="453">
        <v>2</v>
      </c>
      <c r="AE31" s="453">
        <v>1</v>
      </c>
      <c r="AF31" s="453" t="b">
        <v>1</v>
      </c>
      <c r="AG31" s="453">
        <f t="shared" si="3"/>
        <v>3</v>
      </c>
      <c r="AH31" s="453">
        <f t="shared" si="4"/>
        <v>2</v>
      </c>
      <c r="AI31" s="138">
        <f>IF(NOT(OR(Z31=1,Z31=2)),IF(AQ31&gt;0,$AR$44*AQ31/SUMIF($AQ$8:$AQ$39,"&gt;0"),IF(AU31&gt;0,$AV$44*AU31/SUMIF($AU$8:$AU$39,"&gt;0"),IF(AS31&gt;0,$AT$44*AS31/SUMIF($AS$8:$AS$39,"&gt;0"),""))),IF(SUMIF(AJ32:$AJ$39,"=" &amp; AJ31,AI32:$AI$39)=0,"",SUMIF(AJ32:$AJ$39,"=" &amp; AJ31,AI32:$AI$39)))</f>
        <v>0.05</v>
      </c>
      <c r="AJ31" s="139">
        <f t="shared" si="34"/>
        <v>3</v>
      </c>
      <c r="AK31" s="453">
        <f t="shared" si="27"/>
        <v>2</v>
      </c>
      <c r="AL31" s="146">
        <f t="shared" si="28"/>
        <v>3</v>
      </c>
      <c r="AM31" s="146">
        <f t="shared" si="35"/>
        <v>1</v>
      </c>
      <c r="AN31" s="146" t="str">
        <f t="shared" si="5"/>
        <v/>
      </c>
      <c r="AO31" s="146" t="str">
        <f t="shared" si="6"/>
        <v/>
      </c>
      <c r="AP31" s="453" t="b">
        <f t="shared" si="7"/>
        <v>0</v>
      </c>
      <c r="AQ31" s="140">
        <f t="shared" si="29"/>
        <v>1</v>
      </c>
      <c r="AR31" s="141">
        <f t="shared" si="8"/>
        <v>0.9</v>
      </c>
      <c r="AS31" s="142">
        <f t="shared" si="30"/>
        <v>0</v>
      </c>
      <c r="AT31" s="141" t="str">
        <f t="shared" si="9"/>
        <v/>
      </c>
      <c r="AU31" s="143">
        <f t="shared" si="10"/>
        <v>0</v>
      </c>
      <c r="AV31" s="144">
        <f t="shared" si="11"/>
        <v>0.9</v>
      </c>
      <c r="AW31" s="143" t="b">
        <f t="shared" si="12"/>
        <v>0</v>
      </c>
      <c r="AX31" s="145" t="b">
        <f t="shared" si="13"/>
        <v>0</v>
      </c>
      <c r="AY31" s="143" t="b">
        <f t="shared" si="14"/>
        <v>0</v>
      </c>
      <c r="AZ31" s="145" t="b">
        <f t="shared" si="15"/>
        <v>0</v>
      </c>
      <c r="BA31" s="453" t="b">
        <f t="shared" si="16"/>
        <v>0</v>
      </c>
      <c r="BB31" s="453" t="b">
        <f t="shared" si="17"/>
        <v>0</v>
      </c>
      <c r="BC31" s="143" t="b">
        <f t="shared" si="18"/>
        <v>0</v>
      </c>
      <c r="BD31" s="146" t="b">
        <f>IF(OR(ISNA($Z31),ISNUMBER($Z31),NOT(ISNUMBER(K31))),FALSE,OR(NOT(ISNUMBER(J31)),J31=0,AND(J31=0,K31&lt;&gt;0)))</f>
        <v>0</v>
      </c>
      <c r="BE31" s="145" t="b">
        <f t="shared" si="37"/>
        <v>0</v>
      </c>
      <c r="BF31" s="147" t="b">
        <f>IF(OR(ISNA($Z31),H31&lt;&gt;"NG"),FALSE,IF(AND(J31="NA",K31&lt;&gt;""),TRUE,FALSE))</f>
        <v>0</v>
      </c>
      <c r="BG31" s="453" t="b">
        <f t="shared" si="38"/>
        <v>0</v>
      </c>
      <c r="BH31" s="453">
        <f t="shared" si="32"/>
        <v>1</v>
      </c>
      <c r="BI31" s="453">
        <f t="shared" si="22"/>
        <v>2</v>
      </c>
      <c r="BJ31" s="453" t="str">
        <f t="shared" si="23"/>
        <v>2*</v>
      </c>
      <c r="BK31" s="453">
        <f t="shared" si="24"/>
        <v>3</v>
      </c>
      <c r="BL31" s="148">
        <f t="shared" si="33"/>
        <v>1</v>
      </c>
      <c r="BM31" s="453">
        <f t="shared" si="25"/>
        <v>2</v>
      </c>
      <c r="BN31" s="453">
        <f t="shared" si="26"/>
        <v>3</v>
      </c>
      <c r="BO31" s="155" t="s">
        <v>368</v>
      </c>
      <c r="BP31" s="161" t="s">
        <v>369</v>
      </c>
    </row>
    <row r="32" spans="2:73" s="94" customFormat="1" ht="12.95" customHeight="1" x14ac:dyDescent="0.2">
      <c r="B32" s="151">
        <f>IF(ISNA(Z32),"",IF(OR(Z32=1,Z32=2),"    ",MAX($B$8:B31)+1))</f>
        <v>21</v>
      </c>
      <c r="C32" s="904" t="str">
        <f t="shared" si="0"/>
        <v xml:space="preserve">      - Spot Landing (5.0%)</v>
      </c>
      <c r="D32" s="904"/>
      <c r="E32" s="904"/>
      <c r="F32" s="905"/>
      <c r="G32" s="133">
        <f t="shared" si="1"/>
        <v>1</v>
      </c>
      <c r="H32" s="134" t="str">
        <f t="shared" si="2"/>
        <v>2*</v>
      </c>
      <c r="I32" s="152">
        <f t="shared" si="2"/>
        <v>3</v>
      </c>
      <c r="J32" s="157">
        <v>1</v>
      </c>
      <c r="K32" s="154">
        <v>4</v>
      </c>
      <c r="L32" s="1015"/>
      <c r="M32" s="1016"/>
      <c r="N32" s="1016"/>
      <c r="O32" s="1016"/>
      <c r="P32" s="1016"/>
      <c r="Q32" s="1016"/>
      <c r="R32" s="1017"/>
      <c r="T32" s="99">
        <v>25</v>
      </c>
      <c r="U32" s="88" t="s">
        <v>664</v>
      </c>
      <c r="V32" s="453">
        <v>1</v>
      </c>
      <c r="W32" s="453">
        <v>1</v>
      </c>
      <c r="X32" s="453" t="s">
        <v>340</v>
      </c>
      <c r="Y32" s="453" t="s">
        <v>340</v>
      </c>
      <c r="Z32" s="146" t="s">
        <v>340</v>
      </c>
      <c r="AA32" s="146">
        <v>2</v>
      </c>
      <c r="AB32" s="146">
        <v>1</v>
      </c>
      <c r="AC32" s="453">
        <v>3</v>
      </c>
      <c r="AD32" s="453">
        <v>2</v>
      </c>
      <c r="AE32" s="453">
        <v>1</v>
      </c>
      <c r="AF32" s="453" t="b">
        <v>1</v>
      </c>
      <c r="AG32" s="453">
        <f t="shared" si="3"/>
        <v>3</v>
      </c>
      <c r="AH32" s="453">
        <f t="shared" si="4"/>
        <v>2</v>
      </c>
      <c r="AI32" s="138">
        <f>IF(NOT(OR(Z32=1,Z32=2)),IF(AQ32&gt;0,$AR$44*AQ32/SUMIF($AQ$8:$AQ$39,"&gt;0"),IF(AU32&gt;0,$AV$44*AU32/SUMIF($AU$8:$AU$39,"&gt;0"),IF(AS32&gt;0,$AT$44*AS32/SUMIF($AS$8:$AS$39,"&gt;0"),""))),IF(SUMIF(AJ33:$AJ$39,"=" &amp; AJ32,AI33:$AI$39)=0,"",SUMIF(AJ33:$AJ$39,"=" &amp; AJ32,AI33:$AI$39)))</f>
        <v>0.05</v>
      </c>
      <c r="AJ32" s="139">
        <f t="shared" si="34"/>
        <v>3</v>
      </c>
      <c r="AK32" s="453">
        <f t="shared" si="27"/>
        <v>2</v>
      </c>
      <c r="AL32" s="146">
        <f t="shared" si="28"/>
        <v>4</v>
      </c>
      <c r="AM32" s="146">
        <f t="shared" si="35"/>
        <v>1</v>
      </c>
      <c r="AN32" s="146" t="str">
        <f t="shared" si="5"/>
        <v/>
      </c>
      <c r="AO32" s="146" t="str">
        <f t="shared" si="6"/>
        <v/>
      </c>
      <c r="AP32" s="453" t="b">
        <f t="shared" si="7"/>
        <v>0</v>
      </c>
      <c r="AQ32" s="140">
        <f t="shared" si="29"/>
        <v>1</v>
      </c>
      <c r="AR32" s="141">
        <f t="shared" si="8"/>
        <v>1</v>
      </c>
      <c r="AS32" s="142">
        <f t="shared" si="30"/>
        <v>0</v>
      </c>
      <c r="AT32" s="141" t="str">
        <f t="shared" si="9"/>
        <v/>
      </c>
      <c r="AU32" s="143">
        <f t="shared" si="10"/>
        <v>0</v>
      </c>
      <c r="AV32" s="144">
        <f t="shared" si="11"/>
        <v>1</v>
      </c>
      <c r="AW32" s="143" t="b">
        <f t="shared" si="12"/>
        <v>0</v>
      </c>
      <c r="AX32" s="145" t="b">
        <f t="shared" si="13"/>
        <v>0</v>
      </c>
      <c r="AY32" s="143" t="b">
        <f t="shared" si="14"/>
        <v>0</v>
      </c>
      <c r="AZ32" s="145" t="b">
        <f t="shared" si="15"/>
        <v>0</v>
      </c>
      <c r="BA32" s="453" t="b">
        <f t="shared" si="16"/>
        <v>0</v>
      </c>
      <c r="BB32" s="453" t="b">
        <f t="shared" si="17"/>
        <v>0</v>
      </c>
      <c r="BC32" s="143" t="b">
        <f t="shared" si="18"/>
        <v>0</v>
      </c>
      <c r="BD32" s="146" t="b">
        <f t="shared" si="31"/>
        <v>0</v>
      </c>
      <c r="BE32" s="145" t="b">
        <f t="shared" si="37"/>
        <v>0</v>
      </c>
      <c r="BF32" s="147" t="b">
        <f t="shared" ref="BF32:BF39" si="39">IF(OR(ISNA($Z32),H32&lt;&gt;"NG"),FALSE,IF(AND(J32="NA",K32&lt;&gt;""),TRUE,FALSE))</f>
        <v>0</v>
      </c>
      <c r="BG32" s="453" t="b">
        <f t="shared" si="38"/>
        <v>0</v>
      </c>
      <c r="BH32" s="453">
        <f t="shared" si="32"/>
        <v>1</v>
      </c>
      <c r="BI32" s="453">
        <f t="shared" si="22"/>
        <v>2</v>
      </c>
      <c r="BJ32" s="453" t="str">
        <f t="shared" si="23"/>
        <v>2*</v>
      </c>
      <c r="BK32" s="453">
        <f t="shared" si="24"/>
        <v>3</v>
      </c>
      <c r="BL32" s="148">
        <f t="shared" si="33"/>
        <v>1</v>
      </c>
      <c r="BM32" s="453">
        <f t="shared" si="25"/>
        <v>2</v>
      </c>
      <c r="BN32" s="453">
        <f t="shared" si="26"/>
        <v>3</v>
      </c>
      <c r="BO32" s="155" t="s">
        <v>370</v>
      </c>
      <c r="BP32" s="161" t="s">
        <v>371</v>
      </c>
    </row>
    <row r="33" spans="2:73" s="94" customFormat="1" ht="12.95" customHeight="1" x14ac:dyDescent="0.2">
      <c r="B33" s="151" t="str">
        <f>IF(ISNA(Z33),"",IF(OR(Z33=1,Z33=2),"    ",MAX($B$8:B32)+1))</f>
        <v/>
      </c>
      <c r="C33" s="904" t="str">
        <f t="shared" si="0"/>
        <v/>
      </c>
      <c r="D33" s="904"/>
      <c r="E33" s="904"/>
      <c r="F33" s="905"/>
      <c r="G33" s="133" t="str">
        <f t="shared" si="1"/>
        <v/>
      </c>
      <c r="H33" s="134" t="str">
        <f t="shared" si="2"/>
        <v/>
      </c>
      <c r="I33" s="152" t="str">
        <f t="shared" si="2"/>
        <v/>
      </c>
      <c r="J33" s="158" t="s">
        <v>340</v>
      </c>
      <c r="K33" s="159" t="s">
        <v>340</v>
      </c>
      <c r="L33" s="1015"/>
      <c r="M33" s="1016"/>
      <c r="N33" s="1016"/>
      <c r="O33" s="1016"/>
      <c r="P33" s="1016"/>
      <c r="Q33" s="1016"/>
      <c r="R33" s="1017"/>
      <c r="T33" s="99">
        <v>26</v>
      </c>
      <c r="U33" s="88" t="e">
        <v>#N/A</v>
      </c>
      <c r="V33" s="453" t="e">
        <v>#N/A</v>
      </c>
      <c r="W33" s="453" t="e">
        <v>#N/A</v>
      </c>
      <c r="X33" s="453" t="e">
        <v>#N/A</v>
      </c>
      <c r="Y33" s="453" t="e">
        <v>#N/A</v>
      </c>
      <c r="Z33" s="146" t="e">
        <v>#N/A</v>
      </c>
      <c r="AA33" s="146" t="e">
        <v>#N/A</v>
      </c>
      <c r="AB33" s="146" t="e">
        <v>#N/A</v>
      </c>
      <c r="AC33" s="453" t="e">
        <v>#N/A</v>
      </c>
      <c r="AD33" s="453" t="e">
        <v>#N/A</v>
      </c>
      <c r="AE33" s="453" t="e">
        <v>#N/A</v>
      </c>
      <c r="AF33" s="453" t="e">
        <v>#N/A</v>
      </c>
      <c r="AG33" s="453" t="e">
        <f t="shared" si="3"/>
        <v>#N/A</v>
      </c>
      <c r="AH33" s="453" t="str">
        <f t="shared" si="4"/>
        <v/>
      </c>
      <c r="AI33" s="138" t="e">
        <f>IF(NOT(OR(Z33=1,Z33=2)),IF(AQ33&gt;0,$AR$44*AQ33/SUMIF($AQ$8:$AQ$39,"&gt;0"),IF(AU33&gt;0,$AV$44*AU33/SUMIF($AU$8:$AU$39,"&gt;0"),IF(AS33&gt;0,$AT$44*AS33/SUMIF($AS$8:$AS$39,"&gt;0"),""))),IF(SUMIF(AJ34:$AJ$39,"=" &amp; AJ33,AI34:$AI$39)=0,"",SUMIF(AJ34:$AJ$39,"=" &amp; AJ33,AI34:$AI$39)))</f>
        <v>#N/A</v>
      </c>
      <c r="AJ33" s="139" t="e">
        <f t="shared" si="34"/>
        <v>#N/A</v>
      </c>
      <c r="AK33" s="453" t="str">
        <f t="shared" si="27"/>
        <v/>
      </c>
      <c r="AL33" s="146" t="str">
        <f t="shared" si="28"/>
        <v/>
      </c>
      <c r="AM33" s="146" t="str">
        <f t="shared" si="35"/>
        <v/>
      </c>
      <c r="AN33" s="146" t="str">
        <f t="shared" si="5"/>
        <v/>
      </c>
      <c r="AO33" s="146" t="e">
        <f t="shared" si="6"/>
        <v>#N/A</v>
      </c>
      <c r="AP33" s="453" t="str">
        <f t="shared" si="7"/>
        <v/>
      </c>
      <c r="AQ33" s="140">
        <f t="shared" si="29"/>
        <v>0</v>
      </c>
      <c r="AR33" s="141" t="str">
        <f t="shared" si="8"/>
        <v/>
      </c>
      <c r="AS33" s="142">
        <f t="shared" si="30"/>
        <v>0</v>
      </c>
      <c r="AT33" s="141" t="str">
        <f t="shared" si="9"/>
        <v/>
      </c>
      <c r="AU33" s="143">
        <f t="shared" si="10"/>
        <v>0</v>
      </c>
      <c r="AV33" s="144" t="str">
        <f t="shared" si="11"/>
        <v/>
      </c>
      <c r="AW33" s="143" t="b">
        <f t="shared" si="12"/>
        <v>0</v>
      </c>
      <c r="AX33" s="145" t="b">
        <f t="shared" si="13"/>
        <v>0</v>
      </c>
      <c r="AY33" s="143" t="b">
        <f t="shared" si="14"/>
        <v>0</v>
      </c>
      <c r="AZ33" s="145" t="b">
        <f t="shared" si="15"/>
        <v>0</v>
      </c>
      <c r="BA33" s="453" t="b">
        <f t="shared" si="16"/>
        <v>0</v>
      </c>
      <c r="BB33" s="453" t="b">
        <f t="shared" si="17"/>
        <v>0</v>
      </c>
      <c r="BC33" s="143" t="b">
        <f t="shared" si="18"/>
        <v>0</v>
      </c>
      <c r="BD33" s="146" t="b">
        <f t="shared" si="31"/>
        <v>0</v>
      </c>
      <c r="BE33" s="145" t="b">
        <f t="shared" si="37"/>
        <v>0</v>
      </c>
      <c r="BF33" s="147" t="b">
        <f t="shared" si="39"/>
        <v>0</v>
      </c>
      <c r="BG33" s="453" t="str">
        <f t="shared" si="38"/>
        <v>NA</v>
      </c>
      <c r="BH33" s="453" t="str">
        <f t="shared" si="32"/>
        <v/>
      </c>
      <c r="BI33" s="453" t="str">
        <f t="shared" si="22"/>
        <v/>
      </c>
      <c r="BJ33" s="453" t="str">
        <f t="shared" si="23"/>
        <v/>
      </c>
      <c r="BK33" s="453" t="str">
        <f t="shared" si="24"/>
        <v/>
      </c>
      <c r="BL33" s="148" t="str">
        <f t="shared" si="33"/>
        <v/>
      </c>
      <c r="BM33" s="453" t="str">
        <f t="shared" si="25"/>
        <v/>
      </c>
      <c r="BN33" s="453" t="str">
        <f t="shared" si="26"/>
        <v/>
      </c>
      <c r="BO33" s="150" t="s">
        <v>372</v>
      </c>
      <c r="BP33" s="161"/>
      <c r="BQ33" s="161"/>
      <c r="BR33" s="161"/>
      <c r="BS33" s="161"/>
      <c r="BT33" s="161"/>
      <c r="BU33" s="161"/>
    </row>
    <row r="34" spans="2:73" s="94" customFormat="1" ht="12.95" customHeight="1" x14ac:dyDescent="0.2">
      <c r="B34" s="151" t="str">
        <f>IF(ISNA(Z34),"",IF(OR(Z34=1,Z34=2),"    ",MAX($B$8:B33)+1))</f>
        <v/>
      </c>
      <c r="C34" s="904" t="str">
        <f t="shared" si="0"/>
        <v/>
      </c>
      <c r="D34" s="904"/>
      <c r="E34" s="904"/>
      <c r="F34" s="905"/>
      <c r="G34" s="133" t="str">
        <f t="shared" si="1"/>
        <v/>
      </c>
      <c r="H34" s="134" t="str">
        <f t="shared" si="2"/>
        <v/>
      </c>
      <c r="I34" s="152" t="str">
        <f t="shared" si="2"/>
        <v/>
      </c>
      <c r="J34" s="158" t="s">
        <v>340</v>
      </c>
      <c r="K34" s="159" t="s">
        <v>340</v>
      </c>
      <c r="L34" s="1015"/>
      <c r="M34" s="1016"/>
      <c r="N34" s="1016"/>
      <c r="O34" s="1016"/>
      <c r="P34" s="1016"/>
      <c r="Q34" s="1016"/>
      <c r="R34" s="1017"/>
      <c r="T34" s="99">
        <v>27</v>
      </c>
      <c r="U34" s="88" t="e">
        <v>#N/A</v>
      </c>
      <c r="V34" s="453" t="e">
        <v>#N/A</v>
      </c>
      <c r="W34" s="453" t="e">
        <v>#N/A</v>
      </c>
      <c r="X34" s="453" t="e">
        <v>#N/A</v>
      </c>
      <c r="Y34" s="453" t="e">
        <v>#N/A</v>
      </c>
      <c r="Z34" s="146" t="e">
        <v>#N/A</v>
      </c>
      <c r="AA34" s="146" t="e">
        <v>#N/A</v>
      </c>
      <c r="AB34" s="146" t="e">
        <v>#N/A</v>
      </c>
      <c r="AC34" s="453" t="e">
        <v>#N/A</v>
      </c>
      <c r="AD34" s="453" t="e">
        <v>#N/A</v>
      </c>
      <c r="AE34" s="453" t="e">
        <v>#N/A</v>
      </c>
      <c r="AF34" s="453" t="e">
        <v>#N/A</v>
      </c>
      <c r="AG34" s="453" t="e">
        <f t="shared" si="3"/>
        <v>#N/A</v>
      </c>
      <c r="AH34" s="453" t="str">
        <f t="shared" si="4"/>
        <v/>
      </c>
      <c r="AI34" s="138" t="e">
        <f>IF(NOT(OR(Z34=1,Z34=2)),IF(AQ34&gt;0,$AR$44*AQ34/SUMIF($AQ$8:$AQ$39,"&gt;0"),IF(AU34&gt;0,$AV$44*AU34/SUMIF($AU$8:$AU$39,"&gt;0"),IF(AS34&gt;0,$AT$44*AS34/SUMIF($AS$8:$AS$39,"&gt;0"),""))),IF(SUMIF(AJ35:$AJ$39,"=" &amp; AJ34,AI35:$AI$39)=0,"",SUMIF(AJ35:$AJ$39,"=" &amp; AJ34,AI35:$AI$39)))</f>
        <v>#N/A</v>
      </c>
      <c r="AJ34" s="139" t="e">
        <f t="shared" si="34"/>
        <v>#N/A</v>
      </c>
      <c r="AK34" s="453" t="str">
        <f t="shared" si="27"/>
        <v/>
      </c>
      <c r="AL34" s="146" t="str">
        <f t="shared" si="28"/>
        <v/>
      </c>
      <c r="AM34" s="146" t="str">
        <f t="shared" si="35"/>
        <v/>
      </c>
      <c r="AN34" s="146" t="str">
        <f t="shared" si="5"/>
        <v/>
      </c>
      <c r="AO34" s="146" t="e">
        <f t="shared" si="6"/>
        <v>#N/A</v>
      </c>
      <c r="AP34" s="453" t="str">
        <f t="shared" si="7"/>
        <v/>
      </c>
      <c r="AQ34" s="140">
        <f t="shared" si="29"/>
        <v>0</v>
      </c>
      <c r="AR34" s="141" t="str">
        <f t="shared" si="8"/>
        <v/>
      </c>
      <c r="AS34" s="142">
        <f t="shared" si="30"/>
        <v>0</v>
      </c>
      <c r="AT34" s="141" t="str">
        <f t="shared" si="9"/>
        <v/>
      </c>
      <c r="AU34" s="143">
        <f t="shared" si="10"/>
        <v>0</v>
      </c>
      <c r="AV34" s="144" t="str">
        <f t="shared" si="11"/>
        <v/>
      </c>
      <c r="AW34" s="143" t="b">
        <f t="shared" si="12"/>
        <v>0</v>
      </c>
      <c r="AX34" s="145" t="b">
        <f t="shared" si="13"/>
        <v>0</v>
      </c>
      <c r="AY34" s="143" t="b">
        <f t="shared" si="14"/>
        <v>0</v>
      </c>
      <c r="AZ34" s="145" t="b">
        <f t="shared" si="15"/>
        <v>0</v>
      </c>
      <c r="BA34" s="453" t="b">
        <f t="shared" si="16"/>
        <v>0</v>
      </c>
      <c r="BB34" s="453" t="b">
        <f t="shared" si="17"/>
        <v>0</v>
      </c>
      <c r="BC34" s="143" t="b">
        <f t="shared" si="18"/>
        <v>0</v>
      </c>
      <c r="BD34" s="146" t="b">
        <f t="shared" si="31"/>
        <v>0</v>
      </c>
      <c r="BE34" s="145" t="b">
        <f t="shared" si="37"/>
        <v>0</v>
      </c>
      <c r="BF34" s="147" t="b">
        <f t="shared" si="39"/>
        <v>0</v>
      </c>
      <c r="BG34" s="453" t="str">
        <f t="shared" si="38"/>
        <v>NA</v>
      </c>
      <c r="BH34" s="453" t="str">
        <f t="shared" si="32"/>
        <v/>
      </c>
      <c r="BI34" s="453" t="str">
        <f t="shared" si="22"/>
        <v/>
      </c>
      <c r="BJ34" s="453" t="str">
        <f t="shared" si="23"/>
        <v/>
      </c>
      <c r="BK34" s="453" t="str">
        <f t="shared" si="24"/>
        <v/>
      </c>
      <c r="BL34" s="148" t="str">
        <f t="shared" si="33"/>
        <v/>
      </c>
      <c r="BM34" s="453" t="str">
        <f t="shared" si="25"/>
        <v/>
      </c>
      <c r="BN34" s="453" t="str">
        <f t="shared" si="26"/>
        <v/>
      </c>
      <c r="BO34" s="1023"/>
      <c r="BP34" s="1024"/>
      <c r="BQ34" s="1024"/>
      <c r="BR34" s="1024"/>
      <c r="BS34" s="1024"/>
      <c r="BT34" s="1024"/>
      <c r="BU34" s="1025"/>
    </row>
    <row r="35" spans="2:73" s="94" customFormat="1" ht="12.95" customHeight="1" x14ac:dyDescent="0.2">
      <c r="B35" s="151" t="str">
        <f>IF(ISNA(Z35),"",IF(OR(Z35=1,Z35=2),"    ",MAX($B$8:B34)+1))</f>
        <v/>
      </c>
      <c r="C35" s="904" t="str">
        <f t="shared" si="0"/>
        <v/>
      </c>
      <c r="D35" s="904"/>
      <c r="E35" s="904"/>
      <c r="F35" s="905"/>
      <c r="G35" s="133" t="str">
        <f t="shared" si="1"/>
        <v/>
      </c>
      <c r="H35" s="134" t="str">
        <f t="shared" si="2"/>
        <v/>
      </c>
      <c r="I35" s="152" t="str">
        <f t="shared" si="2"/>
        <v/>
      </c>
      <c r="J35" s="158" t="s">
        <v>340</v>
      </c>
      <c r="K35" s="159" t="s">
        <v>340</v>
      </c>
      <c r="L35" s="1015"/>
      <c r="M35" s="1016"/>
      <c r="N35" s="1016"/>
      <c r="O35" s="1016"/>
      <c r="P35" s="1016"/>
      <c r="Q35" s="1016"/>
      <c r="R35" s="1017"/>
      <c r="T35" s="99">
        <v>28</v>
      </c>
      <c r="U35" s="88" t="e">
        <v>#N/A</v>
      </c>
      <c r="V35" s="453" t="e">
        <v>#N/A</v>
      </c>
      <c r="W35" s="453" t="e">
        <v>#N/A</v>
      </c>
      <c r="X35" s="453" t="e">
        <v>#N/A</v>
      </c>
      <c r="Y35" s="453" t="e">
        <v>#N/A</v>
      </c>
      <c r="Z35" s="146" t="e">
        <v>#N/A</v>
      </c>
      <c r="AA35" s="146" t="e">
        <v>#N/A</v>
      </c>
      <c r="AB35" s="146" t="e">
        <v>#N/A</v>
      </c>
      <c r="AC35" s="453" t="e">
        <v>#N/A</v>
      </c>
      <c r="AD35" s="453" t="e">
        <v>#N/A</v>
      </c>
      <c r="AE35" s="453" t="e">
        <v>#N/A</v>
      </c>
      <c r="AF35" s="453" t="e">
        <v>#N/A</v>
      </c>
      <c r="AG35" s="453" t="e">
        <f t="shared" si="3"/>
        <v>#N/A</v>
      </c>
      <c r="AH35" s="453" t="str">
        <f t="shared" si="4"/>
        <v/>
      </c>
      <c r="AI35" s="138" t="e">
        <f>IF(NOT(OR(Z35=1,Z35=2)),IF(AQ35&gt;0,$AR$44*AQ35/SUMIF($AQ$8:$AQ$39,"&gt;0"),IF(AU35&gt;0,$AV$44*AU35/SUMIF($AU$8:$AU$39,"&gt;0"),IF(AS35&gt;0,$AT$44*AS35/SUMIF($AS$8:$AS$39,"&gt;0"),""))),IF(SUMIF(AJ36:$AJ$39,"=" &amp; AJ35,AI36:$AI$39)=0,"",SUMIF(AJ36:$AJ$39,"=" &amp; AJ35,AI36:$AI$39)))</f>
        <v>#N/A</v>
      </c>
      <c r="AJ35" s="139" t="e">
        <f t="shared" si="34"/>
        <v>#N/A</v>
      </c>
      <c r="AK35" s="453" t="str">
        <f t="shared" si="27"/>
        <v/>
      </c>
      <c r="AL35" s="146" t="str">
        <f t="shared" si="28"/>
        <v/>
      </c>
      <c r="AM35" s="146" t="str">
        <f t="shared" si="35"/>
        <v/>
      </c>
      <c r="AN35" s="146" t="str">
        <f t="shared" si="5"/>
        <v/>
      </c>
      <c r="AO35" s="146" t="e">
        <f t="shared" si="6"/>
        <v>#N/A</v>
      </c>
      <c r="AP35" s="453" t="str">
        <f t="shared" si="7"/>
        <v/>
      </c>
      <c r="AQ35" s="140">
        <f t="shared" si="29"/>
        <v>0</v>
      </c>
      <c r="AR35" s="141" t="str">
        <f t="shared" si="8"/>
        <v/>
      </c>
      <c r="AS35" s="142">
        <f t="shared" si="30"/>
        <v>0</v>
      </c>
      <c r="AT35" s="141" t="str">
        <f t="shared" si="9"/>
        <v/>
      </c>
      <c r="AU35" s="143">
        <f t="shared" si="10"/>
        <v>0</v>
      </c>
      <c r="AV35" s="144" t="str">
        <f t="shared" si="11"/>
        <v/>
      </c>
      <c r="AW35" s="143" t="b">
        <f t="shared" si="12"/>
        <v>0</v>
      </c>
      <c r="AX35" s="145" t="b">
        <f t="shared" si="13"/>
        <v>0</v>
      </c>
      <c r="AY35" s="143" t="b">
        <f t="shared" si="14"/>
        <v>0</v>
      </c>
      <c r="AZ35" s="145" t="b">
        <f t="shared" si="15"/>
        <v>0</v>
      </c>
      <c r="BA35" s="453" t="b">
        <f t="shared" si="16"/>
        <v>0</v>
      </c>
      <c r="BB35" s="453" t="b">
        <f t="shared" si="17"/>
        <v>0</v>
      </c>
      <c r="BC35" s="143" t="b">
        <f t="shared" si="18"/>
        <v>0</v>
      </c>
      <c r="BD35" s="146" t="b">
        <f t="shared" si="31"/>
        <v>0</v>
      </c>
      <c r="BE35" s="145" t="b">
        <f t="shared" si="37"/>
        <v>0</v>
      </c>
      <c r="BF35" s="147" t="b">
        <f t="shared" si="39"/>
        <v>0</v>
      </c>
      <c r="BG35" s="453" t="str">
        <f t="shared" si="38"/>
        <v>NA</v>
      </c>
      <c r="BH35" s="453" t="str">
        <f t="shared" si="32"/>
        <v/>
      </c>
      <c r="BI35" s="453" t="str">
        <f t="shared" si="22"/>
        <v/>
      </c>
      <c r="BJ35" s="453" t="str">
        <f t="shared" si="23"/>
        <v/>
      </c>
      <c r="BK35" s="453" t="str">
        <f t="shared" si="24"/>
        <v/>
      </c>
      <c r="BL35" s="148" t="str">
        <f t="shared" si="33"/>
        <v/>
      </c>
      <c r="BM35" s="453" t="str">
        <f t="shared" si="25"/>
        <v/>
      </c>
      <c r="BN35" s="453" t="str">
        <f t="shared" si="26"/>
        <v/>
      </c>
      <c r="BO35" s="1026"/>
      <c r="BP35" s="1027"/>
      <c r="BQ35" s="1027"/>
      <c r="BR35" s="1027"/>
      <c r="BS35" s="1027"/>
      <c r="BT35" s="1027"/>
      <c r="BU35" s="1028"/>
    </row>
    <row r="36" spans="2:73" s="94" customFormat="1" ht="12.95" customHeight="1" x14ac:dyDescent="0.2">
      <c r="B36" s="151" t="str">
        <f>IF(ISNA(Z36),"",IF(OR(Z36=1,Z36=2),"    ",MAX($B$8:B35)+1))</f>
        <v/>
      </c>
      <c r="C36" s="904" t="str">
        <f t="shared" si="0"/>
        <v/>
      </c>
      <c r="D36" s="904"/>
      <c r="E36" s="904"/>
      <c r="F36" s="905"/>
      <c r="G36" s="133" t="str">
        <f t="shared" si="1"/>
        <v/>
      </c>
      <c r="H36" s="134" t="str">
        <f t="shared" si="2"/>
        <v/>
      </c>
      <c r="I36" s="152" t="str">
        <f t="shared" si="2"/>
        <v/>
      </c>
      <c r="J36" s="158" t="s">
        <v>340</v>
      </c>
      <c r="K36" s="159" t="s">
        <v>340</v>
      </c>
      <c r="L36" s="1015"/>
      <c r="M36" s="1016"/>
      <c r="N36" s="1016"/>
      <c r="O36" s="1016"/>
      <c r="P36" s="1016"/>
      <c r="Q36" s="1016"/>
      <c r="R36" s="1017"/>
      <c r="T36" s="99">
        <v>29</v>
      </c>
      <c r="U36" s="88" t="e">
        <v>#N/A</v>
      </c>
      <c r="V36" s="453" t="e">
        <v>#N/A</v>
      </c>
      <c r="W36" s="453" t="e">
        <v>#N/A</v>
      </c>
      <c r="X36" s="453" t="e">
        <v>#N/A</v>
      </c>
      <c r="Y36" s="453" t="e">
        <v>#N/A</v>
      </c>
      <c r="Z36" s="146" t="e">
        <v>#N/A</v>
      </c>
      <c r="AA36" s="146" t="e">
        <v>#N/A</v>
      </c>
      <c r="AB36" s="146" t="e">
        <v>#N/A</v>
      </c>
      <c r="AC36" s="453" t="e">
        <v>#N/A</v>
      </c>
      <c r="AD36" s="453" t="e">
        <v>#N/A</v>
      </c>
      <c r="AE36" s="453" t="e">
        <v>#N/A</v>
      </c>
      <c r="AF36" s="453" t="e">
        <v>#N/A</v>
      </c>
      <c r="AG36" s="453" t="e">
        <f t="shared" si="3"/>
        <v>#N/A</v>
      </c>
      <c r="AH36" s="453" t="str">
        <f t="shared" si="4"/>
        <v/>
      </c>
      <c r="AI36" s="138" t="e">
        <f>IF(NOT(OR(Z36=1,Z36=2)),IF(AQ36&gt;0,$AR$44*AQ36/SUMIF($AQ$8:$AQ$39,"&gt;0"),IF(AU36&gt;0,$AV$44*AU36/SUMIF($AU$8:$AU$39,"&gt;0"),IF(AS36&gt;0,$AT$44*AS36/SUMIF($AS$8:$AS$39,"&gt;0"),""))),IF(SUMIF(AJ37:$AJ$39,"=" &amp; AJ36,AI37:$AI$39)=0,"",SUMIF(AJ37:$AJ$39,"=" &amp; AJ36,AI37:$AI$39)))</f>
        <v>#N/A</v>
      </c>
      <c r="AJ36" s="139" t="e">
        <f t="shared" si="34"/>
        <v>#N/A</v>
      </c>
      <c r="AK36" s="453" t="str">
        <f t="shared" si="27"/>
        <v/>
      </c>
      <c r="AL36" s="146" t="str">
        <f t="shared" si="28"/>
        <v/>
      </c>
      <c r="AM36" s="146" t="str">
        <f t="shared" si="35"/>
        <v/>
      </c>
      <c r="AN36" s="146" t="str">
        <f t="shared" si="5"/>
        <v/>
      </c>
      <c r="AO36" s="146" t="e">
        <f t="shared" si="6"/>
        <v>#N/A</v>
      </c>
      <c r="AP36" s="453" t="str">
        <f t="shared" si="7"/>
        <v/>
      </c>
      <c r="AQ36" s="140">
        <f t="shared" si="29"/>
        <v>0</v>
      </c>
      <c r="AR36" s="141" t="str">
        <f t="shared" si="8"/>
        <v/>
      </c>
      <c r="AS36" s="142">
        <f t="shared" si="30"/>
        <v>0</v>
      </c>
      <c r="AT36" s="141" t="str">
        <f t="shared" si="9"/>
        <v/>
      </c>
      <c r="AU36" s="143">
        <f t="shared" si="10"/>
        <v>0</v>
      </c>
      <c r="AV36" s="144" t="str">
        <f t="shared" si="11"/>
        <v/>
      </c>
      <c r="AW36" s="143" t="b">
        <f t="shared" si="12"/>
        <v>0</v>
      </c>
      <c r="AX36" s="145" t="b">
        <f t="shared" si="13"/>
        <v>0</v>
      </c>
      <c r="AY36" s="143" t="b">
        <f t="shared" si="14"/>
        <v>0</v>
      </c>
      <c r="AZ36" s="145" t="b">
        <f t="shared" si="15"/>
        <v>0</v>
      </c>
      <c r="BA36" s="453" t="b">
        <f t="shared" si="16"/>
        <v>0</v>
      </c>
      <c r="BB36" s="453" t="b">
        <f t="shared" si="17"/>
        <v>0</v>
      </c>
      <c r="BC36" s="143" t="b">
        <f t="shared" si="18"/>
        <v>0</v>
      </c>
      <c r="BD36" s="146" t="b">
        <f t="shared" si="31"/>
        <v>0</v>
      </c>
      <c r="BE36" s="145" t="b">
        <f t="shared" si="37"/>
        <v>0</v>
      </c>
      <c r="BF36" s="147" t="b">
        <f t="shared" si="39"/>
        <v>0</v>
      </c>
      <c r="BG36" s="453" t="str">
        <f t="shared" si="38"/>
        <v>NA</v>
      </c>
      <c r="BH36" s="453" t="str">
        <f t="shared" si="32"/>
        <v/>
      </c>
      <c r="BI36" s="453" t="str">
        <f t="shared" si="22"/>
        <v/>
      </c>
      <c r="BJ36" s="453" t="str">
        <f t="shared" si="23"/>
        <v/>
      </c>
      <c r="BK36" s="453" t="str">
        <f t="shared" si="24"/>
        <v/>
      </c>
      <c r="BL36" s="148" t="str">
        <f t="shared" si="33"/>
        <v/>
      </c>
      <c r="BM36" s="453" t="str">
        <f t="shared" si="25"/>
        <v/>
      </c>
      <c r="BN36" s="453" t="str">
        <f t="shared" si="26"/>
        <v/>
      </c>
      <c r="BO36" s="1026"/>
      <c r="BP36" s="1027"/>
      <c r="BQ36" s="1027"/>
      <c r="BR36" s="1027"/>
      <c r="BS36" s="1027"/>
      <c r="BT36" s="1027"/>
      <c r="BU36" s="1028"/>
    </row>
    <row r="37" spans="2:73" s="94" customFormat="1" ht="12.95" customHeight="1" x14ac:dyDescent="0.2">
      <c r="B37" s="151" t="str">
        <f>IF(ISNA(Z37),"",IF(OR(Z37=1,Z37=2),"    ",MAX($B$8:B36)+1))</f>
        <v/>
      </c>
      <c r="C37" s="904" t="str">
        <f>IF(ISNA(Z37),"",CONCATENATE($U37,IF(ISNUMBER(AI37),TEXT(ROUND($AI37,3)," (0.0%)"),""),IF(AU37&gt;0," Bonus","")))</f>
        <v/>
      </c>
      <c r="D37" s="904"/>
      <c r="E37" s="904"/>
      <c r="F37" s="905"/>
      <c r="G37" s="133" t="str">
        <f t="shared" si="1"/>
        <v/>
      </c>
      <c r="H37" s="134" t="str">
        <f t="shared" si="2"/>
        <v/>
      </c>
      <c r="I37" s="152" t="str">
        <f t="shared" si="2"/>
        <v/>
      </c>
      <c r="J37" s="158" t="s">
        <v>340</v>
      </c>
      <c r="K37" s="159" t="s">
        <v>340</v>
      </c>
      <c r="L37" s="1015"/>
      <c r="M37" s="1016"/>
      <c r="N37" s="1016"/>
      <c r="O37" s="1016"/>
      <c r="P37" s="1016"/>
      <c r="Q37" s="1016"/>
      <c r="R37" s="1017"/>
      <c r="T37" s="99">
        <v>30</v>
      </c>
      <c r="U37" s="88" t="e">
        <v>#N/A</v>
      </c>
      <c r="V37" s="453" t="e">
        <v>#N/A</v>
      </c>
      <c r="W37" s="453" t="e">
        <v>#N/A</v>
      </c>
      <c r="X37" s="453" t="e">
        <v>#N/A</v>
      </c>
      <c r="Y37" s="453" t="e">
        <v>#N/A</v>
      </c>
      <c r="Z37" s="146" t="e">
        <v>#N/A</v>
      </c>
      <c r="AA37" s="146" t="e">
        <v>#N/A</v>
      </c>
      <c r="AB37" s="146" t="e">
        <v>#N/A</v>
      </c>
      <c r="AC37" s="453" t="e">
        <v>#N/A</v>
      </c>
      <c r="AD37" s="453" t="e">
        <v>#N/A</v>
      </c>
      <c r="AE37" s="453" t="e">
        <v>#N/A</v>
      </c>
      <c r="AF37" s="453" t="e">
        <v>#N/A</v>
      </c>
      <c r="AG37" s="453" t="e">
        <f t="shared" si="3"/>
        <v>#N/A</v>
      </c>
      <c r="AH37" s="453" t="str">
        <f t="shared" si="4"/>
        <v/>
      </c>
      <c r="AI37" s="138" t="e">
        <f>IF(NOT(OR(Z37=1,Z37=2)),IF(AQ37&gt;0,$AR$44*AQ37/SUMIF($AQ$8:$AQ$39,"&gt;0"),IF(AU37&gt;0,$AV$44*AU37/SUMIF($AU$8:$AU$39,"&gt;0"),IF(AS37&gt;0,$AT$44*AS37/SUMIF($AS$8:$AS$39,"&gt;0"),""))),IF(SUMIF(AJ38:$AJ$39,"=" &amp; AJ37,AI38:$AI$39)=0,"",SUMIF(AJ38:$AJ$39,"=" &amp; AJ37,AI38:$AI$39)))</f>
        <v>#N/A</v>
      </c>
      <c r="AJ37" s="139" t="e">
        <f t="shared" si="34"/>
        <v>#N/A</v>
      </c>
      <c r="AK37" s="453" t="str">
        <f t="shared" si="27"/>
        <v/>
      </c>
      <c r="AL37" s="146" t="str">
        <f t="shared" si="28"/>
        <v/>
      </c>
      <c r="AM37" s="146" t="str">
        <f t="shared" si="35"/>
        <v/>
      </c>
      <c r="AN37" s="146" t="str">
        <f>IF(ISNUMBER(AH37),IF(AND(AB37=0,ISNUMBER(AC37),ISNUMBER(AL37)),1,""),"")</f>
        <v/>
      </c>
      <c r="AO37" s="146" t="e">
        <f t="shared" si="6"/>
        <v>#N/A</v>
      </c>
      <c r="AP37" s="453" t="str">
        <f t="shared" si="7"/>
        <v/>
      </c>
      <c r="AQ37" s="140">
        <f t="shared" si="29"/>
        <v>0</v>
      </c>
      <c r="AR37" s="141" t="str">
        <f t="shared" si="8"/>
        <v/>
      </c>
      <c r="AS37" s="142">
        <f t="shared" si="30"/>
        <v>0</v>
      </c>
      <c r="AT37" s="141" t="str">
        <f t="shared" si="9"/>
        <v/>
      </c>
      <c r="AU37" s="143">
        <f t="shared" si="10"/>
        <v>0</v>
      </c>
      <c r="AV37" s="144" t="str">
        <f t="shared" si="11"/>
        <v/>
      </c>
      <c r="AW37" s="143" t="b">
        <f t="shared" si="12"/>
        <v>0</v>
      </c>
      <c r="AX37" s="145" t="b">
        <f t="shared" si="13"/>
        <v>0</v>
      </c>
      <c r="AY37" s="143" t="b">
        <f t="shared" si="14"/>
        <v>0</v>
      </c>
      <c r="AZ37" s="145" t="b">
        <f t="shared" si="15"/>
        <v>0</v>
      </c>
      <c r="BA37" s="453" t="b">
        <f t="shared" si="16"/>
        <v>0</v>
      </c>
      <c r="BB37" s="453" t="b">
        <f t="shared" si="17"/>
        <v>0</v>
      </c>
      <c r="BC37" s="143" t="b">
        <f t="shared" si="18"/>
        <v>0</v>
      </c>
      <c r="BD37" s="146" t="b">
        <f t="shared" si="31"/>
        <v>0</v>
      </c>
      <c r="BE37" s="145" t="b">
        <f t="shared" si="37"/>
        <v>0</v>
      </c>
      <c r="BF37" s="147" t="b">
        <f t="shared" si="39"/>
        <v>0</v>
      </c>
      <c r="BG37" s="453" t="str">
        <f t="shared" si="38"/>
        <v>NA</v>
      </c>
      <c r="BH37" s="453" t="str">
        <f t="shared" si="32"/>
        <v/>
      </c>
      <c r="BI37" s="453" t="str">
        <f t="shared" si="22"/>
        <v/>
      </c>
      <c r="BJ37" s="453" t="str">
        <f t="shared" si="23"/>
        <v/>
      </c>
      <c r="BK37" s="453" t="str">
        <f t="shared" si="24"/>
        <v/>
      </c>
      <c r="BL37" s="148" t="str">
        <f t="shared" si="33"/>
        <v/>
      </c>
      <c r="BM37" s="453" t="str">
        <f t="shared" si="25"/>
        <v/>
      </c>
      <c r="BN37" s="453" t="str">
        <f t="shared" si="26"/>
        <v/>
      </c>
      <c r="BO37" s="1029"/>
      <c r="BP37" s="1030"/>
      <c r="BQ37" s="1030"/>
      <c r="BR37" s="1030"/>
      <c r="BS37" s="1030"/>
      <c r="BT37" s="1030"/>
      <c r="BU37" s="1031"/>
    </row>
    <row r="38" spans="2:73" s="94" customFormat="1" ht="12.95" customHeight="1" x14ac:dyDescent="0.2">
      <c r="B38" s="151" t="str">
        <f>IF(ISNA(Z38),"",IF(OR(Z38=1,Z38=2),"    ",MAX($B$8:B37)+1))</f>
        <v/>
      </c>
      <c r="C38" s="904" t="str">
        <f t="shared" ref="C38:C39" si="40">IF(ISNA(Z38),"",CONCATENATE($U38,IF(ISNUMBER(AI38),TEXT(ROUND($AI38,3)," (0.0%)"),""),IF(AU38&gt;0," Bonus","")))</f>
        <v/>
      </c>
      <c r="D38" s="904"/>
      <c r="E38" s="904"/>
      <c r="F38" s="905"/>
      <c r="G38" s="133" t="str">
        <f t="shared" si="1"/>
        <v/>
      </c>
      <c r="H38" s="134" t="str">
        <f t="shared" si="2"/>
        <v/>
      </c>
      <c r="I38" s="152" t="str">
        <f t="shared" si="2"/>
        <v/>
      </c>
      <c r="J38" s="158" t="s">
        <v>340</v>
      </c>
      <c r="K38" s="159" t="s">
        <v>340</v>
      </c>
      <c r="L38" s="1015"/>
      <c r="M38" s="1016"/>
      <c r="N38" s="1016"/>
      <c r="O38" s="1016"/>
      <c r="P38" s="1016"/>
      <c r="Q38" s="1016"/>
      <c r="R38" s="1017"/>
      <c r="T38" s="99">
        <v>31</v>
      </c>
      <c r="U38" s="88" t="e">
        <v>#N/A</v>
      </c>
      <c r="V38" s="453" t="e">
        <v>#N/A</v>
      </c>
      <c r="W38" s="453" t="e">
        <v>#N/A</v>
      </c>
      <c r="X38" s="453" t="e">
        <v>#N/A</v>
      </c>
      <c r="Y38" s="453" t="e">
        <v>#N/A</v>
      </c>
      <c r="Z38" s="146" t="e">
        <v>#N/A</v>
      </c>
      <c r="AA38" s="146" t="e">
        <v>#N/A</v>
      </c>
      <c r="AB38" s="146" t="e">
        <v>#N/A</v>
      </c>
      <c r="AC38" s="453" t="e">
        <v>#N/A</v>
      </c>
      <c r="AD38" s="453" t="e">
        <v>#N/A</v>
      </c>
      <c r="AE38" s="453" t="e">
        <v>#N/A</v>
      </c>
      <c r="AF38" s="453" t="e">
        <v>#N/A</v>
      </c>
      <c r="AG38" s="453" t="e">
        <f t="shared" si="3"/>
        <v>#N/A</v>
      </c>
      <c r="AH38" s="453" t="str">
        <f t="shared" si="4"/>
        <v/>
      </c>
      <c r="AI38" s="138" t="e">
        <f>IF(NOT(OR(Z38=1,Z38=2)),IF(AQ38&gt;0,$AR$44*AQ38/SUMIF($AQ$8:$AQ$39,"&gt;0"),IF(AU38&gt;0,$AV$44*AU38/SUMIF($AU$8:$AU$39,"&gt;0"),IF(AS38&gt;0,$AT$44*AS38/SUMIF($AS$8:$AS$39,"&gt;0"),""))),IF(SUMIF(AJ39:$AJ$39,"=" &amp; AJ38,AI39:$AI$39)=0,"",SUMIF(AJ39:$AJ$39,"=" &amp; AJ38,AI39:$AI$39)))</f>
        <v>#N/A</v>
      </c>
      <c r="AJ38" s="139" t="e">
        <f t="shared" si="34"/>
        <v>#N/A</v>
      </c>
      <c r="AK38" s="453" t="str">
        <f t="shared" si="27"/>
        <v/>
      </c>
      <c r="AL38" s="146" t="str">
        <f t="shared" si="28"/>
        <v/>
      </c>
      <c r="AM38" s="146" t="str">
        <f t="shared" si="35"/>
        <v/>
      </c>
      <c r="AN38" s="146" t="str">
        <f>IF(ISNUMBER(AH38),IF(AND(AB38=0,ISNUMBER(AC38),ISNUMBER(AL38)),1,""),"")</f>
        <v/>
      </c>
      <c r="AO38" s="146" t="e">
        <f t="shared" si="6"/>
        <v>#N/A</v>
      </c>
      <c r="AP38" s="453" t="str">
        <f t="shared" si="7"/>
        <v/>
      </c>
      <c r="AQ38" s="140">
        <f t="shared" si="29"/>
        <v>0</v>
      </c>
      <c r="AR38" s="141" t="str">
        <f t="shared" si="8"/>
        <v/>
      </c>
      <c r="AS38" s="142">
        <f t="shared" si="30"/>
        <v>0</v>
      </c>
      <c r="AT38" s="141" t="str">
        <f t="shared" si="9"/>
        <v/>
      </c>
      <c r="AU38" s="143">
        <f t="shared" si="10"/>
        <v>0</v>
      </c>
      <c r="AV38" s="144" t="str">
        <f t="shared" si="11"/>
        <v/>
      </c>
      <c r="AW38" s="143" t="b">
        <f t="shared" si="12"/>
        <v>0</v>
      </c>
      <c r="AX38" s="145" t="b">
        <f t="shared" si="13"/>
        <v>0</v>
      </c>
      <c r="AY38" s="143" t="b">
        <f t="shared" si="14"/>
        <v>0</v>
      </c>
      <c r="AZ38" s="145" t="b">
        <f t="shared" si="15"/>
        <v>0</v>
      </c>
      <c r="BA38" s="453" t="b">
        <f t="shared" si="16"/>
        <v>0</v>
      </c>
      <c r="BB38" s="453" t="b">
        <f t="shared" si="17"/>
        <v>0</v>
      </c>
      <c r="BC38" s="143" t="b">
        <f t="shared" si="18"/>
        <v>0</v>
      </c>
      <c r="BD38" s="146" t="b">
        <f t="shared" si="31"/>
        <v>0</v>
      </c>
      <c r="BE38" s="145" t="b">
        <f t="shared" si="37"/>
        <v>0</v>
      </c>
      <c r="BF38" s="147" t="b">
        <f t="shared" si="39"/>
        <v>0</v>
      </c>
      <c r="BG38" s="453" t="str">
        <f t="shared" si="38"/>
        <v>NA</v>
      </c>
      <c r="BH38" s="453" t="str">
        <f t="shared" si="32"/>
        <v/>
      </c>
      <c r="BI38" s="453" t="str">
        <f t="shared" si="22"/>
        <v/>
      </c>
      <c r="BJ38" s="453" t="str">
        <f t="shared" si="23"/>
        <v/>
      </c>
      <c r="BK38" s="453" t="str">
        <f t="shared" si="24"/>
        <v/>
      </c>
      <c r="BL38" s="148" t="str">
        <f t="shared" si="33"/>
        <v/>
      </c>
      <c r="BM38" s="453" t="str">
        <f t="shared" si="25"/>
        <v/>
      </c>
      <c r="BN38" s="453" t="str">
        <f t="shared" si="26"/>
        <v/>
      </c>
      <c r="BO38" s="150" t="s">
        <v>373</v>
      </c>
      <c r="BP38" s="150"/>
      <c r="BQ38" s="150"/>
      <c r="BR38" s="150"/>
      <c r="BS38" s="150"/>
      <c r="BT38" s="150"/>
      <c r="BU38" s="150"/>
    </row>
    <row r="39" spans="2:73" s="94" customFormat="1" ht="12.95" customHeight="1" thickBot="1" x14ac:dyDescent="0.25">
      <c r="B39" s="151" t="str">
        <f>IF(ISNA(Z39),"",IF(OR(Z39=1,Z39=2),"    ",MAX($B$8:B38)+1))</f>
        <v/>
      </c>
      <c r="C39" s="904" t="str">
        <f t="shared" si="40"/>
        <v/>
      </c>
      <c r="D39" s="904"/>
      <c r="E39" s="904"/>
      <c r="F39" s="905"/>
      <c r="G39" s="171" t="str">
        <f t="shared" si="1"/>
        <v/>
      </c>
      <c r="H39" s="134" t="str">
        <f t="shared" si="2"/>
        <v/>
      </c>
      <c r="I39" s="172" t="str">
        <f t="shared" si="2"/>
        <v/>
      </c>
      <c r="J39" s="173" t="s">
        <v>340</v>
      </c>
      <c r="K39" s="174" t="s">
        <v>340</v>
      </c>
      <c r="L39" s="1018"/>
      <c r="M39" s="1019"/>
      <c r="N39" s="1019"/>
      <c r="O39" s="1019"/>
      <c r="P39" s="1019"/>
      <c r="Q39" s="1019"/>
      <c r="R39" s="1020"/>
      <c r="T39" s="99">
        <v>32</v>
      </c>
      <c r="U39" s="88" t="e">
        <v>#N/A</v>
      </c>
      <c r="V39" s="453" t="e">
        <v>#N/A</v>
      </c>
      <c r="W39" s="453" t="e">
        <v>#N/A</v>
      </c>
      <c r="X39" s="453" t="e">
        <v>#N/A</v>
      </c>
      <c r="Y39" s="453" t="e">
        <v>#N/A</v>
      </c>
      <c r="Z39" s="146" t="e">
        <v>#N/A</v>
      </c>
      <c r="AA39" s="146" t="e">
        <v>#N/A</v>
      </c>
      <c r="AB39" s="146" t="e">
        <v>#N/A</v>
      </c>
      <c r="AC39" s="453" t="e">
        <v>#N/A</v>
      </c>
      <c r="AD39" s="453" t="e">
        <v>#N/A</v>
      </c>
      <c r="AE39" s="453" t="e">
        <v>#N/A</v>
      </c>
      <c r="AF39" s="453" t="e">
        <v>#N/A</v>
      </c>
      <c r="AG39" s="453" t="e">
        <f t="shared" si="3"/>
        <v>#N/A</v>
      </c>
      <c r="AH39" s="453" t="str">
        <f t="shared" si="4"/>
        <v/>
      </c>
      <c r="AI39" s="138" t="e">
        <f>IF(NOT(OR(Z39=1,Z39=2)),IF(AQ39&gt;0,$AR$44*AQ39/SUMIF($AQ$8:$AQ$39,"&gt;0"),IF(AU39&gt;0,$AV$44*AU39/SUMIF($AU$8:$AU$39,"&gt;0"),IF(AS39&gt;0,$AT$44*AS39/SUMIF($AS$8:$AS$39,"&gt;0"),""))),IF(SUMIF(AJ$39:$AJ40,"=" &amp; AJ39,AI$39:$AI40)=0,"",SUMIF(AJ$39:$AJ40,"=" &amp; AJ39,AI$39:$AI40)))</f>
        <v>#N/A</v>
      </c>
      <c r="AJ39" s="139" t="e">
        <f t="shared" si="34"/>
        <v>#N/A</v>
      </c>
      <c r="AK39" s="453" t="str">
        <f t="shared" si="27"/>
        <v/>
      </c>
      <c r="AL39" s="146" t="str">
        <f t="shared" si="28"/>
        <v/>
      </c>
      <c r="AM39" s="146" t="str">
        <f t="shared" si="35"/>
        <v/>
      </c>
      <c r="AN39" s="146" t="str">
        <f>IF(ISNUMBER(AH39),IF(AND(AB39=0,ISNUMBER(AC39),ISNUMBER(AL39)),1,""),"")</f>
        <v/>
      </c>
      <c r="AO39" s="146" t="e">
        <f t="shared" si="6"/>
        <v>#N/A</v>
      </c>
      <c r="AP39" s="453" t="str">
        <f t="shared" si="7"/>
        <v/>
      </c>
      <c r="AQ39" s="140">
        <f t="shared" si="29"/>
        <v>0</v>
      </c>
      <c r="AR39" s="141" t="str">
        <f t="shared" si="8"/>
        <v/>
      </c>
      <c r="AS39" s="142">
        <f t="shared" si="30"/>
        <v>0</v>
      </c>
      <c r="AT39" s="141" t="str">
        <f t="shared" si="9"/>
        <v/>
      </c>
      <c r="AU39" s="143">
        <f t="shared" si="10"/>
        <v>0</v>
      </c>
      <c r="AV39" s="144" t="str">
        <f t="shared" si="11"/>
        <v/>
      </c>
      <c r="AW39" s="143" t="b">
        <f t="shared" si="12"/>
        <v>0</v>
      </c>
      <c r="AX39" s="145" t="b">
        <f t="shared" si="13"/>
        <v>0</v>
      </c>
      <c r="AY39" s="143" t="b">
        <f t="shared" si="14"/>
        <v>0</v>
      </c>
      <c r="AZ39" s="145" t="b">
        <f t="shared" si="15"/>
        <v>0</v>
      </c>
      <c r="BA39" s="453" t="b">
        <f t="shared" si="16"/>
        <v>0</v>
      </c>
      <c r="BB39" s="453" t="b">
        <f t="shared" si="17"/>
        <v>0</v>
      </c>
      <c r="BC39" s="143" t="b">
        <f t="shared" si="18"/>
        <v>0</v>
      </c>
      <c r="BD39" s="146" t="b">
        <f t="shared" si="31"/>
        <v>0</v>
      </c>
      <c r="BE39" s="145" t="b">
        <f t="shared" si="37"/>
        <v>0</v>
      </c>
      <c r="BF39" s="147" t="b">
        <f t="shared" si="39"/>
        <v>0</v>
      </c>
      <c r="BG39" s="453" t="str">
        <f t="shared" si="38"/>
        <v>NA</v>
      </c>
      <c r="BH39" s="453" t="str">
        <f t="shared" si="32"/>
        <v/>
      </c>
      <c r="BI39" s="453" t="str">
        <f t="shared" si="22"/>
        <v/>
      </c>
      <c r="BJ39" s="453" t="str">
        <f t="shared" si="23"/>
        <v/>
      </c>
      <c r="BK39" s="453" t="str">
        <f t="shared" si="24"/>
        <v/>
      </c>
      <c r="BL39" s="453" t="str">
        <f t="shared" si="33"/>
        <v/>
      </c>
      <c r="BM39" s="453" t="str">
        <f t="shared" si="25"/>
        <v/>
      </c>
      <c r="BN39" s="453" t="str">
        <f t="shared" si="26"/>
        <v/>
      </c>
      <c r="BO39" s="1023"/>
      <c r="BP39" s="1024"/>
      <c r="BQ39" s="1024"/>
      <c r="BR39" s="1024"/>
      <c r="BS39" s="1024"/>
      <c r="BT39" s="1024"/>
      <c r="BU39" s="1025"/>
    </row>
    <row r="40" spans="2:73" s="91" customFormat="1" ht="8.25" customHeight="1" x14ac:dyDescent="0.2">
      <c r="B40" s="915" t="s">
        <v>374</v>
      </c>
      <c r="C40" s="916"/>
      <c r="D40" s="917"/>
      <c r="E40" s="452" t="s">
        <v>375</v>
      </c>
      <c r="F40" s="918" t="s">
        <v>376</v>
      </c>
      <c r="G40" s="919"/>
      <c r="H40" s="919" t="s">
        <v>377</v>
      </c>
      <c r="I40" s="919"/>
      <c r="J40" s="920" t="s">
        <v>378</v>
      </c>
      <c r="K40" s="921"/>
      <c r="L40" s="175" t="s">
        <v>379</v>
      </c>
      <c r="M40" s="922" t="s">
        <v>380</v>
      </c>
      <c r="N40" s="922"/>
      <c r="O40" s="923" t="str">
        <f>IF(U44,"DO REVIEW","DO REV N/A")</f>
        <v>DO REV N/A</v>
      </c>
      <c r="P40" s="924"/>
      <c r="Q40" s="176" t="str">
        <f>IF(U45,"ED REVIEW","ED REV N/A")</f>
        <v>ED REV N/A</v>
      </c>
      <c r="R40" s="177"/>
      <c r="S40" s="178">
        <v>0</v>
      </c>
      <c r="AI40" s="179"/>
      <c r="AJ40" s="92"/>
      <c r="AK40" s="92"/>
      <c r="AL40" s="92"/>
      <c r="AM40" s="92"/>
      <c r="AN40" s="92"/>
      <c r="AO40" s="88"/>
      <c r="AP40" s="92"/>
      <c r="AQ40" s="180"/>
      <c r="AR40" s="92"/>
      <c r="AS40" s="180"/>
      <c r="AT40" s="92"/>
      <c r="AU40" s="180"/>
      <c r="AV40" s="181"/>
      <c r="AW40" s="92"/>
      <c r="AX40" s="92"/>
      <c r="AY40" s="92"/>
      <c r="AZ40" s="92"/>
      <c r="BA40" s="92"/>
      <c r="BB40" s="92"/>
      <c r="BC40" s="92"/>
      <c r="BD40" s="92"/>
      <c r="BE40" s="92"/>
      <c r="BF40" s="92"/>
      <c r="BG40" s="92"/>
      <c r="BH40" s="88"/>
      <c r="BI40" s="88"/>
      <c r="BJ40" s="88"/>
      <c r="BK40" s="88"/>
      <c r="BL40" s="88"/>
      <c r="BM40" s="88"/>
      <c r="BN40" s="88"/>
      <c r="BO40" s="1026"/>
      <c r="BP40" s="1027"/>
      <c r="BQ40" s="1027"/>
      <c r="BR40" s="1027"/>
      <c r="BS40" s="1027"/>
      <c r="BT40" s="1027"/>
      <c r="BU40" s="1028"/>
    </row>
    <row r="41" spans="2:73" ht="18.75" customHeight="1" thickBot="1" x14ac:dyDescent="0.25">
      <c r="B41" s="925" t="str">
        <f>IF(ISERROR(AR46),"",TEXT(AR45,"0.0%"))</f>
        <v>96.5%</v>
      </c>
      <c r="C41" s="926"/>
      <c r="D41" s="927"/>
      <c r="E41" s="182" t="str">
        <f>IF(AU41=0,"N/A",CONCATENATE(TEXT(AV45,"0.0%")," of ",TEXT(AV44,"0.0%")))</f>
        <v>N/A</v>
      </c>
      <c r="F41" s="929" t="str">
        <f>IF((graded_aca_events+graded_amn_events)&lt;1,"---",IF(AND(AW4,AX4),"INCOMPLETE",IF(AND(NOT(AW4),AX4),"ACA INC",IF(AND(AW4,NOT(AX4)),"AMN INC","COMPLETE"))))</f>
        <v>COMPLETE</v>
      </c>
      <c r="G41" s="929"/>
      <c r="H41" s="929" t="str">
        <f>IF(AU4,IF(OR(AY4="UNK",NOT(AN6)),"---",IF(AY4,"UNSAT",IF(AVERAGEIFS(AT8:AT39,AS8:AS39,"&gt;0")&lt;0.9,"MARG","SAT"))),"N/A")</f>
        <v>SAT</v>
      </c>
      <c r="I41" s="929"/>
      <c r="J41" s="930" t="str">
        <f>IF(OR(AZ4="UNK",NOT(AM6)),"---",IF(OR(AZ4,AR45&lt;0.7),"FAIL","PASS"))</f>
        <v>PASS</v>
      </c>
      <c r="K41" s="931"/>
      <c r="L41" s="430"/>
      <c r="M41" s="932"/>
      <c r="N41" s="932"/>
      <c r="O41" s="1021" t="s">
        <v>265</v>
      </c>
      <c r="P41" s="1021"/>
      <c r="Q41" s="1021" t="s">
        <v>265</v>
      </c>
      <c r="R41" s="1022"/>
      <c r="S41" s="183"/>
      <c r="T41" s="99" t="s">
        <v>381</v>
      </c>
      <c r="U41" s="146" t="s">
        <v>382</v>
      </c>
      <c r="V41" s="184"/>
      <c r="W41" s="184"/>
      <c r="X41" s="184"/>
      <c r="Y41" s="184"/>
      <c r="Z41" s="184"/>
      <c r="AA41" s="184"/>
      <c r="AB41" s="184"/>
      <c r="AC41" s="184"/>
      <c r="AD41" s="184"/>
      <c r="AE41" s="184"/>
      <c r="AF41" s="184"/>
      <c r="AG41" s="184"/>
      <c r="AH41" s="184"/>
      <c r="AI41" s="86"/>
      <c r="AJ41" s="85"/>
      <c r="AK41" s="184"/>
      <c r="AL41" s="184"/>
      <c r="AM41" s="184">
        <f>SUM(AM8:AM39)</f>
        <v>21</v>
      </c>
      <c r="AN41" s="184">
        <f>SUM(AN8:AN39)</f>
        <v>5</v>
      </c>
      <c r="AO41" s="99"/>
      <c r="AP41" s="85"/>
      <c r="AQ41" s="185">
        <f>SUMIF(AQ8:AQ39,"&gt;0")</f>
        <v>16</v>
      </c>
      <c r="AR41" s="186">
        <f>IF(AQ41=0,0,SUMPRODUCT($AQ$8:$AQ$39,AR8:AR39)/SUM($AQ$8:$AQ$39))</f>
        <v>0.95625000000000016</v>
      </c>
      <c r="AS41" s="187">
        <f>SUMIF(AS8:AS39,"&gt;0")</f>
        <v>5</v>
      </c>
      <c r="AT41" s="186">
        <f>IF(AS41=0,0,SUMPRODUCT($AS$8:$AS$39,AT8:AT39)/SUM($AS$8:$AS$39))</f>
        <v>1</v>
      </c>
      <c r="AU41" s="187">
        <f>SUM(AU9:AU39)</f>
        <v>0</v>
      </c>
      <c r="AV41" s="186">
        <f>IF(AU41=0,0,SUMPRODUCT($AU$8:$AU$39,AV8:AV39)/SUM($AU$8:$AU$39))</f>
        <v>0</v>
      </c>
      <c r="AW41" s="188"/>
      <c r="AX41" s="188"/>
      <c r="AY41" s="188"/>
      <c r="AZ41" s="188"/>
      <c r="BA41" s="188"/>
      <c r="BB41" s="188"/>
      <c r="BC41" s="88" t="s">
        <v>383</v>
      </c>
      <c r="BD41" s="88" t="s">
        <v>384</v>
      </c>
      <c r="BE41" s="88" t="s">
        <v>385</v>
      </c>
      <c r="BO41" s="1026"/>
      <c r="BP41" s="1027"/>
      <c r="BQ41" s="1027"/>
      <c r="BR41" s="1027"/>
      <c r="BS41" s="1027"/>
      <c r="BT41" s="1027"/>
      <c r="BU41" s="1028"/>
    </row>
    <row r="42" spans="2:73" ht="7.5" customHeight="1" thickTop="1" x14ac:dyDescent="0.2">
      <c r="L42" s="928" t="s">
        <v>665</v>
      </c>
      <c r="M42" s="928"/>
      <c r="N42" s="928"/>
      <c r="O42" s="928"/>
      <c r="P42" s="928"/>
      <c r="Q42" s="928"/>
      <c r="R42" s="928"/>
      <c r="AP42" s="184"/>
      <c r="AQ42" s="85"/>
      <c r="AR42" s="85"/>
      <c r="AT42" s="186"/>
      <c r="AU42" s="186"/>
      <c r="AV42" s="186"/>
      <c r="AW42" s="85"/>
      <c r="AX42" s="186"/>
      <c r="BO42" s="1029"/>
      <c r="BP42" s="1030"/>
      <c r="BQ42" s="1030"/>
      <c r="BR42" s="1030"/>
      <c r="BS42" s="1030"/>
      <c r="BT42" s="1030"/>
      <c r="BU42" s="1031"/>
    </row>
    <row r="43" spans="2:73" ht="30.75" customHeight="1" x14ac:dyDescent="0.2">
      <c r="T43" s="189" t="s">
        <v>386</v>
      </c>
      <c r="U43" s="146" t="b">
        <v>0</v>
      </c>
      <c r="AI43" s="89">
        <f ca="1">SUMIF(AJ8:$AJ$39,"=" &amp; AJ8,AI9:$AI$39)</f>
        <v>0.2</v>
      </c>
      <c r="AO43" s="190"/>
      <c r="AS43" s="118" t="s">
        <v>387</v>
      </c>
      <c r="AT43" s="191">
        <f>SUMIF(X8:X39,"&gt;0")/SUMIF(W8:W39,"&gt;0")</f>
        <v>0.3125</v>
      </c>
      <c r="AU43" s="118" t="s">
        <v>388</v>
      </c>
      <c r="AV43" s="192">
        <f>SUMIF(AU8:AU39,"&gt;0")/SUMIF(AQ8:AQ39,"&gt;0")</f>
        <v>0</v>
      </c>
      <c r="AW43" s="193"/>
      <c r="BE43" s="88" t="b">
        <f>AND(ISBLANK($K30),J30&gt;0)</f>
        <v>0</v>
      </c>
      <c r="BO43" s="88"/>
      <c r="BP43" s="88"/>
      <c r="BQ43" s="90"/>
    </row>
    <row r="44" spans="2:73" ht="30.75" customHeight="1" x14ac:dyDescent="0.2">
      <c r="J44" s="194"/>
      <c r="T44" s="195" t="s">
        <v>389</v>
      </c>
      <c r="U44" s="88" t="b">
        <f>IF(AND(Flight?,OR(AW4,AY4,BA4,AZ4,AR45&lt;0.7,H41="MARG")),TRUE,FALSE)</f>
        <v>0</v>
      </c>
      <c r="AO44" s="196"/>
      <c r="AQ44" s="118" t="s">
        <v>390</v>
      </c>
      <c r="AR44" s="191">
        <f>1-AT44</f>
        <v>0.8</v>
      </c>
      <c r="AS44" s="118" t="s">
        <v>391</v>
      </c>
      <c r="AT44" s="191">
        <f>MIN(AT43,AT6)</f>
        <v>0.2</v>
      </c>
      <c r="AU44" s="118" t="s">
        <v>392</v>
      </c>
      <c r="AV44" s="89">
        <f>MIN(AV43,AV6)</f>
        <v>0</v>
      </c>
      <c r="BO44" s="88"/>
      <c r="BP44" s="88"/>
      <c r="BQ44" s="90"/>
    </row>
    <row r="45" spans="2:73" ht="25.5" x14ac:dyDescent="0.2">
      <c r="T45" s="195" t="s">
        <v>393</v>
      </c>
      <c r="U45" s="88" t="b">
        <f>IF(OR(AX4,AY4,AZ4,BB4,AR45&lt;0.7),TRUE,FALSE)</f>
        <v>0</v>
      </c>
      <c r="AO45" s="197"/>
      <c r="AQ45" s="118" t="s">
        <v>394</v>
      </c>
      <c r="AR45" s="89">
        <f>AR41*(1-AT44)+(AT41*AT44)</f>
        <v>0.96500000000000008</v>
      </c>
      <c r="AU45" s="88" t="s">
        <v>324</v>
      </c>
      <c r="AV45" s="89">
        <f>AV41*AV44</f>
        <v>0</v>
      </c>
      <c r="BO45" s="88"/>
      <c r="BP45" s="88"/>
      <c r="BQ45" s="90"/>
    </row>
    <row r="46" spans="2:73" ht="25.5" x14ac:dyDescent="0.2">
      <c r="T46" s="195" t="s">
        <v>395</v>
      </c>
      <c r="U46" s="88" t="b">
        <v>0</v>
      </c>
      <c r="AO46" s="197"/>
      <c r="AQ46" s="118" t="s">
        <v>396</v>
      </c>
      <c r="AR46" s="89">
        <f>MIN(1,IF(NOT(OR(AY4,AZ4)),AR45+AV45,MIN(0.69,AR45+AV45)))</f>
        <v>0.96500000000000008</v>
      </c>
      <c r="BO46" s="88"/>
      <c r="BP46" s="88"/>
      <c r="BQ46" s="90"/>
    </row>
    <row r="47" spans="2:73" x14ac:dyDescent="0.2">
      <c r="T47" s="195" t="s">
        <v>397</v>
      </c>
      <c r="U47" s="88" t="b">
        <f>IF(NOT(Flight?),TRUE,NOT(OR(ISBLANK(comments),ISBLANK(hdr_class),ISBLANK(hdr_date),ISBLANK(hdr_stud),ISBLANK(hdr_instr),ISBLANK(hdr_acft),ISBLANK(hdr_time),F41="---")))</f>
        <v>1</v>
      </c>
      <c r="AO47" s="197"/>
      <c r="AR47" s="118"/>
      <c r="AS47" s="89"/>
    </row>
    <row r="48" spans="2:73" x14ac:dyDescent="0.2">
      <c r="T48" s="195" t="s">
        <v>398</v>
      </c>
      <c r="U48" s="88" t="b">
        <f>IF(Flight?,TRUE,NOT(OR(ISBLANK(comments),ISBLANK(hdr_class),ISBLANK(hdr_date),ISBLANK(hdr_stud),ISBLANK(hdr_instr),F41="---")))</f>
        <v>1</v>
      </c>
      <c r="AO48" s="196"/>
      <c r="AP48" s="85" t="s">
        <v>399</v>
      </c>
      <c r="AQ48" s="85"/>
      <c r="AR48" s="85"/>
      <c r="AS48" s="85"/>
      <c r="AT48" s="85"/>
    </row>
    <row r="49" spans="20:50" x14ac:dyDescent="0.2">
      <c r="T49" s="195" t="s">
        <v>400</v>
      </c>
      <c r="U49" s="88" t="b">
        <f>AND(U47:U48)</f>
        <v>1</v>
      </c>
      <c r="AO49" s="196"/>
      <c r="AP49" s="85"/>
      <c r="AQ49" s="85"/>
      <c r="AR49" s="85">
        <v>0</v>
      </c>
      <c r="AS49" s="85">
        <v>1</v>
      </c>
      <c r="AT49" s="85">
        <v>2</v>
      </c>
      <c r="AU49" s="85">
        <v>3</v>
      </c>
      <c r="AV49" s="85">
        <v>4</v>
      </c>
    </row>
    <row r="50" spans="20:50" x14ac:dyDescent="0.2">
      <c r="AO50" s="196"/>
      <c r="AP50" s="85" t="s">
        <v>359</v>
      </c>
      <c r="AQ50" s="85">
        <v>1</v>
      </c>
      <c r="AR50" s="198">
        <v>0.7</v>
      </c>
      <c r="AS50" s="198">
        <v>0.9</v>
      </c>
      <c r="AT50" s="198">
        <v>0.93330000000000002</v>
      </c>
      <c r="AU50" s="198">
        <v>0.9667</v>
      </c>
      <c r="AV50" s="198">
        <v>1</v>
      </c>
    </row>
    <row r="51" spans="20:50" x14ac:dyDescent="0.2">
      <c r="AO51" s="196"/>
      <c r="AP51" s="85" t="s">
        <v>360</v>
      </c>
      <c r="AQ51" s="85">
        <v>2</v>
      </c>
      <c r="AR51" s="198">
        <v>0.7</v>
      </c>
      <c r="AS51" s="198">
        <v>0.8</v>
      </c>
      <c r="AT51" s="198">
        <v>0.9</v>
      </c>
      <c r="AU51" s="198">
        <v>0.95</v>
      </c>
      <c r="AV51" s="198">
        <v>1</v>
      </c>
    </row>
    <row r="52" spans="20:50" x14ac:dyDescent="0.2">
      <c r="AO52" s="196"/>
      <c r="AP52" s="85" t="s">
        <v>361</v>
      </c>
      <c r="AQ52" s="85">
        <v>3</v>
      </c>
      <c r="AR52" s="198">
        <v>0.7</v>
      </c>
      <c r="AS52" s="198">
        <v>0.76670000000000005</v>
      </c>
      <c r="AT52" s="198">
        <v>0.83330000000000004</v>
      </c>
      <c r="AU52" s="198">
        <v>0.9</v>
      </c>
      <c r="AV52" s="198">
        <v>1</v>
      </c>
    </row>
    <row r="53" spans="20:50" x14ac:dyDescent="0.2">
      <c r="AP53" s="199" t="s">
        <v>362</v>
      </c>
      <c r="AQ53" s="85">
        <v>11</v>
      </c>
      <c r="AR53" s="198">
        <v>0.6</v>
      </c>
      <c r="AS53" s="198">
        <v>0.9</v>
      </c>
      <c r="AT53" s="198">
        <v>0.93330000000000002</v>
      </c>
      <c r="AU53" s="198">
        <v>0.9667</v>
      </c>
      <c r="AV53" s="198">
        <v>1</v>
      </c>
    </row>
    <row r="54" spans="20:50" x14ac:dyDescent="0.2">
      <c r="AP54" s="199" t="s">
        <v>363</v>
      </c>
      <c r="AQ54" s="85">
        <v>12</v>
      </c>
      <c r="AR54" s="198">
        <v>0.6</v>
      </c>
      <c r="AS54" s="198">
        <v>0.7</v>
      </c>
      <c r="AT54" s="198">
        <v>0.9</v>
      </c>
      <c r="AU54" s="198">
        <v>0.95</v>
      </c>
      <c r="AV54" s="198">
        <v>1</v>
      </c>
    </row>
    <row r="55" spans="20:50" x14ac:dyDescent="0.2">
      <c r="AP55" s="199" t="s">
        <v>364</v>
      </c>
      <c r="AQ55" s="85">
        <v>13</v>
      </c>
      <c r="AR55" s="198">
        <v>0.6</v>
      </c>
      <c r="AS55" s="198">
        <v>0.7</v>
      </c>
      <c r="AT55" s="198">
        <v>0.8</v>
      </c>
      <c r="AU55" s="198">
        <v>0.9</v>
      </c>
      <c r="AV55" s="198">
        <v>1</v>
      </c>
    </row>
    <row r="56" spans="20:50" x14ac:dyDescent="0.2">
      <c r="AP56" s="199" t="s">
        <v>365</v>
      </c>
      <c r="AQ56" s="85">
        <v>22</v>
      </c>
      <c r="AR56" s="198">
        <v>0.3</v>
      </c>
      <c r="AS56" s="198">
        <v>0.6</v>
      </c>
      <c r="AT56" s="198">
        <v>0.9</v>
      </c>
      <c r="AU56" s="198">
        <v>0.95</v>
      </c>
      <c r="AV56" s="198">
        <v>1</v>
      </c>
    </row>
    <row r="57" spans="20:50" x14ac:dyDescent="0.2">
      <c r="AP57" s="199" t="s">
        <v>366</v>
      </c>
      <c r="AQ57" s="85">
        <v>23</v>
      </c>
      <c r="AR57" s="198">
        <v>0.3</v>
      </c>
      <c r="AS57" s="198">
        <v>0.6</v>
      </c>
      <c r="AT57" s="198">
        <v>0.7</v>
      </c>
      <c r="AU57" s="198">
        <v>0.9</v>
      </c>
      <c r="AV57" s="198">
        <v>1</v>
      </c>
    </row>
    <row r="58" spans="20:50" x14ac:dyDescent="0.2">
      <c r="AP58" s="199" t="s">
        <v>367</v>
      </c>
      <c r="AQ58" s="85">
        <v>33</v>
      </c>
      <c r="AR58" s="198">
        <v>0</v>
      </c>
      <c r="AS58" s="198">
        <v>0.3</v>
      </c>
      <c r="AT58" s="198">
        <v>0.6</v>
      </c>
      <c r="AU58" s="198">
        <v>0.9</v>
      </c>
      <c r="AV58" s="198">
        <v>1</v>
      </c>
      <c r="AW58" s="85"/>
    </row>
    <row r="60" spans="20:50" x14ac:dyDescent="0.2">
      <c r="AQ60" s="85"/>
      <c r="AW60" s="85"/>
      <c r="AX60" s="85"/>
    </row>
    <row r="61" spans="20:50" x14ac:dyDescent="0.2">
      <c r="AP61" s="200"/>
      <c r="AQ61" s="85"/>
      <c r="AW61" s="85"/>
      <c r="AX61" s="85"/>
    </row>
    <row r="62" spans="20:50" x14ac:dyDescent="0.2">
      <c r="AP62" s="85"/>
      <c r="AQ62" s="85"/>
      <c r="AW62" s="85"/>
      <c r="AX62" s="85"/>
    </row>
    <row r="63" spans="20:50" x14ac:dyDescent="0.2">
      <c r="AP63" s="85"/>
      <c r="AQ63" s="85"/>
      <c r="AW63" s="85"/>
    </row>
    <row r="64" spans="20:50" x14ac:dyDescent="0.2">
      <c r="AP64" s="85"/>
      <c r="AQ64" s="85"/>
      <c r="AW64" s="85"/>
    </row>
    <row r="65" spans="42:43" x14ac:dyDescent="0.2">
      <c r="AP65" s="85"/>
      <c r="AQ65" s="85"/>
    </row>
    <row r="66" spans="42:43" x14ac:dyDescent="0.2">
      <c r="AP66" s="85"/>
      <c r="AQ66" s="85"/>
    </row>
  </sheetData>
  <sheetProtection algorithmName="SHA-512" hashValue="Jy5DuPY4jcoEwhzi1Bw/e4T0fVSW345pTx7NCxX8ouNpbS4BgSRtlzfzeoccUMAI0R4KXSr9llD7obY7O55CXg==" saltValue="eRde/dg2kBskqDZ7kBnXww==" spinCount="100000" sheet="1" objects="1" scenarios="1" selectLockedCells="1"/>
  <mergeCells count="76">
    <mergeCell ref="BP3:BU4"/>
    <mergeCell ref="M40:N40"/>
    <mergeCell ref="O40:P40"/>
    <mergeCell ref="B41:D41"/>
    <mergeCell ref="L42:R42"/>
    <mergeCell ref="F41:G41"/>
    <mergeCell ref="H41:I41"/>
    <mergeCell ref="J41:K41"/>
    <mergeCell ref="M41:N41"/>
    <mergeCell ref="O41:P41"/>
    <mergeCell ref="C32:F32"/>
    <mergeCell ref="C33:F33"/>
    <mergeCell ref="C34:F34"/>
    <mergeCell ref="BO34:BU37"/>
    <mergeCell ref="C35:F35"/>
    <mergeCell ref="C36:F36"/>
    <mergeCell ref="Q41:R41"/>
    <mergeCell ref="C38:F38"/>
    <mergeCell ref="C39:F39"/>
    <mergeCell ref="BO39:BU42"/>
    <mergeCell ref="B40:D40"/>
    <mergeCell ref="F40:G40"/>
    <mergeCell ref="H40:I40"/>
    <mergeCell ref="J40:K40"/>
    <mergeCell ref="BQ19:BU19"/>
    <mergeCell ref="C20:F20"/>
    <mergeCell ref="C21:F21"/>
    <mergeCell ref="BO21:BO29"/>
    <mergeCell ref="C22:F22"/>
    <mergeCell ref="C23:F23"/>
    <mergeCell ref="C24:F24"/>
    <mergeCell ref="C25:F25"/>
    <mergeCell ref="C26:F26"/>
    <mergeCell ref="C27:F27"/>
    <mergeCell ref="C28:F28"/>
    <mergeCell ref="C29:F29"/>
    <mergeCell ref="C8:F8"/>
    <mergeCell ref="L8:R39"/>
    <mergeCell ref="C9:F9"/>
    <mergeCell ref="C10:F10"/>
    <mergeCell ref="C11:F11"/>
    <mergeCell ref="C12:F12"/>
    <mergeCell ref="C13:F13"/>
    <mergeCell ref="C14:F14"/>
    <mergeCell ref="C15:F15"/>
    <mergeCell ref="C16:F16"/>
    <mergeCell ref="C30:F30"/>
    <mergeCell ref="C17:F17"/>
    <mergeCell ref="C18:F18"/>
    <mergeCell ref="C19:F19"/>
    <mergeCell ref="C31:F31"/>
    <mergeCell ref="C37:F37"/>
    <mergeCell ref="B7:F7"/>
    <mergeCell ref="L7:R7"/>
    <mergeCell ref="BH4:BK6"/>
    <mergeCell ref="BL4:BN6"/>
    <mergeCell ref="B5:E5"/>
    <mergeCell ref="F5:G5"/>
    <mergeCell ref="H5:L5"/>
    <mergeCell ref="M5:N5"/>
    <mergeCell ref="O5:P5"/>
    <mergeCell ref="Q5:R5"/>
    <mergeCell ref="B6:E6"/>
    <mergeCell ref="F6:G6"/>
    <mergeCell ref="H6:L6"/>
    <mergeCell ref="M6:N6"/>
    <mergeCell ref="O6:P6"/>
    <mergeCell ref="Q6:R6"/>
    <mergeCell ref="B3:G3"/>
    <mergeCell ref="H3:N3"/>
    <mergeCell ref="O3:P3"/>
    <mergeCell ref="Q3:R3"/>
    <mergeCell ref="B4:G4"/>
    <mergeCell ref="H4:N4"/>
    <mergeCell ref="O4:P4"/>
    <mergeCell ref="Q4:R4"/>
  </mergeCells>
  <conditionalFormatting sqref="B8:F39">
    <cfRule type="expression" dxfId="410" priority="8" stopIfTrue="1">
      <formula>IF($Z8=1,TRUE,FALSE)</formula>
    </cfRule>
    <cfRule type="expression" dxfId="409" priority="9">
      <formula>IF($Z8=2,TRUE,FALSE)</formula>
    </cfRule>
  </conditionalFormatting>
  <conditionalFormatting sqref="C8:F39">
    <cfRule type="expression" dxfId="408" priority="1" stopIfTrue="1">
      <formula>IF($AF8=FALSE,TRUE,FALSE)</formula>
    </cfRule>
  </conditionalFormatting>
  <conditionalFormatting sqref="F5:G6 M5:P6">
    <cfRule type="expression" dxfId="407" priority="4" stopIfTrue="1">
      <formula>NOT($AU$4)</formula>
    </cfRule>
  </conditionalFormatting>
  <conditionalFormatting sqref="F6:G6">
    <cfRule type="cellIs" dxfId="406" priority="3" operator="equal">
      <formula>""</formula>
    </cfRule>
  </conditionalFormatting>
  <conditionalFormatting sqref="G8:K39">
    <cfRule type="expression" dxfId="405" priority="6" stopIfTrue="1">
      <formula>IF($Z8=1,TRUE,FALSE)</formula>
    </cfRule>
    <cfRule type="expression" dxfId="404" priority="7" stopIfTrue="1">
      <formula>IF($Z8=2,TRUE,FALSE)</formula>
    </cfRule>
  </conditionalFormatting>
  <conditionalFormatting sqref="H8:H39">
    <cfRule type="expression" dxfId="403" priority="10" stopIfTrue="1">
      <formula>IF($AB8=0,TRUE,FALSE)</formula>
    </cfRule>
  </conditionalFormatting>
  <conditionalFormatting sqref="H40:I41">
    <cfRule type="expression" dxfId="402" priority="2" stopIfTrue="1">
      <formula>IF($H$41="N/A",TRUE,FALSE)</formula>
    </cfRule>
  </conditionalFormatting>
  <conditionalFormatting sqref="H6:P6 O4:R4 B6 L8 L41 O41:R41">
    <cfRule type="containsBlanks" dxfId="401" priority="5">
      <formula>LEN(TRIM(B4))=0</formula>
    </cfRule>
  </conditionalFormatting>
  <conditionalFormatting sqref="J8:J39">
    <cfRule type="expression" dxfId="400" priority="14">
      <formula>IF($Z8=1,FALSE,OR($BE8,$BD8))</formula>
    </cfRule>
  </conditionalFormatting>
  <conditionalFormatting sqref="J8:K39 C8:F39">
    <cfRule type="expression" dxfId="399" priority="13">
      <formula>IF($Z8=1,FALSE,OR($AW8,$AX8,$AY8,$AZ8))</formula>
    </cfRule>
  </conditionalFormatting>
  <conditionalFormatting sqref="J8:K39">
    <cfRule type="expression" dxfId="398" priority="11" stopIfTrue="1">
      <formula>IF(ISNA($Z8),TRUE,FALSE)</formula>
    </cfRule>
  </conditionalFormatting>
  <conditionalFormatting sqref="K8:K39">
    <cfRule type="expression" dxfId="397" priority="12">
      <formula>IF(OR($Z8=1,$Z8=2),FALSE,OR($BC8,$BE8,$BF8))</formula>
    </cfRule>
  </conditionalFormatting>
  <dataValidations count="6">
    <dataValidation type="list" allowBlank="1" showInputMessage="1" showErrorMessage="1" sqref="F6:G6" xr:uid="{A87ACD1A-6388-4908-BB1A-148617613A15}">
      <formula1>"No,Yes"</formula1>
    </dataValidation>
    <dataValidation type="list" allowBlank="1" showInputMessage="1" showErrorMessage="1" sqref="J8:J39" xr:uid="{CAA4696A-FD35-46C6-90EE-1422A6103E9D}">
      <formula1>"NA,0,1,2,3,4,5,6,7,8,9,10,11,12,13,14,15"</formula1>
    </dataValidation>
    <dataValidation type="list" allowBlank="1" showInputMessage="1" showErrorMessage="1" sqref="K8:K39" xr:uid="{DAFA7834-59CE-4302-B104-5AB2482A6AAC}">
      <formula1>"D,0,1,2,3,4"</formula1>
    </dataValidation>
    <dataValidation showInputMessage="1" showErrorMessage="1" sqref="O41:R41" xr:uid="{18AB22E9-628B-4208-9C05-6E438D4C1F4D}"/>
    <dataValidation type="decimal" allowBlank="1" showInputMessage="1" showErrorMessage="1" sqref="O6:P6" xr:uid="{476A5551-311A-468E-A3BF-2A64E1907670}">
      <formula1>0</formula1>
      <formula2>10</formula2>
    </dataValidation>
    <dataValidation type="date" allowBlank="1" showInputMessage="1" showErrorMessage="1" sqref="Q4:R4" xr:uid="{8F96C0FD-75DC-46B3-A74E-D6F1FA10DBD5}">
      <formula1>41151</formula1>
      <formula2>77433</formula2>
    </dataValidation>
  </dataValidations>
  <hyperlinks>
    <hyperlink ref="BP3" location="PF!A1" display="PF phase Summary Page" xr:uid="{54E4DC30-D9F5-40C5-BC3D-5D4DA12930D0}"/>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0051"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130052"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130053"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130054"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130055"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77FBF9-7383-410D-80B4-C58468120813}">
  <sheetPr codeName="Sheet16">
    <tabColor rgb="FF00B0F0"/>
    <pageSetUpPr fitToPage="1"/>
  </sheetPr>
  <dimension ref="A1:U142"/>
  <sheetViews>
    <sheetView workbookViewId="0">
      <selection activeCell="P3" sqref="P3:U4"/>
    </sheetView>
  </sheetViews>
  <sheetFormatPr defaultColWidth="9.140625" defaultRowHeight="12.75" x14ac:dyDescent="0.2"/>
  <cols>
    <col min="1" max="2" width="2.7109375" style="205" customWidth="1"/>
    <col min="3" max="3" width="9.7109375" style="267" customWidth="1"/>
    <col min="4" max="4" width="4.7109375" style="268" customWidth="1"/>
    <col min="5" max="5" width="9.7109375" style="268" customWidth="1"/>
    <col min="6" max="6" width="0.7109375" style="269" customWidth="1"/>
    <col min="7" max="12" width="8.7109375" style="205" customWidth="1"/>
    <col min="13" max="14" width="2.7109375" style="205" customWidth="1"/>
    <col min="15" max="16384" width="9.140625" style="205"/>
  </cols>
  <sheetData>
    <row r="1" spans="1:21" ht="12.95" customHeight="1" x14ac:dyDescent="0.2">
      <c r="A1" s="202"/>
      <c r="B1" s="202"/>
      <c r="C1" s="202"/>
      <c r="D1" s="202"/>
      <c r="E1" s="202"/>
      <c r="F1" s="203"/>
      <c r="G1" s="202"/>
      <c r="H1" s="202"/>
      <c r="I1" s="202"/>
      <c r="J1" s="202"/>
      <c r="K1" s="202"/>
      <c r="L1" s="202"/>
      <c r="M1" s="202"/>
      <c r="N1" s="202"/>
      <c r="O1" s="204"/>
      <c r="P1" s="204"/>
      <c r="Q1" s="204"/>
      <c r="R1" s="204"/>
      <c r="S1" s="204"/>
      <c r="T1" s="204"/>
      <c r="U1" s="204"/>
    </row>
    <row r="2" spans="1:21" s="211" customFormat="1" ht="16.5" customHeight="1" x14ac:dyDescent="0.25">
      <c r="A2" s="206"/>
      <c r="B2" s="207"/>
      <c r="C2" s="208" t="s">
        <v>401</v>
      </c>
      <c r="D2" s="208"/>
      <c r="E2" s="208"/>
      <c r="F2" s="209"/>
      <c r="G2" s="208"/>
      <c r="H2" s="208"/>
      <c r="I2" s="208"/>
      <c r="J2" s="208"/>
      <c r="K2" s="208"/>
      <c r="L2" s="208"/>
      <c r="M2" s="210" t="s">
        <v>402</v>
      </c>
      <c r="N2" s="206"/>
      <c r="O2" s="207"/>
      <c r="P2" s="207"/>
      <c r="Q2" s="207"/>
      <c r="R2" s="207"/>
      <c r="S2" s="207"/>
      <c r="T2" s="207"/>
      <c r="U2" s="207"/>
    </row>
    <row r="3" spans="1:21" ht="18" x14ac:dyDescent="0.2">
      <c r="A3" s="202"/>
      <c r="B3" s="204"/>
      <c r="C3" s="208"/>
      <c r="D3" s="208"/>
      <c r="E3" s="208"/>
      <c r="F3" s="209"/>
      <c r="G3" s="208"/>
      <c r="H3" s="208"/>
      <c r="I3" s="208"/>
      <c r="J3" s="208"/>
      <c r="K3" s="208"/>
      <c r="L3" s="208"/>
      <c r="M3" s="212"/>
      <c r="N3" s="202"/>
      <c r="O3" s="204"/>
      <c r="P3" s="1033" t="s">
        <v>842</v>
      </c>
      <c r="Q3" s="1033"/>
      <c r="R3" s="1033"/>
      <c r="S3" s="1033"/>
      <c r="T3" s="1033"/>
      <c r="U3" s="1033"/>
    </row>
    <row r="4" spans="1:21" ht="14.25" customHeight="1" x14ac:dyDescent="0.2">
      <c r="A4" s="202"/>
      <c r="B4" s="204"/>
      <c r="C4" s="1048" t="s">
        <v>403</v>
      </c>
      <c r="D4" s="1049"/>
      <c r="E4" s="1050"/>
      <c r="F4" s="1051"/>
      <c r="G4" s="1051"/>
      <c r="H4" s="1052"/>
      <c r="I4" s="208"/>
      <c r="J4" s="213" t="s">
        <v>404</v>
      </c>
      <c r="K4" s="1053"/>
      <c r="L4" s="1054"/>
      <c r="M4" s="212"/>
      <c r="N4" s="202"/>
      <c r="O4" s="204"/>
      <c r="P4" s="1033"/>
      <c r="Q4" s="1033"/>
      <c r="R4" s="1033"/>
      <c r="S4" s="1033"/>
      <c r="T4" s="1033"/>
      <c r="U4" s="1033"/>
    </row>
    <row r="5" spans="1:21" ht="12.95" customHeight="1" x14ac:dyDescent="0.2">
      <c r="A5" s="202"/>
      <c r="B5" s="204"/>
      <c r="C5" s="208"/>
      <c r="D5" s="208"/>
      <c r="E5" s="208"/>
      <c r="F5" s="209"/>
      <c r="G5" s="208"/>
      <c r="H5" s="208"/>
      <c r="I5" s="208"/>
      <c r="J5" s="208"/>
      <c r="K5" s="208"/>
      <c r="L5" s="208"/>
      <c r="M5" s="212"/>
      <c r="N5" s="202"/>
      <c r="O5" s="204"/>
      <c r="P5" s="204"/>
      <c r="Q5" s="204"/>
      <c r="R5" s="204"/>
      <c r="S5" s="204"/>
      <c r="T5" s="204"/>
      <c r="U5" s="204"/>
    </row>
    <row r="6" spans="1:21" ht="12.95" customHeight="1" x14ac:dyDescent="0.2">
      <c r="A6" s="202"/>
      <c r="B6" s="204"/>
      <c r="C6" s="214" t="s">
        <v>405</v>
      </c>
      <c r="D6" s="215"/>
      <c r="E6" s="208"/>
      <c r="F6" s="209"/>
      <c r="G6" s="1050"/>
      <c r="H6" s="1051"/>
      <c r="I6" s="1052"/>
      <c r="J6" s="208"/>
      <c r="K6" s="208"/>
      <c r="L6" s="208"/>
      <c r="M6" s="212"/>
      <c r="N6" s="202"/>
      <c r="O6" s="204"/>
      <c r="P6" s="204"/>
      <c r="Q6" s="204"/>
      <c r="R6" s="204"/>
      <c r="S6" s="204"/>
      <c r="T6" s="204"/>
      <c r="U6" s="204"/>
    </row>
    <row r="7" spans="1:21" ht="12.95" customHeight="1" x14ac:dyDescent="0.2">
      <c r="A7" s="202"/>
      <c r="B7" s="204"/>
      <c r="C7" s="208"/>
      <c r="D7" s="208"/>
      <c r="E7" s="208"/>
      <c r="F7" s="209"/>
      <c r="G7" s="208"/>
      <c r="H7" s="208"/>
      <c r="I7" s="208"/>
      <c r="J7" s="208"/>
      <c r="K7" s="208"/>
      <c r="L7" s="208"/>
      <c r="M7" s="212"/>
      <c r="N7" s="202"/>
      <c r="O7" s="204"/>
      <c r="P7" s="204"/>
      <c r="Q7" s="204"/>
      <c r="R7" s="204"/>
      <c r="S7" s="204"/>
      <c r="T7" s="204"/>
      <c r="U7" s="204"/>
    </row>
    <row r="8" spans="1:21" ht="12.95" customHeight="1" thickBot="1" x14ac:dyDescent="0.25">
      <c r="A8" s="202"/>
      <c r="B8" s="204"/>
      <c r="C8" s="216" t="s">
        <v>406</v>
      </c>
      <c r="D8" s="217"/>
      <c r="E8" s="218" t="s">
        <v>407</v>
      </c>
      <c r="F8" s="219"/>
      <c r="G8" s="220"/>
      <c r="H8" s="220"/>
      <c r="I8" s="220"/>
      <c r="J8" s="220"/>
      <c r="K8" s="220"/>
      <c r="L8" s="220"/>
      <c r="M8" s="204"/>
      <c r="N8" s="202"/>
      <c r="O8" s="204"/>
      <c r="P8" s="204"/>
      <c r="Q8" s="204"/>
      <c r="R8" s="204"/>
      <c r="S8" s="204"/>
      <c r="T8" s="204"/>
      <c r="U8" s="204"/>
    </row>
    <row r="9" spans="1:21" ht="12.95" customHeight="1" thickBot="1" x14ac:dyDescent="0.25">
      <c r="A9" s="202"/>
      <c r="B9" s="204"/>
      <c r="C9" s="221">
        <f>SUM(C10:C12)</f>
        <v>82</v>
      </c>
      <c r="D9" s="222"/>
      <c r="E9" s="223">
        <f>SUM(C10*E10+C11*E11+C12*E12)/C9</f>
        <v>0</v>
      </c>
      <c r="F9" s="224">
        <v>2</v>
      </c>
      <c r="G9" s="225" t="s">
        <v>408</v>
      </c>
      <c r="H9" s="226"/>
      <c r="I9" s="226"/>
      <c r="J9" s="226"/>
      <c r="K9" s="226"/>
      <c r="L9" s="226"/>
      <c r="M9" s="204"/>
      <c r="N9" s="202"/>
      <c r="O9" s="204"/>
      <c r="P9" s="204"/>
      <c r="Q9" s="204"/>
      <c r="R9" s="204"/>
      <c r="S9" s="204"/>
      <c r="T9" s="204"/>
      <c r="U9" s="204"/>
    </row>
    <row r="10" spans="1:21" s="235" customFormat="1" ht="12.95" customHeight="1" x14ac:dyDescent="0.2">
      <c r="A10" s="227"/>
      <c r="B10" s="228"/>
      <c r="C10" s="229">
        <v>15</v>
      </c>
      <c r="D10" s="230"/>
      <c r="E10" s="231"/>
      <c r="F10" s="232">
        <v>2.1</v>
      </c>
      <c r="G10" s="233" t="s">
        <v>409</v>
      </c>
      <c r="H10" s="204"/>
      <c r="I10" s="234"/>
      <c r="J10" s="234"/>
      <c r="K10" s="234"/>
      <c r="L10" s="234"/>
      <c r="M10" s="228"/>
      <c r="N10" s="227"/>
      <c r="O10" s="228"/>
      <c r="P10" s="204"/>
      <c r="Q10" s="228"/>
      <c r="R10" s="228"/>
      <c r="S10" s="228"/>
      <c r="T10" s="228"/>
      <c r="U10" s="228"/>
    </row>
    <row r="11" spans="1:21" ht="12.95" customHeight="1" x14ac:dyDescent="0.2">
      <c r="A11" s="202"/>
      <c r="B11" s="204"/>
      <c r="C11" s="236">
        <v>35</v>
      </c>
      <c r="D11" s="230"/>
      <c r="E11" s="237"/>
      <c r="F11" s="232"/>
      <c r="G11" s="233" t="s">
        <v>410</v>
      </c>
      <c r="H11" s="204"/>
      <c r="I11" s="234"/>
      <c r="J11" s="234"/>
      <c r="K11" s="234"/>
      <c r="L11" s="234"/>
      <c r="M11" s="204"/>
      <c r="N11" s="202"/>
      <c r="O11" s="204"/>
      <c r="P11" s="204"/>
      <c r="Q11" s="204"/>
      <c r="R11" s="204"/>
      <c r="S11" s="204"/>
      <c r="T11" s="204"/>
      <c r="U11" s="204"/>
    </row>
    <row r="12" spans="1:21" ht="12.95" customHeight="1" x14ac:dyDescent="0.2">
      <c r="A12" s="202"/>
      <c r="B12" s="204"/>
      <c r="C12" s="238">
        <f>SUM(C13:C15)</f>
        <v>32</v>
      </c>
      <c r="D12" s="230"/>
      <c r="E12" s="239">
        <f>SUM(C13*E13,C14*E14,C15*E15)/C12</f>
        <v>0</v>
      </c>
      <c r="F12" s="240">
        <v>2.2999999999999998</v>
      </c>
      <c r="G12" s="233" t="s">
        <v>411</v>
      </c>
      <c r="H12" s="204"/>
      <c r="I12" s="234"/>
      <c r="J12" s="234"/>
      <c r="K12" s="234"/>
      <c r="L12" s="234"/>
      <c r="M12" s="204"/>
      <c r="N12" s="202"/>
      <c r="O12" s="204"/>
      <c r="P12" s="204"/>
      <c r="Q12" s="204"/>
      <c r="R12" s="204"/>
      <c r="S12" s="204"/>
      <c r="T12" s="204"/>
      <c r="U12" s="204"/>
    </row>
    <row r="13" spans="1:21" ht="12.95" customHeight="1" x14ac:dyDescent="0.2">
      <c r="A13" s="202"/>
      <c r="B13" s="204"/>
      <c r="C13" s="241">
        <v>2</v>
      </c>
      <c r="D13" s="230"/>
      <c r="E13" s="242"/>
      <c r="F13" s="232" t="s">
        <v>412</v>
      </c>
      <c r="G13" s="233" t="s">
        <v>413</v>
      </c>
      <c r="H13" s="204"/>
      <c r="I13" s="204"/>
      <c r="J13" s="234"/>
      <c r="K13" s="234"/>
      <c r="L13" s="234"/>
      <c r="M13" s="204"/>
      <c r="N13" s="202"/>
      <c r="O13" s="204"/>
      <c r="P13" s="204"/>
      <c r="Q13" s="204"/>
      <c r="R13" s="204"/>
      <c r="S13" s="204"/>
      <c r="T13" s="204"/>
      <c r="U13" s="204"/>
    </row>
    <row r="14" spans="1:21" ht="12.95" customHeight="1" x14ac:dyDescent="0.2">
      <c r="A14" s="202"/>
      <c r="B14" s="228"/>
      <c r="C14" s="241">
        <v>15</v>
      </c>
      <c r="D14" s="230"/>
      <c r="E14" s="242"/>
      <c r="F14" s="232" t="s">
        <v>414</v>
      </c>
      <c r="G14" s="233" t="s">
        <v>415</v>
      </c>
      <c r="H14" s="204"/>
      <c r="I14" s="204"/>
      <c r="J14" s="234"/>
      <c r="K14" s="234"/>
      <c r="L14" s="234"/>
      <c r="M14" s="204"/>
      <c r="N14" s="202"/>
      <c r="O14" s="204"/>
      <c r="P14" s="204"/>
      <c r="Q14" s="204"/>
      <c r="R14" s="204"/>
      <c r="S14" s="204"/>
      <c r="T14" s="204"/>
      <c r="U14" s="204"/>
    </row>
    <row r="15" spans="1:21" s="235" customFormat="1" ht="12.95" customHeight="1" x14ac:dyDescent="0.2">
      <c r="A15" s="227"/>
      <c r="B15" s="204"/>
      <c r="C15" s="241">
        <v>15</v>
      </c>
      <c r="D15" s="230"/>
      <c r="E15" s="242"/>
      <c r="F15" s="232" t="s">
        <v>416</v>
      </c>
      <c r="G15" s="233" t="s">
        <v>417</v>
      </c>
      <c r="H15" s="204"/>
      <c r="I15" s="204"/>
      <c r="J15" s="234"/>
      <c r="K15" s="234"/>
      <c r="L15" s="234"/>
      <c r="M15" s="228"/>
      <c r="N15" s="227"/>
      <c r="O15" s="228"/>
      <c r="P15" s="204"/>
      <c r="Q15" s="228"/>
      <c r="R15" s="228"/>
      <c r="S15" s="228"/>
      <c r="T15" s="228"/>
      <c r="U15" s="228"/>
    </row>
    <row r="16" spans="1:21" ht="12.95" customHeight="1" thickBot="1" x14ac:dyDescent="0.25">
      <c r="A16" s="202"/>
      <c r="B16" s="204"/>
      <c r="C16" s="243"/>
      <c r="D16" s="230"/>
      <c r="E16" s="244"/>
      <c r="F16" s="232"/>
      <c r="G16" s="234"/>
      <c r="H16" s="234"/>
      <c r="I16" s="234"/>
      <c r="J16" s="234"/>
      <c r="K16" s="234"/>
      <c r="L16" s="234"/>
      <c r="M16" s="204"/>
      <c r="N16" s="202"/>
      <c r="O16" s="204"/>
      <c r="P16" s="204"/>
      <c r="Q16" s="204"/>
      <c r="R16" s="204"/>
      <c r="S16" s="204"/>
      <c r="T16" s="204"/>
      <c r="U16" s="204"/>
    </row>
    <row r="17" spans="1:21" ht="12.95" customHeight="1" thickBot="1" x14ac:dyDescent="0.25">
      <c r="A17" s="202"/>
      <c r="B17" s="204"/>
      <c r="C17" s="221">
        <f>SUM(C18:C18)</f>
        <v>3</v>
      </c>
      <c r="D17" s="222"/>
      <c r="E17" s="223">
        <f>SUM(C18*E18)/C17</f>
        <v>0</v>
      </c>
      <c r="F17" s="224">
        <v>4</v>
      </c>
      <c r="G17" s="225" t="s">
        <v>418</v>
      </c>
      <c r="H17" s="226"/>
      <c r="I17" s="226"/>
      <c r="J17" s="226"/>
      <c r="K17" s="226"/>
      <c r="L17" s="226"/>
      <c r="M17" s="204"/>
      <c r="N17" s="202"/>
      <c r="O17" s="204"/>
      <c r="P17" s="204"/>
      <c r="Q17" s="204"/>
      <c r="R17" s="204"/>
      <c r="S17" s="204"/>
      <c r="T17" s="204"/>
      <c r="U17" s="204"/>
    </row>
    <row r="18" spans="1:21" ht="12.95" customHeight="1" x14ac:dyDescent="0.2">
      <c r="A18" s="202"/>
      <c r="B18" s="204"/>
      <c r="C18" s="241">
        <v>3</v>
      </c>
      <c r="D18" s="230"/>
      <c r="E18" s="242"/>
      <c r="F18" s="232">
        <v>4.7</v>
      </c>
      <c r="G18" s="233" t="s">
        <v>419</v>
      </c>
      <c r="H18" s="204"/>
      <c r="I18" s="234"/>
      <c r="J18" s="234"/>
      <c r="K18" s="234"/>
      <c r="L18" s="234"/>
      <c r="M18" s="204"/>
      <c r="N18" s="202"/>
      <c r="O18" s="204"/>
      <c r="P18" s="204"/>
      <c r="Q18" s="204"/>
      <c r="R18" s="204"/>
      <c r="S18" s="204"/>
      <c r="T18" s="204"/>
      <c r="U18" s="204"/>
    </row>
    <row r="19" spans="1:21" ht="12.95" customHeight="1" thickBot="1" x14ac:dyDescent="0.25">
      <c r="A19" s="202"/>
      <c r="B19" s="228"/>
      <c r="C19" s="243"/>
      <c r="D19" s="230"/>
      <c r="E19" s="244"/>
      <c r="F19" s="232"/>
      <c r="G19" s="234"/>
      <c r="H19" s="234"/>
      <c r="I19" s="234"/>
      <c r="J19" s="234"/>
      <c r="K19" s="234"/>
      <c r="L19" s="234"/>
      <c r="M19" s="204"/>
      <c r="N19" s="202"/>
      <c r="O19" s="204"/>
      <c r="P19" s="204"/>
      <c r="Q19" s="204"/>
      <c r="R19" s="204"/>
      <c r="S19" s="204"/>
      <c r="T19" s="204"/>
      <c r="U19" s="204"/>
    </row>
    <row r="20" spans="1:21" ht="12.95" customHeight="1" thickBot="1" x14ac:dyDescent="0.25">
      <c r="A20" s="202"/>
      <c r="B20" s="204"/>
      <c r="C20" s="221">
        <f>SUM(C21:C22)</f>
        <v>15</v>
      </c>
      <c r="D20" s="222"/>
      <c r="E20" s="223">
        <f>SUM(C21*E21,C22*E22)/C20</f>
        <v>0</v>
      </c>
      <c r="F20" s="224">
        <v>5</v>
      </c>
      <c r="G20" s="225" t="s">
        <v>420</v>
      </c>
      <c r="H20" s="226"/>
      <c r="I20" s="226"/>
      <c r="J20" s="226"/>
      <c r="K20" s="226"/>
      <c r="L20" s="226"/>
      <c r="M20" s="204"/>
      <c r="N20" s="202"/>
      <c r="O20" s="204"/>
      <c r="P20" s="204"/>
      <c r="Q20" s="204"/>
      <c r="R20" s="204"/>
      <c r="S20" s="204"/>
      <c r="T20" s="204"/>
      <c r="U20" s="204"/>
    </row>
    <row r="21" spans="1:21" ht="12.95" customHeight="1" x14ac:dyDescent="0.2">
      <c r="A21" s="202"/>
      <c r="B21" s="204"/>
      <c r="C21" s="245">
        <v>10</v>
      </c>
      <c r="D21" s="230"/>
      <c r="E21" s="246"/>
      <c r="F21" s="232">
        <v>5.0999999999999996</v>
      </c>
      <c r="G21" s="233" t="s">
        <v>421</v>
      </c>
      <c r="H21" s="204"/>
      <c r="I21" s="234"/>
      <c r="J21" s="234"/>
      <c r="K21" s="234"/>
      <c r="L21" s="234"/>
      <c r="M21" s="204"/>
      <c r="N21" s="202"/>
      <c r="O21" s="204"/>
      <c r="P21" s="204"/>
      <c r="Q21" s="204"/>
      <c r="R21" s="204"/>
      <c r="S21" s="204"/>
      <c r="T21" s="204"/>
      <c r="U21" s="204"/>
    </row>
    <row r="22" spans="1:21" ht="12.95" customHeight="1" x14ac:dyDescent="0.2">
      <c r="A22" s="202"/>
      <c r="B22" s="204"/>
      <c r="C22" s="241">
        <v>5</v>
      </c>
      <c r="D22" s="230"/>
      <c r="E22" s="242"/>
      <c r="F22" s="232">
        <v>5.2</v>
      </c>
      <c r="G22" s="233" t="s">
        <v>422</v>
      </c>
      <c r="H22" s="204"/>
      <c r="I22" s="234"/>
      <c r="J22" s="234"/>
      <c r="K22" s="234"/>
      <c r="L22" s="234"/>
      <c r="M22" s="204"/>
      <c r="N22" s="202"/>
      <c r="O22" s="204"/>
      <c r="P22" s="204"/>
      <c r="Q22" s="204"/>
      <c r="R22" s="204"/>
      <c r="S22" s="204"/>
      <c r="T22" s="204"/>
      <c r="U22" s="204"/>
    </row>
    <row r="23" spans="1:21" ht="12.95" customHeight="1" thickBot="1" x14ac:dyDescent="0.25">
      <c r="A23" s="202"/>
      <c r="B23" s="204"/>
      <c r="C23" s="243"/>
      <c r="D23" s="230"/>
      <c r="E23" s="244"/>
      <c r="F23" s="232"/>
      <c r="G23" s="234"/>
      <c r="H23" s="234"/>
      <c r="I23" s="234"/>
      <c r="J23" s="234"/>
      <c r="K23" s="234"/>
      <c r="L23" s="234"/>
      <c r="M23" s="204"/>
      <c r="N23" s="202"/>
      <c r="O23" s="204"/>
      <c r="P23" s="204"/>
      <c r="Q23" s="204"/>
      <c r="R23" s="204"/>
      <c r="S23" s="204"/>
      <c r="T23" s="204"/>
      <c r="U23" s="204"/>
    </row>
    <row r="24" spans="1:21" s="235" customFormat="1" ht="16.5" customHeight="1" thickBot="1" x14ac:dyDescent="0.25">
      <c r="A24" s="227"/>
      <c r="B24" s="204"/>
      <c r="C24" s="221">
        <f>SUM(C20,C17,C9)</f>
        <v>100</v>
      </c>
      <c r="D24" s="222"/>
      <c r="E24" s="247">
        <f>SUM(C20*E20,C17*E17,C9*E9)/C24/100</f>
        <v>0</v>
      </c>
      <c r="F24" s="248"/>
      <c r="G24" s="249" t="s">
        <v>423</v>
      </c>
      <c r="H24" s="249"/>
      <c r="I24" s="249"/>
      <c r="J24" s="226"/>
      <c r="K24" s="226"/>
      <c r="L24" s="226"/>
      <c r="M24" s="228"/>
      <c r="N24" s="227"/>
      <c r="O24" s="228"/>
      <c r="P24" s="204"/>
      <c r="Q24" s="228"/>
      <c r="R24" s="228"/>
      <c r="S24" s="228"/>
      <c r="T24" s="228"/>
      <c r="U24" s="228"/>
    </row>
    <row r="25" spans="1:21" ht="12.95" customHeight="1" x14ac:dyDescent="0.2">
      <c r="A25" s="202"/>
      <c r="B25" s="204"/>
      <c r="C25" s="204"/>
      <c r="D25" s="250"/>
      <c r="E25" s="251">
        <v>0</v>
      </c>
      <c r="F25" s="232"/>
      <c r="G25" s="252" t="s">
        <v>424</v>
      </c>
      <c r="H25" s="253"/>
      <c r="I25" s="253"/>
      <c r="J25" s="234"/>
      <c r="K25" s="234"/>
      <c r="L25" s="234"/>
      <c r="M25" s="204"/>
      <c r="N25" s="202"/>
      <c r="O25" s="204"/>
      <c r="P25" s="204"/>
      <c r="Q25" s="204"/>
      <c r="R25" s="204"/>
      <c r="S25" s="204"/>
      <c r="T25" s="204"/>
      <c r="U25" s="204"/>
    </row>
    <row r="26" spans="1:21" ht="12.95" customHeight="1" thickBot="1" x14ac:dyDescent="0.25">
      <c r="A26" s="202"/>
      <c r="B26" s="228"/>
      <c r="C26" s="204"/>
      <c r="D26" s="204"/>
      <c r="E26" s="254">
        <v>0</v>
      </c>
      <c r="F26" s="232"/>
      <c r="G26" s="252" t="s">
        <v>425</v>
      </c>
      <c r="H26" s="204"/>
      <c r="I26" s="204"/>
      <c r="J26" s="234"/>
      <c r="K26" s="234"/>
      <c r="L26" s="234"/>
      <c r="M26" s="204"/>
      <c r="N26" s="202"/>
      <c r="O26" s="204"/>
      <c r="P26" s="204"/>
      <c r="Q26" s="204"/>
      <c r="R26" s="204"/>
      <c r="S26" s="204"/>
      <c r="T26" s="204"/>
      <c r="U26" s="204"/>
    </row>
    <row r="27" spans="1:21" ht="12.95" customHeight="1" thickTop="1" thickBot="1" x14ac:dyDescent="0.25">
      <c r="A27" s="202"/>
      <c r="B27" s="204"/>
      <c r="C27" s="228"/>
      <c r="D27" s="228"/>
      <c r="E27" s="255">
        <f>E24+E25-E26</f>
        <v>0</v>
      </c>
      <c r="F27" s="256"/>
      <c r="G27" s="1055" t="s">
        <v>426</v>
      </c>
      <c r="H27" s="1055"/>
      <c r="I27" s="1055"/>
      <c r="J27" s="226"/>
      <c r="K27" s="226"/>
      <c r="L27" s="226"/>
      <c r="M27" s="204"/>
      <c r="N27" s="202"/>
      <c r="O27" s="204"/>
      <c r="P27" s="204"/>
      <c r="Q27" s="204"/>
      <c r="R27" s="204"/>
      <c r="S27" s="204"/>
      <c r="T27" s="204"/>
      <c r="U27" s="204"/>
    </row>
    <row r="28" spans="1:21" ht="12.95" customHeight="1" thickTop="1" thickBot="1" x14ac:dyDescent="0.25">
      <c r="A28" s="202"/>
      <c r="B28" s="204"/>
      <c r="C28" s="257">
        <v>100</v>
      </c>
      <c r="D28" s="228"/>
      <c r="E28" s="258">
        <f>E27*C28</f>
        <v>0</v>
      </c>
      <c r="F28" s="259"/>
      <c r="G28" s="1055"/>
      <c r="H28" s="1055"/>
      <c r="I28" s="1055"/>
      <c r="J28" s="226"/>
      <c r="K28" s="226"/>
      <c r="L28" s="226"/>
      <c r="M28" s="204"/>
      <c r="N28" s="202"/>
      <c r="O28" s="204"/>
      <c r="P28" s="204"/>
      <c r="Q28" s="204"/>
      <c r="R28" s="204"/>
      <c r="S28" s="204"/>
      <c r="T28" s="204"/>
      <c r="U28" s="204"/>
    </row>
    <row r="29" spans="1:21" ht="12.95" customHeight="1" x14ac:dyDescent="0.2">
      <c r="A29" s="202"/>
      <c r="B29" s="204"/>
      <c r="C29" s="260"/>
      <c r="D29" s="228"/>
      <c r="E29" s="261"/>
      <c r="F29" s="262"/>
      <c r="G29" s="249"/>
      <c r="H29" s="249"/>
      <c r="I29" s="249"/>
      <c r="J29" s="226"/>
      <c r="K29" s="226"/>
      <c r="L29" s="226"/>
      <c r="M29" s="204"/>
      <c r="N29" s="202"/>
      <c r="O29" s="204"/>
      <c r="P29" s="204"/>
      <c r="Q29" s="204"/>
      <c r="R29" s="204"/>
      <c r="S29" s="204"/>
      <c r="T29" s="204"/>
      <c r="U29" s="204"/>
    </row>
    <row r="30" spans="1:21" ht="12.95" customHeight="1" x14ac:dyDescent="0.2">
      <c r="A30" s="202"/>
      <c r="B30" s="228"/>
      <c r="C30" s="263" t="s">
        <v>427</v>
      </c>
      <c r="D30" s="228"/>
      <c r="E30" s="1034"/>
      <c r="F30" s="1035"/>
      <c r="G30" s="1035"/>
      <c r="H30" s="1035"/>
      <c r="I30" s="1036"/>
      <c r="J30" s="1043" t="s">
        <v>428</v>
      </c>
      <c r="K30" s="1043"/>
      <c r="L30" s="1043"/>
      <c r="M30" s="204"/>
      <c r="N30" s="202"/>
      <c r="O30" s="204"/>
      <c r="P30" s="204"/>
      <c r="Q30" s="204"/>
      <c r="R30" s="204"/>
      <c r="S30" s="204"/>
      <c r="T30" s="204"/>
      <c r="U30" s="204"/>
    </row>
    <row r="31" spans="1:21" s="235" customFormat="1" ht="16.5" customHeight="1" x14ac:dyDescent="0.2">
      <c r="A31" s="227"/>
      <c r="B31" s="204"/>
      <c r="C31" s="260"/>
      <c r="D31" s="228"/>
      <c r="E31" s="1037"/>
      <c r="F31" s="1038"/>
      <c r="G31" s="1038"/>
      <c r="H31" s="1038"/>
      <c r="I31" s="1039"/>
      <c r="J31" s="1044"/>
      <c r="K31" s="1044"/>
      <c r="L31" s="1045"/>
      <c r="M31" s="228"/>
      <c r="N31" s="227"/>
      <c r="O31" s="228"/>
      <c r="P31" s="204"/>
      <c r="Q31" s="228"/>
      <c r="R31" s="228"/>
      <c r="S31" s="228"/>
      <c r="T31" s="228"/>
      <c r="U31" s="228"/>
    </row>
    <row r="32" spans="1:21" ht="12.95" customHeight="1" x14ac:dyDescent="0.2">
      <c r="A32" s="202"/>
      <c r="B32" s="204"/>
      <c r="C32" s="260"/>
      <c r="D32" s="228"/>
      <c r="E32" s="1037"/>
      <c r="F32" s="1038"/>
      <c r="G32" s="1038"/>
      <c r="H32" s="1038"/>
      <c r="I32" s="1039"/>
      <c r="J32" s="1046"/>
      <c r="K32" s="1046"/>
      <c r="L32" s="1047"/>
      <c r="M32" s="204"/>
      <c r="N32" s="202"/>
      <c r="O32" s="204"/>
      <c r="P32" s="204"/>
      <c r="Q32" s="204"/>
      <c r="R32" s="204"/>
      <c r="S32" s="204"/>
      <c r="T32" s="204"/>
      <c r="U32" s="204"/>
    </row>
    <row r="33" spans="1:21" ht="12.95" customHeight="1" x14ac:dyDescent="0.2">
      <c r="A33" s="202"/>
      <c r="B33" s="228"/>
      <c r="C33" s="260"/>
      <c r="D33" s="228"/>
      <c r="E33" s="1037"/>
      <c r="F33" s="1038"/>
      <c r="G33" s="1038"/>
      <c r="H33" s="1038"/>
      <c r="I33" s="1039"/>
      <c r="J33" s="226"/>
      <c r="K33" s="226"/>
      <c r="L33" s="226"/>
      <c r="M33" s="204"/>
      <c r="N33" s="202"/>
      <c r="O33" s="204"/>
      <c r="P33" s="204"/>
      <c r="Q33" s="204"/>
      <c r="R33" s="204"/>
      <c r="S33" s="204"/>
      <c r="T33" s="204"/>
      <c r="U33" s="204"/>
    </row>
    <row r="34" spans="1:21" ht="12.95" customHeight="1" x14ac:dyDescent="0.2">
      <c r="A34" s="202"/>
      <c r="B34" s="228"/>
      <c r="C34" s="260"/>
      <c r="D34" s="228"/>
      <c r="E34" s="1037"/>
      <c r="F34" s="1038"/>
      <c r="G34" s="1038"/>
      <c r="H34" s="1038"/>
      <c r="I34" s="1039"/>
      <c r="J34" s="226"/>
      <c r="K34" s="226"/>
      <c r="L34" s="226"/>
      <c r="M34" s="204"/>
      <c r="N34" s="202"/>
      <c r="O34" s="204"/>
      <c r="P34" s="204"/>
      <c r="Q34" s="204"/>
      <c r="R34" s="204"/>
      <c r="S34" s="204"/>
      <c r="T34" s="204"/>
      <c r="U34" s="204"/>
    </row>
    <row r="35" spans="1:21" s="235" customFormat="1" ht="16.5" customHeight="1" x14ac:dyDescent="0.2">
      <c r="A35" s="227"/>
      <c r="B35" s="228"/>
      <c r="C35" s="204"/>
      <c r="D35" s="204"/>
      <c r="E35" s="1037"/>
      <c r="F35" s="1038"/>
      <c r="G35" s="1038"/>
      <c r="H35" s="1038"/>
      <c r="I35" s="1039"/>
      <c r="J35" s="204"/>
      <c r="K35" s="204"/>
      <c r="L35" s="204"/>
      <c r="M35" s="228"/>
      <c r="N35" s="227"/>
      <c r="O35" s="228"/>
      <c r="P35" s="204"/>
      <c r="Q35" s="228"/>
      <c r="R35" s="228"/>
      <c r="S35" s="228"/>
      <c r="T35" s="228"/>
      <c r="U35" s="228"/>
    </row>
    <row r="36" spans="1:21" ht="12.95" customHeight="1" x14ac:dyDescent="0.2">
      <c r="A36" s="202"/>
      <c r="B36" s="228"/>
      <c r="C36" s="204"/>
      <c r="D36" s="204"/>
      <c r="E36" s="1037"/>
      <c r="F36" s="1038"/>
      <c r="G36" s="1038"/>
      <c r="H36" s="1038"/>
      <c r="I36" s="1039"/>
      <c r="J36" s="204"/>
      <c r="K36" s="204"/>
      <c r="L36" s="204"/>
      <c r="M36" s="204"/>
      <c r="N36" s="202"/>
      <c r="O36" s="204"/>
      <c r="P36" s="204"/>
      <c r="Q36" s="204"/>
      <c r="R36" s="204"/>
      <c r="S36" s="204"/>
      <c r="T36" s="204"/>
      <c r="U36" s="204"/>
    </row>
    <row r="37" spans="1:21" ht="12.95" customHeight="1" x14ac:dyDescent="0.2">
      <c r="A37" s="202"/>
      <c r="B37" s="228"/>
      <c r="C37" s="204"/>
      <c r="D37" s="204"/>
      <c r="E37" s="1037"/>
      <c r="F37" s="1038"/>
      <c r="G37" s="1038"/>
      <c r="H37" s="1038"/>
      <c r="I37" s="1039"/>
      <c r="J37" s="204"/>
      <c r="K37" s="204"/>
      <c r="L37" s="204"/>
      <c r="M37" s="204"/>
      <c r="N37" s="202"/>
      <c r="O37" s="204"/>
      <c r="P37" s="204"/>
      <c r="Q37" s="204"/>
      <c r="R37" s="204"/>
      <c r="S37" s="204"/>
      <c r="T37" s="204"/>
      <c r="U37" s="204"/>
    </row>
    <row r="38" spans="1:21" s="235" customFormat="1" ht="16.5" customHeight="1" x14ac:dyDescent="0.2">
      <c r="A38" s="227"/>
      <c r="B38" s="228"/>
      <c r="C38" s="204"/>
      <c r="D38" s="204"/>
      <c r="E38" s="1040"/>
      <c r="F38" s="1041"/>
      <c r="G38" s="1041"/>
      <c r="H38" s="1041"/>
      <c r="I38" s="1042"/>
      <c r="J38" s="204"/>
      <c r="K38" s="204"/>
      <c r="L38" s="204"/>
      <c r="M38" s="228"/>
      <c r="N38" s="227"/>
      <c r="O38" s="228"/>
      <c r="P38" s="228"/>
      <c r="Q38" s="228"/>
      <c r="R38" s="228"/>
      <c r="S38" s="228"/>
      <c r="T38" s="228"/>
      <c r="U38" s="228"/>
    </row>
    <row r="39" spans="1:21" s="235" customFormat="1" ht="16.5" customHeight="1" x14ac:dyDescent="0.2">
      <c r="A39" s="227"/>
      <c r="B39" s="228"/>
      <c r="C39" s="204"/>
      <c r="D39" s="204"/>
      <c r="E39" s="204"/>
      <c r="F39" s="264"/>
      <c r="G39" s="204"/>
      <c r="H39" s="204"/>
      <c r="I39" s="204"/>
      <c r="J39" s="204"/>
      <c r="K39" s="204"/>
      <c r="L39" s="204"/>
      <c r="M39" s="228"/>
      <c r="N39" s="227"/>
      <c r="O39" s="228"/>
      <c r="P39" s="228"/>
      <c r="Q39" s="228"/>
      <c r="R39" s="228"/>
      <c r="S39" s="228"/>
      <c r="T39" s="228"/>
      <c r="U39" s="228"/>
    </row>
    <row r="40" spans="1:21" s="235" customFormat="1" ht="16.5" customHeight="1" x14ac:dyDescent="0.2">
      <c r="A40" s="227"/>
      <c r="B40" s="228"/>
      <c r="C40" s="204"/>
      <c r="D40" s="204"/>
      <c r="E40" s="204"/>
      <c r="F40" s="264"/>
      <c r="G40" s="204"/>
      <c r="H40" s="204"/>
      <c r="I40" s="204"/>
      <c r="J40" s="204"/>
      <c r="K40" s="204"/>
      <c r="L40" s="204"/>
      <c r="M40" s="228"/>
      <c r="N40" s="227"/>
      <c r="O40" s="228"/>
      <c r="P40" s="228"/>
      <c r="Q40" s="228"/>
      <c r="R40" s="228"/>
      <c r="S40" s="228"/>
      <c r="T40" s="228"/>
      <c r="U40" s="228"/>
    </row>
    <row r="41" spans="1:21" s="235" customFormat="1" ht="16.5" customHeight="1" x14ac:dyDescent="0.25">
      <c r="A41" s="227"/>
      <c r="B41" s="265" t="s">
        <v>429</v>
      </c>
      <c r="C41" s="204"/>
      <c r="D41" s="204"/>
      <c r="E41" s="204"/>
      <c r="F41" s="264"/>
      <c r="G41" s="204"/>
      <c r="H41" s="204"/>
      <c r="I41" s="204"/>
      <c r="J41" s="204"/>
      <c r="K41" s="204"/>
      <c r="L41" s="204"/>
      <c r="M41" s="228"/>
      <c r="N41" s="227"/>
      <c r="O41" s="228"/>
      <c r="P41" s="228"/>
      <c r="Q41" s="228"/>
      <c r="R41" s="228"/>
      <c r="S41" s="228"/>
      <c r="T41" s="228"/>
      <c r="U41" s="228"/>
    </row>
    <row r="42" spans="1:21" s="235" customFormat="1" ht="16.5" customHeight="1" x14ac:dyDescent="0.2">
      <c r="A42" s="227"/>
      <c r="B42" s="204"/>
      <c r="C42" s="204"/>
      <c r="D42" s="204"/>
      <c r="E42" s="204"/>
      <c r="F42" s="264"/>
      <c r="G42" s="204"/>
      <c r="H42" s="204"/>
      <c r="I42" s="204"/>
      <c r="J42" s="204"/>
      <c r="K42" s="204"/>
      <c r="L42" s="204"/>
      <c r="M42" s="228"/>
      <c r="N42" s="227"/>
      <c r="O42" s="228"/>
      <c r="P42" s="228"/>
      <c r="Q42" s="228"/>
      <c r="R42" s="228"/>
      <c r="S42" s="228"/>
      <c r="T42" s="228"/>
      <c r="U42" s="228"/>
    </row>
    <row r="43" spans="1:21" s="235" customFormat="1" ht="16.5" customHeight="1" x14ac:dyDescent="0.2">
      <c r="A43" s="227"/>
      <c r="B43" s="204"/>
      <c r="C43" s="204"/>
      <c r="D43" s="204"/>
      <c r="E43" s="204"/>
      <c r="F43" s="264"/>
      <c r="G43" s="204"/>
      <c r="H43" s="204"/>
      <c r="I43" s="204"/>
      <c r="J43" s="204"/>
      <c r="K43" s="204"/>
      <c r="L43" s="204"/>
      <c r="M43" s="228"/>
      <c r="N43" s="227"/>
      <c r="O43" s="228"/>
      <c r="P43" s="228"/>
      <c r="Q43" s="228"/>
      <c r="R43" s="228"/>
      <c r="S43" s="228"/>
      <c r="T43" s="228"/>
      <c r="U43" s="228"/>
    </row>
    <row r="44" spans="1:21" s="235" customFormat="1" ht="16.5" customHeight="1" x14ac:dyDescent="0.2">
      <c r="A44" s="227"/>
      <c r="B44" s="204"/>
      <c r="C44" s="204"/>
      <c r="D44" s="204"/>
      <c r="E44" s="204"/>
      <c r="F44" s="264"/>
      <c r="G44" s="204"/>
      <c r="H44" s="204"/>
      <c r="I44" s="204"/>
      <c r="J44" s="204"/>
      <c r="K44" s="204"/>
      <c r="L44" s="204"/>
      <c r="M44" s="228"/>
      <c r="N44" s="227"/>
      <c r="O44" s="228"/>
      <c r="P44" s="228"/>
      <c r="Q44" s="228"/>
      <c r="R44" s="228"/>
      <c r="S44" s="228"/>
      <c r="T44" s="228"/>
      <c r="U44" s="228"/>
    </row>
    <row r="45" spans="1:21" s="235" customFormat="1" ht="16.5" customHeight="1" x14ac:dyDescent="0.2">
      <c r="A45" s="227"/>
      <c r="B45" s="204"/>
      <c r="C45" s="204"/>
      <c r="D45" s="204"/>
      <c r="E45" s="204"/>
      <c r="F45" s="264"/>
      <c r="G45" s="204"/>
      <c r="H45" s="204"/>
      <c r="I45" s="204"/>
      <c r="J45" s="204"/>
      <c r="K45" s="204"/>
      <c r="L45" s="204"/>
      <c r="M45" s="228"/>
      <c r="N45" s="227"/>
      <c r="O45" s="228"/>
      <c r="P45" s="228"/>
      <c r="Q45" s="228"/>
      <c r="R45" s="228"/>
      <c r="S45" s="228"/>
      <c r="T45" s="228"/>
      <c r="U45" s="228"/>
    </row>
    <row r="46" spans="1:21" ht="12.95" customHeight="1" x14ac:dyDescent="0.2">
      <c r="A46" s="202"/>
      <c r="B46" s="204"/>
      <c r="C46" s="204"/>
      <c r="D46" s="204"/>
      <c r="E46" s="204"/>
      <c r="F46" s="264"/>
      <c r="G46" s="204"/>
      <c r="H46" s="204"/>
      <c r="I46" s="204"/>
      <c r="J46" s="204"/>
      <c r="K46" s="204"/>
      <c r="L46" s="204"/>
      <c r="M46" s="204"/>
      <c r="N46" s="202"/>
      <c r="O46" s="204"/>
      <c r="P46" s="204"/>
      <c r="Q46" s="204"/>
      <c r="R46" s="204"/>
      <c r="S46" s="204"/>
      <c r="T46" s="204"/>
      <c r="U46" s="204"/>
    </row>
    <row r="47" spans="1:21" ht="12.95" customHeight="1" x14ac:dyDescent="0.2">
      <c r="A47" s="202"/>
      <c r="B47" s="202"/>
      <c r="C47" s="202"/>
      <c r="D47" s="202"/>
      <c r="E47" s="202"/>
      <c r="F47" s="203"/>
      <c r="G47" s="202"/>
      <c r="H47" s="202"/>
      <c r="I47" s="202"/>
      <c r="J47" s="202"/>
      <c r="K47" s="202"/>
      <c r="L47" s="202"/>
      <c r="M47" s="202"/>
      <c r="N47" s="202"/>
      <c r="O47" s="204"/>
      <c r="P47" s="204"/>
      <c r="Q47" s="204"/>
      <c r="R47" s="204"/>
      <c r="S47" s="204"/>
      <c r="T47" s="204"/>
      <c r="U47" s="204"/>
    </row>
    <row r="48" spans="1:21" x14ac:dyDescent="0.2">
      <c r="A48" s="204"/>
      <c r="B48" s="204"/>
      <c r="C48" s="204"/>
      <c r="D48" s="204"/>
      <c r="E48" s="204"/>
      <c r="F48" s="264"/>
      <c r="G48" s="204"/>
      <c r="H48" s="204"/>
      <c r="I48" s="204"/>
      <c r="J48" s="204"/>
      <c r="K48" s="204"/>
      <c r="L48" s="204"/>
      <c r="M48" s="204"/>
      <c r="N48" s="204"/>
      <c r="O48" s="204"/>
      <c r="P48" s="204"/>
      <c r="Q48" s="204"/>
      <c r="R48" s="204"/>
      <c r="S48" s="204"/>
      <c r="T48" s="204"/>
      <c r="U48" s="204"/>
    </row>
    <row r="49" spans="1:21" ht="12.75" customHeight="1" x14ac:dyDescent="0.2">
      <c r="A49" s="204"/>
      <c r="B49" s="204"/>
      <c r="C49" s="204"/>
      <c r="D49" s="204"/>
      <c r="E49" s="204"/>
      <c r="F49" s="264"/>
      <c r="G49" s="204"/>
      <c r="H49" s="204"/>
      <c r="I49" s="204"/>
      <c r="J49" s="204"/>
      <c r="K49" s="204"/>
      <c r="L49" s="204"/>
      <c r="M49" s="204"/>
      <c r="N49" s="204"/>
      <c r="O49" s="204"/>
      <c r="P49" s="204"/>
      <c r="Q49" s="204"/>
      <c r="R49" s="204"/>
      <c r="S49" s="204"/>
      <c r="T49" s="204"/>
      <c r="U49" s="204"/>
    </row>
    <row r="50" spans="1:21" x14ac:dyDescent="0.2">
      <c r="A50" s="204"/>
      <c r="B50" s="204"/>
      <c r="C50" s="204"/>
      <c r="D50" s="204"/>
      <c r="E50" s="204"/>
      <c r="F50" s="264"/>
      <c r="G50" s="204"/>
      <c r="H50" s="204"/>
      <c r="I50" s="204"/>
      <c r="J50" s="204"/>
      <c r="K50" s="204"/>
      <c r="L50" s="204"/>
      <c r="M50" s="204"/>
      <c r="N50" s="204"/>
      <c r="O50" s="204"/>
      <c r="P50" s="204"/>
      <c r="Q50" s="204"/>
      <c r="R50" s="204"/>
      <c r="S50" s="204"/>
      <c r="T50" s="204"/>
      <c r="U50" s="204"/>
    </row>
    <row r="51" spans="1:21" x14ac:dyDescent="0.2">
      <c r="A51" s="204"/>
      <c r="B51" s="204"/>
      <c r="C51" s="204"/>
      <c r="D51" s="204"/>
      <c r="E51" s="204"/>
      <c r="F51" s="264"/>
      <c r="G51" s="204"/>
      <c r="H51" s="204"/>
      <c r="I51" s="204"/>
      <c r="J51" s="204"/>
      <c r="K51" s="204"/>
      <c r="L51" s="204"/>
      <c r="M51" s="204"/>
      <c r="N51" s="204"/>
      <c r="O51" s="204"/>
      <c r="P51" s="204"/>
      <c r="Q51" s="204"/>
      <c r="R51" s="204"/>
      <c r="S51" s="204"/>
      <c r="T51" s="204"/>
      <c r="U51" s="204"/>
    </row>
    <row r="52" spans="1:21" x14ac:dyDescent="0.2">
      <c r="A52" s="204"/>
      <c r="B52" s="204"/>
      <c r="C52" s="204"/>
      <c r="D52" s="204"/>
      <c r="E52" s="204"/>
      <c r="F52" s="264"/>
      <c r="G52" s="204"/>
      <c r="H52" s="204"/>
      <c r="I52" s="204"/>
      <c r="J52" s="204"/>
      <c r="K52" s="204"/>
      <c r="L52" s="204"/>
      <c r="M52" s="204"/>
      <c r="N52" s="204"/>
      <c r="O52" s="204"/>
      <c r="P52" s="204"/>
      <c r="Q52" s="204"/>
      <c r="R52" s="204"/>
      <c r="S52" s="204"/>
      <c r="T52" s="204"/>
      <c r="U52" s="204"/>
    </row>
    <row r="53" spans="1:21" x14ac:dyDescent="0.2">
      <c r="A53" s="204"/>
      <c r="B53" s="204"/>
      <c r="C53" s="204"/>
      <c r="D53" s="204"/>
      <c r="E53" s="204"/>
      <c r="F53" s="264"/>
      <c r="G53" s="204"/>
      <c r="H53" s="204"/>
      <c r="I53" s="204"/>
      <c r="J53" s="204"/>
      <c r="K53" s="204"/>
      <c r="L53" s="204"/>
      <c r="M53" s="204"/>
      <c r="N53" s="204"/>
      <c r="O53" s="204"/>
      <c r="P53" s="204"/>
      <c r="Q53" s="204"/>
      <c r="R53" s="204"/>
      <c r="S53" s="204"/>
      <c r="T53" s="204"/>
      <c r="U53" s="204"/>
    </row>
    <row r="54" spans="1:21" x14ac:dyDescent="0.2">
      <c r="A54" s="204"/>
      <c r="B54" s="204"/>
      <c r="C54" s="204"/>
      <c r="D54" s="204"/>
      <c r="E54" s="204"/>
      <c r="F54" s="264"/>
      <c r="G54" s="204"/>
      <c r="H54" s="204"/>
      <c r="I54" s="204"/>
      <c r="J54" s="204"/>
      <c r="K54" s="204"/>
      <c r="L54" s="204"/>
      <c r="M54" s="204"/>
      <c r="N54" s="204"/>
      <c r="O54" s="204"/>
      <c r="P54" s="204"/>
      <c r="Q54" s="204"/>
      <c r="R54" s="204"/>
      <c r="S54" s="204"/>
      <c r="T54" s="204"/>
      <c r="U54" s="204"/>
    </row>
    <row r="55" spans="1:21" x14ac:dyDescent="0.2">
      <c r="A55" s="204"/>
      <c r="B55" s="204"/>
      <c r="C55" s="204"/>
      <c r="D55" s="204"/>
      <c r="E55" s="204"/>
      <c r="F55" s="264"/>
      <c r="G55" s="204"/>
      <c r="H55" s="204"/>
      <c r="I55" s="204"/>
      <c r="J55" s="204"/>
      <c r="K55" s="204"/>
      <c r="L55" s="204"/>
      <c r="M55" s="204"/>
      <c r="N55" s="204"/>
      <c r="O55" s="204"/>
      <c r="P55" s="204"/>
      <c r="Q55" s="204"/>
      <c r="R55" s="204"/>
      <c r="S55" s="204"/>
      <c r="T55" s="204"/>
      <c r="U55" s="204"/>
    </row>
    <row r="56" spans="1:21" x14ac:dyDescent="0.2">
      <c r="A56" s="204"/>
      <c r="B56" s="204"/>
      <c r="C56" s="204"/>
      <c r="D56" s="204"/>
      <c r="E56" s="204"/>
      <c r="F56" s="264"/>
      <c r="G56" s="204"/>
      <c r="H56" s="204"/>
      <c r="I56" s="204"/>
      <c r="J56" s="204"/>
      <c r="K56" s="204"/>
      <c r="L56" s="204"/>
      <c r="M56" s="204"/>
      <c r="N56" s="204"/>
      <c r="O56" s="204"/>
      <c r="P56" s="204"/>
      <c r="Q56" s="204"/>
      <c r="R56" s="204"/>
      <c r="S56" s="204"/>
      <c r="T56" s="204"/>
      <c r="U56" s="204"/>
    </row>
    <row r="57" spans="1:21" x14ac:dyDescent="0.2">
      <c r="A57" s="204"/>
      <c r="B57" s="204"/>
      <c r="C57" s="204"/>
      <c r="D57" s="204"/>
      <c r="E57" s="204"/>
      <c r="F57" s="264"/>
      <c r="G57" s="204"/>
      <c r="H57" s="204"/>
      <c r="I57" s="204"/>
      <c r="J57" s="204"/>
      <c r="K57" s="204"/>
      <c r="L57" s="204"/>
      <c r="M57" s="204"/>
      <c r="N57" s="204"/>
      <c r="O57" s="204"/>
      <c r="P57" s="204"/>
      <c r="Q57" s="204"/>
      <c r="R57" s="204"/>
      <c r="S57" s="204"/>
      <c r="T57" s="204"/>
      <c r="U57" s="204"/>
    </row>
    <row r="58" spans="1:21" x14ac:dyDescent="0.2">
      <c r="C58" s="205"/>
      <c r="D58" s="205"/>
      <c r="E58" s="205"/>
      <c r="F58" s="266"/>
    </row>
    <row r="59" spans="1:21" x14ac:dyDescent="0.2">
      <c r="C59" s="205"/>
      <c r="D59" s="205"/>
      <c r="E59" s="205"/>
      <c r="F59" s="266"/>
    </row>
    <row r="60" spans="1:21" x14ac:dyDescent="0.2">
      <c r="C60" s="205"/>
      <c r="D60" s="205"/>
      <c r="E60" s="205"/>
      <c r="F60" s="266"/>
    </row>
    <row r="61" spans="1:21" x14ac:dyDescent="0.2">
      <c r="C61" s="205"/>
      <c r="D61" s="205"/>
      <c r="E61" s="205"/>
      <c r="F61" s="266"/>
    </row>
    <row r="62" spans="1:21" x14ac:dyDescent="0.2">
      <c r="C62" s="205"/>
      <c r="D62" s="205"/>
      <c r="E62" s="205"/>
      <c r="F62" s="266"/>
    </row>
    <row r="63" spans="1:21" x14ac:dyDescent="0.2">
      <c r="C63" s="205"/>
      <c r="D63" s="205"/>
      <c r="E63" s="205"/>
      <c r="F63" s="266"/>
    </row>
    <row r="64" spans="1:21" x14ac:dyDescent="0.2">
      <c r="C64" s="205"/>
      <c r="D64" s="205"/>
      <c r="E64" s="205"/>
      <c r="F64" s="266"/>
    </row>
    <row r="65" spans="3:6" x14ac:dyDescent="0.2">
      <c r="C65" s="205"/>
      <c r="D65" s="205"/>
      <c r="E65" s="205"/>
      <c r="F65" s="266"/>
    </row>
    <row r="66" spans="3:6" x14ac:dyDescent="0.2">
      <c r="C66" s="205"/>
      <c r="D66" s="205"/>
      <c r="E66" s="205"/>
      <c r="F66" s="266"/>
    </row>
    <row r="67" spans="3:6" x14ac:dyDescent="0.2">
      <c r="C67" s="205"/>
      <c r="D67" s="205"/>
      <c r="E67" s="205"/>
      <c r="F67" s="266"/>
    </row>
    <row r="68" spans="3:6" x14ac:dyDescent="0.2">
      <c r="C68" s="205"/>
      <c r="D68" s="205"/>
      <c r="E68" s="205"/>
      <c r="F68" s="266"/>
    </row>
    <row r="69" spans="3:6" x14ac:dyDescent="0.2">
      <c r="C69" s="205"/>
      <c r="D69" s="205"/>
      <c r="E69" s="205"/>
      <c r="F69" s="266"/>
    </row>
    <row r="70" spans="3:6" x14ac:dyDescent="0.2">
      <c r="C70" s="205"/>
      <c r="D70" s="205"/>
      <c r="E70" s="205"/>
      <c r="F70" s="266"/>
    </row>
    <row r="71" spans="3:6" x14ac:dyDescent="0.2">
      <c r="C71" s="205"/>
      <c r="D71" s="205"/>
      <c r="E71" s="205"/>
      <c r="F71" s="266"/>
    </row>
    <row r="72" spans="3:6" x14ac:dyDescent="0.2">
      <c r="C72" s="205"/>
      <c r="D72" s="205"/>
      <c r="E72" s="205"/>
      <c r="F72" s="266"/>
    </row>
    <row r="73" spans="3:6" x14ac:dyDescent="0.2">
      <c r="C73" s="205"/>
      <c r="D73" s="205"/>
      <c r="E73" s="205"/>
      <c r="F73" s="266"/>
    </row>
    <row r="74" spans="3:6" x14ac:dyDescent="0.2">
      <c r="C74" s="205"/>
      <c r="D74" s="205"/>
      <c r="E74" s="205"/>
      <c r="F74" s="266"/>
    </row>
    <row r="75" spans="3:6" x14ac:dyDescent="0.2">
      <c r="C75" s="205"/>
      <c r="D75" s="205"/>
      <c r="E75" s="205"/>
      <c r="F75" s="266"/>
    </row>
    <row r="76" spans="3:6" x14ac:dyDescent="0.2">
      <c r="C76" s="205"/>
      <c r="D76" s="205"/>
      <c r="E76" s="205"/>
      <c r="F76" s="266"/>
    </row>
    <row r="77" spans="3:6" x14ac:dyDescent="0.2">
      <c r="C77" s="205"/>
      <c r="D77" s="205"/>
      <c r="E77" s="205"/>
      <c r="F77" s="266"/>
    </row>
    <row r="78" spans="3:6" x14ac:dyDescent="0.2">
      <c r="C78" s="205"/>
      <c r="D78" s="205"/>
      <c r="E78" s="205"/>
      <c r="F78" s="266"/>
    </row>
    <row r="79" spans="3:6" x14ac:dyDescent="0.2">
      <c r="C79" s="205"/>
      <c r="D79" s="205"/>
      <c r="E79" s="205"/>
      <c r="F79" s="266"/>
    </row>
    <row r="80" spans="3:6" x14ac:dyDescent="0.2">
      <c r="C80" s="205"/>
      <c r="D80" s="205"/>
      <c r="E80" s="205"/>
      <c r="F80" s="266"/>
    </row>
    <row r="81" spans="3:6" x14ac:dyDescent="0.2">
      <c r="C81" s="205"/>
      <c r="D81" s="205"/>
      <c r="E81" s="205"/>
      <c r="F81" s="266"/>
    </row>
    <row r="82" spans="3:6" x14ac:dyDescent="0.2">
      <c r="C82" s="205"/>
      <c r="D82" s="205"/>
      <c r="E82" s="205"/>
      <c r="F82" s="266"/>
    </row>
    <row r="83" spans="3:6" x14ac:dyDescent="0.2">
      <c r="C83" s="205"/>
      <c r="D83" s="205"/>
      <c r="E83" s="205"/>
      <c r="F83" s="266"/>
    </row>
    <row r="84" spans="3:6" x14ac:dyDescent="0.2">
      <c r="C84" s="205"/>
      <c r="D84" s="205"/>
      <c r="E84" s="205"/>
      <c r="F84" s="266"/>
    </row>
    <row r="85" spans="3:6" x14ac:dyDescent="0.2">
      <c r="C85" s="205"/>
      <c r="D85" s="205"/>
      <c r="E85" s="205"/>
      <c r="F85" s="266"/>
    </row>
    <row r="86" spans="3:6" x14ac:dyDescent="0.2">
      <c r="C86" s="205"/>
      <c r="D86" s="205"/>
      <c r="E86" s="205"/>
      <c r="F86" s="266"/>
    </row>
    <row r="87" spans="3:6" x14ac:dyDescent="0.2">
      <c r="C87" s="205"/>
      <c r="D87" s="205"/>
      <c r="E87" s="205"/>
      <c r="F87" s="266"/>
    </row>
    <row r="88" spans="3:6" x14ac:dyDescent="0.2">
      <c r="C88" s="205"/>
      <c r="D88" s="205"/>
      <c r="E88" s="205"/>
      <c r="F88" s="266"/>
    </row>
    <row r="89" spans="3:6" x14ac:dyDescent="0.2">
      <c r="C89" s="205"/>
      <c r="D89" s="205"/>
      <c r="E89" s="205"/>
      <c r="F89" s="266"/>
    </row>
    <row r="90" spans="3:6" x14ac:dyDescent="0.2">
      <c r="C90" s="205"/>
      <c r="D90" s="205"/>
      <c r="E90" s="205"/>
      <c r="F90" s="266"/>
    </row>
    <row r="91" spans="3:6" x14ac:dyDescent="0.2">
      <c r="C91" s="205"/>
      <c r="D91" s="205"/>
      <c r="E91" s="205"/>
      <c r="F91" s="266"/>
    </row>
    <row r="92" spans="3:6" x14ac:dyDescent="0.2">
      <c r="C92" s="205"/>
      <c r="D92" s="205"/>
      <c r="E92" s="205"/>
      <c r="F92" s="266"/>
    </row>
    <row r="93" spans="3:6" x14ac:dyDescent="0.2">
      <c r="C93" s="205"/>
      <c r="D93" s="205"/>
      <c r="E93" s="205"/>
      <c r="F93" s="266"/>
    </row>
    <row r="94" spans="3:6" x14ac:dyDescent="0.2">
      <c r="C94" s="205"/>
      <c r="D94" s="205"/>
      <c r="E94" s="205"/>
      <c r="F94" s="266"/>
    </row>
    <row r="95" spans="3:6" x14ac:dyDescent="0.2">
      <c r="C95" s="205"/>
      <c r="D95" s="205"/>
      <c r="E95" s="205"/>
      <c r="F95" s="266"/>
    </row>
    <row r="96" spans="3:6" x14ac:dyDescent="0.2">
      <c r="C96" s="205"/>
      <c r="D96" s="205"/>
      <c r="E96" s="205"/>
      <c r="F96" s="266"/>
    </row>
    <row r="97" spans="3:6" x14ac:dyDescent="0.2">
      <c r="C97" s="205"/>
      <c r="D97" s="205"/>
      <c r="E97" s="205"/>
      <c r="F97" s="266"/>
    </row>
    <row r="98" spans="3:6" x14ac:dyDescent="0.2">
      <c r="C98" s="205"/>
      <c r="D98" s="205"/>
      <c r="E98" s="205"/>
      <c r="F98" s="266"/>
    </row>
    <row r="99" spans="3:6" x14ac:dyDescent="0.2">
      <c r="C99" s="205"/>
      <c r="D99" s="205"/>
      <c r="E99" s="205"/>
      <c r="F99" s="266"/>
    </row>
    <row r="100" spans="3:6" x14ac:dyDescent="0.2">
      <c r="C100" s="205"/>
      <c r="D100" s="205"/>
      <c r="E100" s="205"/>
      <c r="F100" s="266"/>
    </row>
    <row r="101" spans="3:6" x14ac:dyDescent="0.2">
      <c r="C101" s="205"/>
      <c r="D101" s="205"/>
      <c r="E101" s="205"/>
      <c r="F101" s="266"/>
    </row>
    <row r="102" spans="3:6" x14ac:dyDescent="0.2">
      <c r="C102" s="205"/>
      <c r="D102" s="205"/>
      <c r="E102" s="205"/>
      <c r="F102" s="266"/>
    </row>
    <row r="103" spans="3:6" x14ac:dyDescent="0.2">
      <c r="C103" s="205"/>
      <c r="D103" s="205"/>
      <c r="E103" s="205"/>
      <c r="F103" s="266"/>
    </row>
    <row r="104" spans="3:6" x14ac:dyDescent="0.2">
      <c r="C104" s="205"/>
      <c r="D104" s="205"/>
      <c r="E104" s="205"/>
      <c r="F104" s="266"/>
    </row>
    <row r="105" spans="3:6" x14ac:dyDescent="0.2">
      <c r="C105" s="205"/>
      <c r="D105" s="205"/>
      <c r="E105" s="205"/>
      <c r="F105" s="266"/>
    </row>
    <row r="106" spans="3:6" x14ac:dyDescent="0.2">
      <c r="C106" s="205"/>
      <c r="D106" s="205"/>
      <c r="E106" s="205"/>
      <c r="F106" s="266"/>
    </row>
    <row r="107" spans="3:6" x14ac:dyDescent="0.2">
      <c r="C107" s="205"/>
      <c r="D107" s="205"/>
      <c r="E107" s="205"/>
      <c r="F107" s="266"/>
    </row>
    <row r="108" spans="3:6" x14ac:dyDescent="0.2">
      <c r="C108" s="205"/>
      <c r="D108" s="205"/>
      <c r="E108" s="205"/>
      <c r="F108" s="266"/>
    </row>
    <row r="109" spans="3:6" x14ac:dyDescent="0.2">
      <c r="C109" s="205"/>
      <c r="D109" s="205"/>
      <c r="E109" s="205"/>
      <c r="F109" s="266"/>
    </row>
    <row r="110" spans="3:6" x14ac:dyDescent="0.2">
      <c r="C110" s="205"/>
      <c r="D110" s="205"/>
      <c r="E110" s="205"/>
      <c r="F110" s="266"/>
    </row>
    <row r="111" spans="3:6" x14ac:dyDescent="0.2">
      <c r="C111" s="205"/>
      <c r="D111" s="205"/>
      <c r="E111" s="205"/>
      <c r="F111" s="266"/>
    </row>
    <row r="112" spans="3:6" x14ac:dyDescent="0.2">
      <c r="C112" s="205"/>
      <c r="D112" s="205"/>
      <c r="E112" s="205"/>
      <c r="F112" s="266"/>
    </row>
    <row r="113" spans="3:6" x14ac:dyDescent="0.2">
      <c r="C113" s="205"/>
      <c r="D113" s="205"/>
      <c r="E113" s="205"/>
      <c r="F113" s="266"/>
    </row>
    <row r="114" spans="3:6" x14ac:dyDescent="0.2">
      <c r="C114" s="205"/>
      <c r="D114" s="205"/>
      <c r="E114" s="205"/>
      <c r="F114" s="266"/>
    </row>
    <row r="115" spans="3:6" x14ac:dyDescent="0.2">
      <c r="C115" s="205"/>
      <c r="D115" s="205"/>
      <c r="E115" s="205"/>
      <c r="F115" s="266"/>
    </row>
    <row r="116" spans="3:6" x14ac:dyDescent="0.2">
      <c r="C116" s="205"/>
      <c r="D116" s="205"/>
      <c r="E116" s="205"/>
      <c r="F116" s="266"/>
    </row>
    <row r="117" spans="3:6" x14ac:dyDescent="0.2">
      <c r="C117" s="205"/>
      <c r="D117" s="205"/>
      <c r="E117" s="205"/>
      <c r="F117" s="266"/>
    </row>
    <row r="118" spans="3:6" x14ac:dyDescent="0.2">
      <c r="C118" s="205"/>
      <c r="D118" s="205"/>
      <c r="E118" s="205"/>
      <c r="F118" s="266"/>
    </row>
    <row r="119" spans="3:6" x14ac:dyDescent="0.2">
      <c r="C119" s="205"/>
      <c r="D119" s="205"/>
      <c r="E119" s="205"/>
      <c r="F119" s="266"/>
    </row>
    <row r="120" spans="3:6" x14ac:dyDescent="0.2">
      <c r="C120" s="205"/>
      <c r="D120" s="205"/>
      <c r="E120" s="205"/>
      <c r="F120" s="266"/>
    </row>
    <row r="121" spans="3:6" x14ac:dyDescent="0.2">
      <c r="C121" s="205"/>
      <c r="D121" s="205"/>
      <c r="E121" s="205"/>
      <c r="F121" s="266"/>
    </row>
    <row r="122" spans="3:6" x14ac:dyDescent="0.2">
      <c r="C122" s="205"/>
      <c r="D122" s="205"/>
      <c r="E122" s="205"/>
      <c r="F122" s="266"/>
    </row>
    <row r="123" spans="3:6" x14ac:dyDescent="0.2">
      <c r="C123" s="205"/>
      <c r="D123" s="205"/>
      <c r="E123" s="205"/>
      <c r="F123" s="266"/>
    </row>
    <row r="124" spans="3:6" x14ac:dyDescent="0.2">
      <c r="C124" s="205"/>
      <c r="D124" s="205"/>
      <c r="E124" s="205"/>
      <c r="F124" s="266"/>
    </row>
    <row r="125" spans="3:6" x14ac:dyDescent="0.2">
      <c r="C125" s="205"/>
      <c r="D125" s="205"/>
      <c r="E125" s="205"/>
      <c r="F125" s="266"/>
    </row>
    <row r="126" spans="3:6" x14ac:dyDescent="0.2">
      <c r="C126" s="205"/>
      <c r="D126" s="205"/>
      <c r="E126" s="205"/>
      <c r="F126" s="266"/>
    </row>
    <row r="127" spans="3:6" x14ac:dyDescent="0.2">
      <c r="C127" s="205"/>
      <c r="D127" s="205"/>
      <c r="E127" s="205"/>
      <c r="F127" s="266"/>
    </row>
    <row r="128" spans="3:6" x14ac:dyDescent="0.2">
      <c r="C128" s="205"/>
      <c r="D128" s="205"/>
      <c r="E128" s="205"/>
      <c r="F128" s="266"/>
    </row>
    <row r="129" spans="3:6" x14ac:dyDescent="0.2">
      <c r="C129" s="205"/>
      <c r="D129" s="205"/>
      <c r="E129" s="205"/>
      <c r="F129" s="266"/>
    </row>
    <row r="130" spans="3:6" x14ac:dyDescent="0.2">
      <c r="C130" s="205"/>
      <c r="D130" s="205"/>
      <c r="E130" s="205"/>
      <c r="F130" s="266"/>
    </row>
    <row r="131" spans="3:6" x14ac:dyDescent="0.2">
      <c r="C131" s="205"/>
      <c r="D131" s="205"/>
      <c r="E131" s="205"/>
      <c r="F131" s="266"/>
    </row>
    <row r="132" spans="3:6" x14ac:dyDescent="0.2">
      <c r="C132" s="205"/>
      <c r="D132" s="205"/>
      <c r="E132" s="205"/>
      <c r="F132" s="266"/>
    </row>
    <row r="133" spans="3:6" x14ac:dyDescent="0.2">
      <c r="C133" s="205"/>
      <c r="D133" s="205"/>
      <c r="E133" s="205"/>
      <c r="F133" s="266"/>
    </row>
    <row r="134" spans="3:6" x14ac:dyDescent="0.2">
      <c r="C134" s="205"/>
      <c r="D134" s="205"/>
      <c r="E134" s="205"/>
      <c r="F134" s="266"/>
    </row>
    <row r="135" spans="3:6" x14ac:dyDescent="0.2">
      <c r="C135" s="205"/>
      <c r="D135" s="205"/>
      <c r="E135" s="205"/>
      <c r="F135" s="266"/>
    </row>
    <row r="136" spans="3:6" x14ac:dyDescent="0.2">
      <c r="C136" s="205"/>
      <c r="D136" s="205"/>
      <c r="E136" s="205"/>
      <c r="F136" s="266"/>
    </row>
    <row r="137" spans="3:6" x14ac:dyDescent="0.2">
      <c r="C137" s="205"/>
      <c r="D137" s="205"/>
      <c r="E137" s="205"/>
      <c r="F137" s="266"/>
    </row>
    <row r="138" spans="3:6" x14ac:dyDescent="0.2">
      <c r="C138" s="205"/>
      <c r="D138" s="205"/>
      <c r="E138" s="205"/>
      <c r="F138" s="266"/>
    </row>
    <row r="139" spans="3:6" x14ac:dyDescent="0.2">
      <c r="C139" s="205"/>
      <c r="D139" s="205"/>
      <c r="E139" s="205"/>
      <c r="F139" s="266"/>
    </row>
    <row r="140" spans="3:6" x14ac:dyDescent="0.2">
      <c r="C140" s="205"/>
      <c r="D140" s="205"/>
      <c r="E140" s="205"/>
      <c r="F140" s="266"/>
    </row>
    <row r="141" spans="3:6" x14ac:dyDescent="0.2">
      <c r="C141" s="205"/>
      <c r="D141" s="205"/>
      <c r="E141" s="205"/>
      <c r="F141" s="266"/>
    </row>
    <row r="142" spans="3:6" x14ac:dyDescent="0.2">
      <c r="C142" s="205"/>
      <c r="D142" s="205"/>
      <c r="E142" s="205"/>
      <c r="F142" s="266"/>
    </row>
  </sheetData>
  <sheetProtection algorithmName="SHA-512" hashValue="j+CURJvUKD8eOXqXfzoYVAEaLICKGsEikuwNHQJKfLubBNFsrIonwnEbgifKGAGWo+7jLD+BsFnJDBwiE0tG7A==" saltValue="yK0XpqhQ7GO4NuLirSrmPg==" spinCount="100000" sheet="1"/>
  <mergeCells count="9">
    <mergeCell ref="P3:U4"/>
    <mergeCell ref="E30:I38"/>
    <mergeCell ref="J30:L30"/>
    <mergeCell ref="J31:L32"/>
    <mergeCell ref="C4:D4"/>
    <mergeCell ref="E4:H4"/>
    <mergeCell ref="K4:L4"/>
    <mergeCell ref="G6:I6"/>
    <mergeCell ref="G27:I28"/>
  </mergeCells>
  <conditionalFormatting sqref="E4 K4 J31 G6">
    <cfRule type="containsBlanks" dxfId="396" priority="1">
      <formula>LEN(TRIM(E4))=0</formula>
    </cfRule>
  </conditionalFormatting>
  <hyperlinks>
    <hyperlink ref="P3" location="PF!A1" display="PF phase Summary Page" xr:uid="{74E66647-B4DD-4713-96CA-2FCF410F77B1}"/>
  </hyperlinks>
  <printOptions horizontalCentered="1" verticalCentered="1"/>
  <pageMargins left="0.5" right="0.5" top="0.5" bottom="0.5" header="0.25" footer="0.25"/>
  <pageSetup orientation="portrait" horizontalDpi="300" verticalDpi="300" r:id="rId1"/>
  <headerFooter alignWithMargins="0">
    <oddFooter xml:space="preserve">&amp;L&amp;D&amp;R&amp;F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4033" r:id="rId4" name="IP_Signature">
              <controlPr defaultSize="0" print="0" autoFill="0" autoPict="0" macro="[0]!IP_signature">
                <anchor moveWithCells="1" sizeWithCells="1">
                  <from>
                    <xdr:col>9</xdr:col>
                    <xdr:colOff>0</xdr:colOff>
                    <xdr:row>30</xdr:row>
                    <xdr:rowOff>0</xdr:rowOff>
                  </from>
                  <to>
                    <xdr:col>12</xdr:col>
                    <xdr:colOff>0</xdr:colOff>
                    <xdr:row>32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DDD331-0260-423D-A3F2-26A2EEDD28CF}">
  <sheetPr codeName="Sheet37">
    <tabColor rgb="FF00B0F0"/>
    <pageSetUpPr autoPageBreaks="0"/>
  </sheetPr>
  <dimension ref="B1:BU66"/>
  <sheetViews>
    <sheetView showGridLines="0" showRowColHeaders="0" topLeftCell="A2" zoomScaleNormal="100" zoomScaleSheetLayoutView="100" workbookViewId="0"/>
  </sheetViews>
  <sheetFormatPr defaultColWidth="9.140625" defaultRowHeight="12.75" x14ac:dyDescent="0.2"/>
  <cols>
    <col min="1" max="1" width="1.5703125" style="87" customWidth="1"/>
    <col min="2" max="2" width="3.5703125" style="87" customWidth="1"/>
    <col min="3" max="3" width="5.5703125" style="87" customWidth="1"/>
    <col min="4" max="4" width="9.140625" style="87" customWidth="1"/>
    <col min="5" max="5" width="14" style="87" customWidth="1"/>
    <col min="6" max="6" width="7.85546875" style="87" customWidth="1"/>
    <col min="7" max="11" width="5.140625" style="87" customWidth="1"/>
    <col min="12" max="12" width="21.5703125" style="87" customWidth="1"/>
    <col min="13" max="13" width="6.5703125" style="87" customWidth="1"/>
    <col min="14" max="14" width="12.5703125" style="87" customWidth="1"/>
    <col min="15" max="15" width="7.85546875" style="87" customWidth="1"/>
    <col min="16" max="16" width="2.7109375" style="87" customWidth="1"/>
    <col min="17" max="17" width="4.85546875" style="87" customWidth="1"/>
    <col min="18" max="18" width="7.28515625" style="87" customWidth="1"/>
    <col min="19" max="19" width="1.7109375" style="87" customWidth="1"/>
    <col min="20" max="20" width="19.140625" style="88" hidden="1" customWidth="1"/>
    <col min="21" max="21" width="31.140625" style="88" hidden="1" customWidth="1"/>
    <col min="22" max="22" width="5.140625" style="88" hidden="1" customWidth="1"/>
    <col min="23" max="24" width="6.28515625" style="88" hidden="1" customWidth="1"/>
    <col min="25" max="25" width="8.42578125" style="88" hidden="1" customWidth="1"/>
    <col min="26" max="26" width="7.85546875" style="88" hidden="1" customWidth="1"/>
    <col min="27" max="27" width="10.7109375" style="88" hidden="1" customWidth="1"/>
    <col min="28" max="28" width="8" style="88" hidden="1" customWidth="1"/>
    <col min="29" max="31" width="5.140625" style="88" hidden="1" customWidth="1"/>
    <col min="32" max="34" width="5.85546875" style="88" hidden="1" customWidth="1"/>
    <col min="35" max="35" width="8.5703125" style="89" hidden="1" customWidth="1"/>
    <col min="36" max="36" width="7" style="88" hidden="1" customWidth="1"/>
    <col min="37" max="38" width="5.28515625" style="88" hidden="1" customWidth="1"/>
    <col min="39" max="40" width="7" style="88" hidden="1" customWidth="1"/>
    <col min="41" max="41" width="5.140625" style="88" hidden="1" customWidth="1"/>
    <col min="42" max="42" width="11.28515625" style="88" hidden="1" customWidth="1"/>
    <col min="43" max="43" width="6.42578125" style="88" hidden="1" customWidth="1"/>
    <col min="44" max="44" width="8.28515625" style="88" hidden="1" customWidth="1"/>
    <col min="45" max="45" width="8.85546875" style="88" hidden="1" customWidth="1"/>
    <col min="46" max="46" width="10.7109375" style="88" hidden="1" customWidth="1"/>
    <col min="47" max="47" width="8.85546875" style="88" hidden="1" customWidth="1"/>
    <col min="48" max="48" width="6.28515625" style="88" hidden="1" customWidth="1"/>
    <col min="49" max="49" width="10" style="88" hidden="1" customWidth="1"/>
    <col min="50" max="50" width="7.5703125" style="88" hidden="1" customWidth="1"/>
    <col min="51" max="51" width="7" style="88" hidden="1" customWidth="1"/>
    <col min="52" max="52" width="8.140625" style="88" hidden="1" customWidth="1"/>
    <col min="53" max="53" width="12.5703125" style="88" hidden="1" customWidth="1"/>
    <col min="54" max="54" width="7.7109375" style="88" hidden="1" customWidth="1"/>
    <col min="55" max="55" width="12.7109375" style="88" hidden="1" customWidth="1"/>
    <col min="56" max="56" width="7" style="88" hidden="1" customWidth="1"/>
    <col min="57" max="57" width="15.5703125" style="88" hidden="1" customWidth="1"/>
    <col min="58" max="58" width="9.140625" style="88" hidden="1" customWidth="1"/>
    <col min="59" max="59" width="10" style="88" hidden="1" customWidth="1"/>
    <col min="60" max="60" width="5.28515625" style="88" hidden="1" customWidth="1"/>
    <col min="61" max="61" width="4" style="88" hidden="1" customWidth="1"/>
    <col min="62" max="62" width="4.7109375" style="88" hidden="1" customWidth="1"/>
    <col min="63" max="63" width="5.5703125" style="88" hidden="1" customWidth="1"/>
    <col min="64" max="64" width="5.28515625" style="88" hidden="1" customWidth="1"/>
    <col min="65" max="65" width="4" style="88" hidden="1" customWidth="1"/>
    <col min="66" max="66" width="5.5703125" style="88" hidden="1" customWidth="1"/>
    <col min="67" max="67" width="5.140625" style="90" customWidth="1"/>
    <col min="68" max="73" width="5.140625" style="87" customWidth="1"/>
    <col min="74" max="16384" width="9.140625" style="87"/>
  </cols>
  <sheetData>
    <row r="1" spans="2:73" s="84" customFormat="1" ht="12" hidden="1" x14ac:dyDescent="0.2">
      <c r="T1" s="85"/>
      <c r="U1" s="85"/>
      <c r="V1" s="85"/>
      <c r="W1" s="85"/>
      <c r="X1" s="85"/>
      <c r="Y1" s="85"/>
      <c r="Z1" s="85"/>
      <c r="AA1" s="85"/>
      <c r="AB1" s="85"/>
      <c r="AC1" s="85"/>
      <c r="AD1" s="85"/>
      <c r="AE1" s="85"/>
      <c r="AF1" s="85"/>
      <c r="AG1" s="85"/>
      <c r="AH1" s="85"/>
      <c r="AI1" s="86"/>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row>
    <row r="2" spans="2:73" ht="13.5" thickBot="1" x14ac:dyDescent="0.25"/>
    <row r="3" spans="2:73" ht="13.5" customHeight="1" thickTop="1" x14ac:dyDescent="0.2">
      <c r="B3" s="967" t="s">
        <v>267</v>
      </c>
      <c r="C3" s="968"/>
      <c r="D3" s="968"/>
      <c r="E3" s="968"/>
      <c r="F3" s="968"/>
      <c r="G3" s="969"/>
      <c r="H3" s="970" t="s">
        <v>724</v>
      </c>
      <c r="I3" s="971"/>
      <c r="J3" s="971"/>
      <c r="K3" s="971"/>
      <c r="L3" s="971"/>
      <c r="M3" s="971"/>
      <c r="N3" s="972"/>
      <c r="O3" s="973" t="s">
        <v>269</v>
      </c>
      <c r="P3" s="974"/>
      <c r="Q3" s="973" t="s">
        <v>270</v>
      </c>
      <c r="R3" s="975"/>
      <c r="S3" s="91"/>
      <c r="T3" s="92"/>
      <c r="U3" s="92"/>
      <c r="V3" s="92"/>
      <c r="W3" s="92"/>
      <c r="X3" s="92"/>
      <c r="Y3" s="92"/>
      <c r="Z3" s="92"/>
      <c r="AA3" s="92"/>
      <c r="AB3" s="92"/>
      <c r="AC3" s="92"/>
      <c r="AD3" s="92"/>
      <c r="AE3" s="92"/>
      <c r="AF3" s="92"/>
      <c r="AG3" s="92"/>
      <c r="AH3" s="92"/>
      <c r="AI3" s="93"/>
      <c r="AJ3" s="92"/>
      <c r="AK3" s="92"/>
      <c r="AL3" s="92"/>
      <c r="AM3" s="92"/>
      <c r="AN3" s="92"/>
      <c r="AO3" s="92"/>
      <c r="AP3" s="92"/>
      <c r="AQ3" s="85"/>
      <c r="AR3" s="85"/>
      <c r="AW3" s="88" t="s">
        <v>271</v>
      </c>
      <c r="AX3" s="88" t="s">
        <v>272</v>
      </c>
      <c r="AY3" s="88" t="s">
        <v>273</v>
      </c>
      <c r="AZ3" s="88" t="s">
        <v>274</v>
      </c>
      <c r="BA3" s="88" t="s">
        <v>275</v>
      </c>
      <c r="BB3" s="88" t="s">
        <v>276</v>
      </c>
      <c r="BP3" s="976" t="s">
        <v>842</v>
      </c>
      <c r="BQ3" s="976"/>
      <c r="BR3" s="976"/>
      <c r="BS3" s="976"/>
      <c r="BT3" s="976"/>
      <c r="BU3" s="976"/>
    </row>
    <row r="4" spans="2:73" s="94" customFormat="1" ht="15.75" customHeight="1" x14ac:dyDescent="0.3">
      <c r="B4" s="994" t="s">
        <v>277</v>
      </c>
      <c r="C4" s="995"/>
      <c r="D4" s="995"/>
      <c r="E4" s="995"/>
      <c r="F4" s="995"/>
      <c r="G4" s="996"/>
      <c r="H4" s="937" t="s">
        <v>722</v>
      </c>
      <c r="I4" s="938"/>
      <c r="J4" s="938"/>
      <c r="K4" s="938"/>
      <c r="L4" s="938"/>
      <c r="M4" s="938"/>
      <c r="N4" s="939"/>
      <c r="O4" s="940" t="s">
        <v>1029</v>
      </c>
      <c r="P4" s="941"/>
      <c r="Q4" s="942">
        <v>46093</v>
      </c>
      <c r="R4" s="943"/>
      <c r="S4" s="95"/>
      <c r="T4" s="96"/>
      <c r="U4" s="96"/>
      <c r="V4" s="96"/>
      <c r="W4" s="96"/>
      <c r="X4" s="96"/>
      <c r="Y4" s="96"/>
      <c r="Z4" s="96"/>
      <c r="AA4" s="96"/>
      <c r="AB4" s="96"/>
      <c r="AC4" s="96"/>
      <c r="AD4" s="96"/>
      <c r="AE4" s="96"/>
      <c r="AF4" s="96"/>
      <c r="AG4" s="96"/>
      <c r="AH4" s="96"/>
      <c r="AI4" s="97"/>
      <c r="AJ4" s="96"/>
      <c r="AK4" s="96"/>
      <c r="AL4" s="96"/>
      <c r="AM4" s="96"/>
      <c r="AN4" s="96"/>
      <c r="AO4" s="96"/>
      <c r="AP4" s="96"/>
      <c r="AQ4" s="98"/>
      <c r="AR4" s="98"/>
      <c r="AS4" s="99"/>
      <c r="AT4" s="100" t="s">
        <v>278</v>
      </c>
      <c r="AU4" s="101" t="b">
        <v>1</v>
      </c>
      <c r="AV4" s="99">
        <v>5</v>
      </c>
      <c r="AW4" s="99" t="b">
        <f>IF(ISERR(OR(AW8:AW39)),"UNK",IF(AND(graded_aca_events&gt;=1,input_test),FALSE,OR(AW8:AW39)))</f>
        <v>0</v>
      </c>
      <c r="AX4" s="99" t="b">
        <f>IF(ISERR(OR(AX8:AX39)),"UNK",IF(AND(graded_aca_events&gt;=1,input_test),FALSE,OR(AX8:AX39)))</f>
        <v>0</v>
      </c>
      <c r="AY4" s="99" t="b">
        <f>IF(ISERR(OR(AY8:AY39)),"UNK",OR(AY8:AY39))</f>
        <v>0</v>
      </c>
      <c r="AZ4" s="99" t="b">
        <f>IF(ISERR(OR(AZ8:AZ39)),"UNK",OR(AZ8:AZ39))</f>
        <v>0</v>
      </c>
      <c r="BA4" s="99" t="b">
        <f>IF(ISERR(OR(BA8:BA39)),"UNK",OR(BA8:BA39))</f>
        <v>0</v>
      </c>
      <c r="BB4" s="99" t="b">
        <f>IF(ISERR(OR(BB8:BB39)),"UNK",OR(BB8:BB39))</f>
        <v>0</v>
      </c>
      <c r="BC4" s="102" t="b">
        <f>OR(BC8:BC39)</f>
        <v>0</v>
      </c>
      <c r="BD4" s="102" t="b">
        <f>OR(BD8:BD39)</f>
        <v>0</v>
      </c>
      <c r="BE4" s="102" t="b">
        <f>OR(BE8:BE39)</f>
        <v>0</v>
      </c>
      <c r="BF4" s="102"/>
      <c r="BG4" s="99"/>
      <c r="BH4" s="944" t="s">
        <v>279</v>
      </c>
      <c r="BI4" s="944"/>
      <c r="BJ4" s="944"/>
      <c r="BK4" s="944"/>
      <c r="BL4" s="977" t="s">
        <v>280</v>
      </c>
      <c r="BM4" s="977"/>
      <c r="BN4" s="977"/>
      <c r="BO4" s="445"/>
      <c r="BP4" s="976"/>
      <c r="BQ4" s="976"/>
      <c r="BR4" s="976"/>
      <c r="BS4" s="976"/>
      <c r="BT4" s="976"/>
      <c r="BU4" s="976"/>
    </row>
    <row r="5" spans="2:73" s="91" customFormat="1" ht="7.5" customHeight="1" x14ac:dyDescent="0.25">
      <c r="B5" s="978" t="s">
        <v>281</v>
      </c>
      <c r="C5" s="979"/>
      <c r="D5" s="979"/>
      <c r="E5" s="980"/>
      <c r="F5" s="981" t="s">
        <v>282</v>
      </c>
      <c r="G5" s="980"/>
      <c r="H5" s="981" t="s">
        <v>283</v>
      </c>
      <c r="I5" s="979"/>
      <c r="J5" s="979"/>
      <c r="K5" s="979"/>
      <c r="L5" s="980"/>
      <c r="M5" s="982" t="s">
        <v>284</v>
      </c>
      <c r="N5" s="983"/>
      <c r="O5" s="984" t="s">
        <v>285</v>
      </c>
      <c r="P5" s="985"/>
      <c r="Q5" s="981" t="str">
        <f>IF(AU41=0,"GRADE","GRADE (inc. bonus)")</f>
        <v>GRADE</v>
      </c>
      <c r="R5" s="986"/>
      <c r="T5" s="92"/>
      <c r="U5" s="92"/>
      <c r="V5" s="92"/>
      <c r="W5" s="92"/>
      <c r="X5" s="92"/>
      <c r="Y5" s="92"/>
      <c r="Z5" s="92"/>
      <c r="AA5" s="92"/>
      <c r="AB5" s="92"/>
      <c r="AC5" s="92"/>
      <c r="AD5" s="92"/>
      <c r="AE5" s="92"/>
      <c r="AF5" s="92"/>
      <c r="AG5" s="92"/>
      <c r="AH5" s="92"/>
      <c r="AI5" s="93"/>
      <c r="AJ5" s="92"/>
      <c r="AK5" s="92"/>
      <c r="AL5" s="92"/>
      <c r="AM5" s="92"/>
      <c r="AN5" s="92"/>
      <c r="AO5" s="92"/>
      <c r="AP5" s="92"/>
      <c r="AQ5" s="92"/>
      <c r="AR5" s="92"/>
      <c r="AS5" s="92"/>
      <c r="AT5" s="92"/>
      <c r="AU5" s="92"/>
      <c r="AV5" s="92"/>
      <c r="AW5" s="92"/>
      <c r="AX5" s="92"/>
      <c r="AY5" s="92"/>
      <c r="AZ5" s="92"/>
      <c r="BA5" s="92"/>
      <c r="BB5" s="92"/>
      <c r="BC5" s="92"/>
      <c r="BD5" s="92"/>
      <c r="BE5" s="92"/>
      <c r="BF5" s="92"/>
      <c r="BG5" s="92"/>
      <c r="BH5" s="944"/>
      <c r="BI5" s="944"/>
      <c r="BJ5" s="944"/>
      <c r="BK5" s="944"/>
      <c r="BL5" s="977"/>
      <c r="BM5" s="977"/>
      <c r="BN5" s="977"/>
      <c r="BO5" s="103"/>
    </row>
    <row r="6" spans="2:73" s="94" customFormat="1" ht="15.75" customHeight="1" thickBot="1" x14ac:dyDescent="0.25">
      <c r="B6" s="987" t="s">
        <v>1026</v>
      </c>
      <c r="C6" s="988"/>
      <c r="D6" s="988"/>
      <c r="E6" s="989"/>
      <c r="F6" s="990" t="s">
        <v>286</v>
      </c>
      <c r="G6" s="991"/>
      <c r="H6" s="992" t="s">
        <v>1027</v>
      </c>
      <c r="I6" s="993"/>
      <c r="J6" s="993"/>
      <c r="K6" s="993"/>
      <c r="L6" s="991"/>
      <c r="M6" s="945" t="s">
        <v>1028</v>
      </c>
      <c r="N6" s="946"/>
      <c r="O6" s="947">
        <v>1.4</v>
      </c>
      <c r="P6" s="948"/>
      <c r="Q6" s="949">
        <f>IF((graded_aca_events+graded_amn_events)&lt;1,"0",IF(ISERROR(AR46),"",IF(F41&lt;&gt;"COMPLETE","INCOMPLETE",AR46)))</f>
        <v>0.95090909090909104</v>
      </c>
      <c r="R6" s="950"/>
      <c r="S6" s="87"/>
      <c r="T6" s="99"/>
      <c r="U6" s="99">
        <v>2</v>
      </c>
      <c r="V6" s="99">
        <v>3</v>
      </c>
      <c r="W6" s="99">
        <v>6</v>
      </c>
      <c r="X6" s="99">
        <v>7</v>
      </c>
      <c r="Y6" s="99">
        <v>11</v>
      </c>
      <c r="Z6" s="99">
        <v>8</v>
      </c>
      <c r="AA6" s="99">
        <v>9</v>
      </c>
      <c r="AB6" s="99">
        <v>10</v>
      </c>
      <c r="AC6" s="99">
        <v>5</v>
      </c>
      <c r="AD6" s="99">
        <v>4</v>
      </c>
      <c r="AE6" s="99">
        <v>12</v>
      </c>
      <c r="AF6" s="99">
        <v>13</v>
      </c>
      <c r="AG6" s="99"/>
      <c r="AH6" s="99"/>
      <c r="AI6" s="104"/>
      <c r="AJ6" s="105"/>
      <c r="AK6" s="105"/>
      <c r="AL6" s="105"/>
      <c r="AM6" s="105" t="b">
        <f>IF(COUNT(AM8:AM39)&gt;0,TRUE,FALSE)</f>
        <v>1</v>
      </c>
      <c r="AN6" s="105" t="b">
        <f>IF(COUNT(AN8:AN39)&gt;0,TRUE,FALSE)</f>
        <v>1</v>
      </c>
      <c r="AO6" s="99"/>
      <c r="AP6" s="99"/>
      <c r="AQ6" s="98"/>
      <c r="AR6" s="98"/>
      <c r="AS6" s="99"/>
      <c r="AT6" s="106">
        <v>0.2</v>
      </c>
      <c r="AU6" s="99"/>
      <c r="AV6" s="107">
        <f>0.01*input_maxb</f>
        <v>0.05</v>
      </c>
      <c r="AW6" s="108" t="s">
        <v>287</v>
      </c>
      <c r="AX6" s="109"/>
      <c r="AY6" s="108" t="s">
        <v>288</v>
      </c>
      <c r="AZ6" s="109"/>
      <c r="BA6" s="110" t="s">
        <v>289</v>
      </c>
      <c r="BB6" s="110"/>
      <c r="BC6" s="108" t="s">
        <v>290</v>
      </c>
      <c r="BD6" s="110"/>
      <c r="BE6" s="111"/>
      <c r="BF6" s="112"/>
      <c r="BG6" s="99" t="s">
        <v>291</v>
      </c>
      <c r="BH6" s="944"/>
      <c r="BI6" s="944"/>
      <c r="BJ6" s="944"/>
      <c r="BK6" s="944"/>
      <c r="BL6" s="977"/>
      <c r="BM6" s="977"/>
      <c r="BN6" s="977"/>
      <c r="BO6" s="90"/>
    </row>
    <row r="7" spans="2:73" ht="27" customHeight="1" thickBot="1" x14ac:dyDescent="0.25">
      <c r="B7" s="951" t="s">
        <v>292</v>
      </c>
      <c r="C7" s="952"/>
      <c r="D7" s="952"/>
      <c r="E7" s="952"/>
      <c r="F7" s="953"/>
      <c r="G7" s="113" t="s">
        <v>293</v>
      </c>
      <c r="H7" s="114" t="s">
        <v>294</v>
      </c>
      <c r="I7" s="115" t="s">
        <v>295</v>
      </c>
      <c r="J7" s="116" t="s">
        <v>296</v>
      </c>
      <c r="K7" s="117" t="s">
        <v>297</v>
      </c>
      <c r="L7" s="954" t="s">
        <v>298</v>
      </c>
      <c r="M7" s="952"/>
      <c r="N7" s="952"/>
      <c r="O7" s="952"/>
      <c r="P7" s="952"/>
      <c r="Q7" s="952"/>
      <c r="R7" s="955"/>
      <c r="T7" s="118" t="s">
        <v>299</v>
      </c>
      <c r="U7" s="118"/>
      <c r="V7" s="118" t="s">
        <v>300</v>
      </c>
      <c r="W7" s="118" t="s">
        <v>301</v>
      </c>
      <c r="X7" s="118" t="s">
        <v>302</v>
      </c>
      <c r="Y7" s="118" t="s">
        <v>303</v>
      </c>
      <c r="Z7" s="118" t="s">
        <v>304</v>
      </c>
      <c r="AA7" s="118" t="s">
        <v>305</v>
      </c>
      <c r="AB7" s="118" t="s">
        <v>306</v>
      </c>
      <c r="AC7" s="118" t="s">
        <v>307</v>
      </c>
      <c r="AD7" s="118" t="s">
        <v>308</v>
      </c>
      <c r="AE7" s="118" t="s">
        <v>309</v>
      </c>
      <c r="AF7" s="118" t="s">
        <v>310</v>
      </c>
      <c r="AG7" s="118" t="s">
        <v>311</v>
      </c>
      <c r="AH7" s="118" t="s">
        <v>312</v>
      </c>
      <c r="AI7" s="119" t="s">
        <v>313</v>
      </c>
      <c r="AJ7" s="120" t="s">
        <v>314</v>
      </c>
      <c r="AK7" s="121" t="s">
        <v>315</v>
      </c>
      <c r="AL7" s="121" t="s">
        <v>316</v>
      </c>
      <c r="AM7" s="121" t="s">
        <v>317</v>
      </c>
      <c r="AN7" s="121" t="s">
        <v>318</v>
      </c>
      <c r="AO7" s="120" t="s">
        <v>319</v>
      </c>
      <c r="AP7" s="120" t="s">
        <v>320</v>
      </c>
      <c r="AQ7" s="122" t="s">
        <v>321</v>
      </c>
      <c r="AR7" s="123" t="s">
        <v>1</v>
      </c>
      <c r="AS7" s="122" t="s">
        <v>322</v>
      </c>
      <c r="AT7" s="123" t="s">
        <v>1</v>
      </c>
      <c r="AU7" s="122" t="s">
        <v>323</v>
      </c>
      <c r="AV7" s="124" t="s">
        <v>324</v>
      </c>
      <c r="AW7" s="125" t="s">
        <v>325</v>
      </c>
      <c r="AX7" s="126" t="s">
        <v>326</v>
      </c>
      <c r="AY7" s="125" t="s">
        <v>327</v>
      </c>
      <c r="AZ7" s="126" t="s">
        <v>328</v>
      </c>
      <c r="BA7" s="127" t="s">
        <v>329</v>
      </c>
      <c r="BB7" s="127" t="s">
        <v>330</v>
      </c>
      <c r="BC7" s="128" t="s">
        <v>331</v>
      </c>
      <c r="BD7" s="129" t="s">
        <v>332</v>
      </c>
      <c r="BE7" s="130" t="s">
        <v>333</v>
      </c>
      <c r="BF7" s="131" t="s">
        <v>334</v>
      </c>
      <c r="BH7" s="88" t="s">
        <v>335</v>
      </c>
      <c r="BI7" s="88" t="s">
        <v>336</v>
      </c>
      <c r="BJ7" s="118" t="s">
        <v>337</v>
      </c>
      <c r="BK7" s="88" t="s">
        <v>338</v>
      </c>
      <c r="BL7" s="88" t="s">
        <v>335</v>
      </c>
      <c r="BM7" s="88" t="s">
        <v>336</v>
      </c>
      <c r="BN7" s="88" t="s">
        <v>338</v>
      </c>
    </row>
    <row r="8" spans="2:73" ht="12.95" customHeight="1" x14ac:dyDescent="0.2">
      <c r="B8" s="132" t="str">
        <f>IF(ISNA(Z8),"",IF(OR(Z8=1,Z8=2),"",1))</f>
        <v/>
      </c>
      <c r="C8" s="956" t="str">
        <f t="shared" ref="C8:C36" si="0">IF(ISNA(Z8),"",CONCATENATE($U8,IF(ISNUMBER(AI8),TEXT(ROUND($AI8,3)," (0.0%)"),""),IF(AU8&gt;0," Bonus","")))</f>
        <v>Airmanship Tasks (20.0%)</v>
      </c>
      <c r="D8" s="956"/>
      <c r="E8" s="956"/>
      <c r="F8" s="957"/>
      <c r="G8" s="133" t="str">
        <f t="shared" ref="G8:G39" si="1">BH8</f>
        <v/>
      </c>
      <c r="H8" s="134" t="str">
        <f t="shared" ref="H8:I39" si="2">BJ8</f>
        <v/>
      </c>
      <c r="I8" s="135" t="str">
        <f t="shared" si="2"/>
        <v/>
      </c>
      <c r="J8" s="136"/>
      <c r="K8" s="137"/>
      <c r="L8" s="958" t="s">
        <v>1030</v>
      </c>
      <c r="M8" s="959"/>
      <c r="N8" s="959"/>
      <c r="O8" s="959"/>
      <c r="P8" s="959"/>
      <c r="Q8" s="959"/>
      <c r="R8" s="960"/>
      <c r="T8" s="88">
        <v>1</v>
      </c>
      <c r="U8" s="88" t="s">
        <v>339</v>
      </c>
      <c r="V8" s="453" t="s">
        <v>340</v>
      </c>
      <c r="W8" s="453" t="s">
        <v>340</v>
      </c>
      <c r="X8" s="453" t="s">
        <v>340</v>
      </c>
      <c r="Y8" s="453" t="s">
        <v>340</v>
      </c>
      <c r="Z8" s="453">
        <v>1</v>
      </c>
      <c r="AA8" s="453">
        <v>0</v>
      </c>
      <c r="AB8" s="453">
        <v>0</v>
      </c>
      <c r="AC8" s="453" t="s">
        <v>340</v>
      </c>
      <c r="AD8" s="453" t="s">
        <v>340</v>
      </c>
      <c r="AE8" s="453">
        <v>0</v>
      </c>
      <c r="AF8" s="453" t="s">
        <v>340</v>
      </c>
      <c r="AG8" s="453" t="str">
        <f t="shared" ref="AG8:AG39" si="3">IF(CrewSoloQual="Yes",$AC8,$AD8)</f>
        <v/>
      </c>
      <c r="AH8" s="453" t="str">
        <f t="shared" ref="AH8:AH39" si="4">IF(ISNUMBER(AC8),IF(CrewSoloQual="Yes",$AC8-1,$AD8-1),"")</f>
        <v/>
      </c>
      <c r="AI8" s="138">
        <f>IF(NOT(OR(Z8=1,Z8=2)),IF(AQ8&gt;0,$AR$44*AQ8/SUMIF($AQ$8:$AQ$39,"&gt;0"),IF(AU8&gt;0,$AV$44*AU8/SUMIF($AU$8:$AU$39,"&gt;0"),IF(AS8&gt;0,$AT$44*AS8/SUMIF($AS$8:$AS$39,"&gt;0"),""))),IF(SUMIF(AJ9:$AJ$39,"=" &amp; AJ8,AI9:$AI$39)=0,"",SUMIF(AJ9:$AJ$39,"=" &amp; AJ8,AI9:$AI$39)))</f>
        <v>0.2</v>
      </c>
      <c r="AJ8" s="139">
        <f>0</f>
        <v>0</v>
      </c>
      <c r="AK8" s="453" t="str">
        <f>BI8</f>
        <v/>
      </c>
      <c r="AL8" s="453" t="str">
        <f>IF(ISBLANK(K8),"",K8)</f>
        <v/>
      </c>
      <c r="AM8" s="453" t="str">
        <f>IF(ISNUMBER(AK8),IF(ISNUMBER(AL8),1,""),"")</f>
        <v/>
      </c>
      <c r="AN8" s="453" t="str">
        <f t="shared" ref="AN8:AN36" si="5">IF(ISNUMBER(AH8),IF(AND(AB8=0,ISNUMBER(AC8),ISNUMBER(AL8)),1,""),"")</f>
        <v/>
      </c>
      <c r="AO8" s="453" t="str">
        <f t="shared" ref="AO8:AO39" si="6">IF(AB8=0,IF(CrewSoloQual="No",BI8,BK8),"")</f>
        <v/>
      </c>
      <c r="AP8" s="453" t="str">
        <f t="shared" ref="AP8:AP39" si="7">IF(ISNA(Z8),"",IF(AND(ISNUMBER(B8),G8&gt;=1,H8&lt;&gt;"NG"),IF(K8&lt;BK8,TRUE,FALSE),IF(AND(G8&gt;=1,J8="NA"),TRUE,IF(AND(AM8=1,G8=0,AL8&lt;BI8),TRUE,""))))</f>
        <v/>
      </c>
      <c r="AQ8" s="140">
        <f>IF(ISNA(Z8),0,IF(OR(J8="NA",W8="",AB8=0),0,W8))</f>
        <v>0</v>
      </c>
      <c r="AR8" s="141" t="str">
        <f t="shared" ref="AR8:AR39" si="8">IF(ISNA(Z8),"",IF(AND(NOT(OR(Z8=1,Z8=2,AK8="NG",AB8=0)),IF(ISNUMBER(AL8),AL8&gt;=0,FALSE)),VLOOKUP((10*AD8+AC8),$AQ$50:$AV$58,2+AL8,FALSE),IF(AND(input_test=TRUE,ISNUMBER(AD8),V8&lt;&gt;0),VLOOKUP((10*AD8+AC8),$AQ$50:$AV$58,2,FALSE),"")))</f>
        <v/>
      </c>
      <c r="AS8" s="142">
        <f>IF(ISNA(Z8),0,IF(OR(J8="NA",X8="",AB8=1),0,X8))</f>
        <v>0</v>
      </c>
      <c r="AT8" s="141" t="str">
        <f t="shared" ref="AT8:AT39" si="9">IF(ISNA(Z8),"",IF(AND(NOT(OR(Z8=1,Z8=2,AK8="NG",AB8=1)),IF(ISNUMBER(AL8),AL8&gt;=0,FALSE)),VLOOKUP((10*AH8+AG8),$AQ$50:$AV$58,2+AL8,FALSE),IF(AND(input_test=TRUE,ISNUMBER(AD8),V8&lt;&gt;0),VLOOKUP((10*AH8+AG8),$AQ$50:$AV$58,2,FALSE),"")))</f>
        <v/>
      </c>
      <c r="AU8" s="143">
        <f t="shared" ref="AU8:AU39" si="10">IF(ISNA(Z8),0,IF(OR(J8="NA",Y8=""),0,Y8))</f>
        <v>0</v>
      </c>
      <c r="AV8" s="144" t="str">
        <f t="shared" ref="AV8:AV39" si="11">AR8</f>
        <v/>
      </c>
      <c r="AW8" s="143" t="b">
        <f t="shared" ref="AW8:AW39" si="12">IF(ISNA(Z8),FALSE,IF(OR(AB8=1,G8=0,Z8=1,Z8=2),FALSE,IF(OR(J8="NA",J8&gt;=G8),FALSE,TRUE)))</f>
        <v>0</v>
      </c>
      <c r="AX8" s="145" t="b">
        <f t="shared" ref="AX8:AX39" si="13">IF(ISNA(Z8),FALSE,IF(OR(AB8=0,G8=0,Z8=1,Z8=2,J8="NA"),FALSE,IF(AK8="NG",IF(NOT(ISBLANK(K8)),FALSE,TRUE),IF(J8&gt;=G8,FALSE,TRUE))))</f>
        <v>0</v>
      </c>
      <c r="AY8" s="143" t="b">
        <f t="shared" ref="AY8:AY39" si="14">IF(ISNA(Z8),FALSE,IF(OR(AB8=1,G8&lt;1,Z8=1,Z8=2,AE8=0,ISBLANK(K8)),FALSE,IF(OR(J8="NA",K8&gt;=BI8),FALSE,TRUE)))</f>
        <v>0</v>
      </c>
      <c r="AZ8" s="145" t="b">
        <f t="shared" ref="AZ8:AZ39" si="15">IF(ISNA(Z8),FALSE,IF(OR(AB8=0,G8=0,Z8=1,Z8=2,AE8=0,BI8="NG",K8="",ISBLANK(K8)),FALSE,IF(OR(J8="NA",K8&gt;=AK8),FALSE,TRUE)))</f>
        <v>0</v>
      </c>
      <c r="BA8" s="453" t="b">
        <f t="shared" ref="BA8:BA39" si="16">IF(ISNA(Z8),FALSE,IF(OR(AB8=1,G8&lt;1,Z8=1,Z8=2,AE8=0),FALSE,IF(J8="NA",TRUE,FALSE)))</f>
        <v>0</v>
      </c>
      <c r="BB8" s="453" t="b">
        <f t="shared" ref="BB8:BB39" si="17">IF(ISNA(Z8),FALSE,IF(OR(AB8=0,G8=0,Z8=1,Z8=2),FALSE,IF(J8="NA",TRUE,FALSE)))</f>
        <v>0</v>
      </c>
      <c r="BC8" s="143" t="b">
        <f t="shared" ref="BC8:BC39" si="18">IF(OR(ISNA($Z8),ISNUMBER($Z8),NOT(ISNUMBER($J8)),K8="D"),FALSE,IF(AND(NOT(ISNUMBER($K8)),J8&gt;0),TRUE,FALSE))</f>
        <v>0</v>
      </c>
      <c r="BD8" s="146" t="b">
        <f>IF(OR(ISNA($Z8),ISNUMBER($Z8),NOT(ISNUMBER(K8))),FALSE,OR(NOT(ISNUMBER(J8)),J8=0,AND(J8=0,K8&lt;&gt;0)))</f>
        <v>0</v>
      </c>
      <c r="BE8" s="145" t="b">
        <f t="shared" ref="BE8:BE21" si="19">IF(OR(ISNA($Z8),K8&lt;&gt;"D"),FALSE,IF(OR(AND(H8="NG",J8=0),AND(H8&lt;&gt;"NG",NOT(OR(J8="NA",J8=0)))),TRUE,FALSE))</f>
        <v>0</v>
      </c>
      <c r="BF8" s="147" t="b">
        <f t="shared" ref="BF8:BF30" si="20">IF(OR(ISNA($Z8),H8&lt;&gt;"NG"),FALSE,IF(AND(J8="NA",K8&lt;&gt;""),TRUE,FALSE))</f>
        <v>0</v>
      </c>
      <c r="BG8" s="453" t="b">
        <f t="shared" ref="BG8:BG21" si="21">IF(ISNA($Z8),"NA",IF(OR(AZ8,AY8,AX8,AW8,AP8,BA8,BB8),TRUE,FALSE))</f>
        <v>0</v>
      </c>
      <c r="BH8" s="148" t="str">
        <f>IF(ISNA($Z8),"",IF(OR($Z8=1,$Z8=2),"",$V8))</f>
        <v/>
      </c>
      <c r="BI8" s="453" t="str">
        <f t="shared" ref="BI8:BI39" si="22">IF(ISNA($Z8),"",IF(OR($Z8=1,$Z8=2,$G8=""),"",IF(AB8=0,AH8,$AD8)))</f>
        <v/>
      </c>
      <c r="BJ8" s="453" t="str">
        <f t="shared" ref="BJ8:BJ39" si="23">IF(ISNA(AE8),"",IF(OR(Z8=1,Z8=2),"",IF(OR(AE8=0,AD8="NG"),TEXT(BI8,"0"),CONCATENATE(TEXT(BI8,"0"),"*"))))</f>
        <v/>
      </c>
      <c r="BK8" s="453" t="str">
        <f t="shared" ref="BK8:BK39" si="24">IF(ISNA($Z8),"",IF(OR($Z8=1,$Z8=2,$G8=""),"",IF(AB8=0,AG8,$AC8)))</f>
        <v/>
      </c>
      <c r="BL8" s="148" t="str">
        <f>IF(ISBLANK(BH8),"",IF(BH8=0,"",BH8))</f>
        <v/>
      </c>
      <c r="BM8" s="453" t="str">
        <f t="shared" ref="BM8:BM39" si="25">IF($BH8=0,"",IF($BI8="NG","D",$BI8))</f>
        <v/>
      </c>
      <c r="BN8" s="453" t="str">
        <f t="shared" ref="BN8:BN39" si="26">IF(ISNA(U8),"",IF($BH8=0,"",IF($BI8="NG","D",BK8)))</f>
        <v/>
      </c>
      <c r="BO8" s="149" t="s">
        <v>341</v>
      </c>
      <c r="BP8" s="150"/>
    </row>
    <row r="9" spans="2:73" s="94" customFormat="1" ht="12.95" customHeight="1" x14ac:dyDescent="0.2">
      <c r="B9" s="151">
        <f>IF(ISNA(Z9),"",IF(OR(Z9=1,Z9=2),"    ",MAX($B$8:B8)+1))</f>
        <v>1</v>
      </c>
      <c r="C9" s="904" t="str">
        <f t="shared" si="0"/>
        <v>Basic Aircraft Procedures (4.0%)</v>
      </c>
      <c r="D9" s="904"/>
      <c r="E9" s="904"/>
      <c r="F9" s="905"/>
      <c r="G9" s="133">
        <f t="shared" si="1"/>
        <v>1</v>
      </c>
      <c r="H9" s="134" t="str">
        <f t="shared" si="2"/>
        <v>2*</v>
      </c>
      <c r="I9" s="152">
        <f t="shared" si="2"/>
        <v>3</v>
      </c>
      <c r="J9" s="480">
        <v>1</v>
      </c>
      <c r="K9" s="159">
        <v>3</v>
      </c>
      <c r="L9" s="961"/>
      <c r="M9" s="962"/>
      <c r="N9" s="962"/>
      <c r="O9" s="962"/>
      <c r="P9" s="962"/>
      <c r="Q9" s="962"/>
      <c r="R9" s="963"/>
      <c r="T9" s="99">
        <v>2</v>
      </c>
      <c r="U9" s="88" t="s">
        <v>342</v>
      </c>
      <c r="V9" s="453">
        <v>1</v>
      </c>
      <c r="W9" s="453" t="s">
        <v>340</v>
      </c>
      <c r="X9" s="453">
        <v>1</v>
      </c>
      <c r="Y9" s="453" t="s">
        <v>340</v>
      </c>
      <c r="Z9" s="146" t="s">
        <v>340</v>
      </c>
      <c r="AA9" s="146">
        <v>1</v>
      </c>
      <c r="AB9" s="146">
        <v>0</v>
      </c>
      <c r="AC9" s="453">
        <v>3</v>
      </c>
      <c r="AD9" s="453">
        <v>2</v>
      </c>
      <c r="AE9" s="453">
        <v>1</v>
      </c>
      <c r="AF9" s="453" t="b">
        <v>1</v>
      </c>
      <c r="AG9" s="453">
        <f t="shared" si="3"/>
        <v>3</v>
      </c>
      <c r="AH9" s="453">
        <f t="shared" si="4"/>
        <v>2</v>
      </c>
      <c r="AI9" s="138">
        <f>IF(NOT(OR(Z9=1,Z9=2)),IF(AQ9&gt;0,$AR$44*AQ9/SUMIF($AQ$8:$AQ$39,"&gt;0"),IF(AU9&gt;0,$AV$44*AU9/SUMIF($AU$8:$AU$39,"&gt;0"),IF(AS9&gt;0,$AT$44*AS9/SUMIF($AS$8:$AS$39,"&gt;0"),""))),IF(SUMIF(AJ10:$AJ$39,"=" &amp; AJ9,AI10:$AI$39)=0,"",SUMIF(AJ10:$AJ$39,"=" &amp; AJ9,AI10:$AI$39)))</f>
        <v>0.04</v>
      </c>
      <c r="AJ9" s="139">
        <f>IF(OR(Z9=1,Z9=2,AA9&lt;AA8),AJ8+1,AJ8)</f>
        <v>0</v>
      </c>
      <c r="AK9" s="453">
        <f t="shared" ref="AK9:AK39" si="27">BI9</f>
        <v>2</v>
      </c>
      <c r="AL9" s="146">
        <f t="shared" ref="AL9:AL39" si="28">IF(ISBLANK(K9),"",K9)</f>
        <v>3</v>
      </c>
      <c r="AM9" s="146">
        <f>IF(ISNUMBER(AK9),IF(ISNUMBER(AL9),1,""),"")</f>
        <v>1</v>
      </c>
      <c r="AN9" s="146">
        <f t="shared" si="5"/>
        <v>1</v>
      </c>
      <c r="AO9" s="146">
        <f t="shared" si="6"/>
        <v>3</v>
      </c>
      <c r="AP9" s="453" t="b">
        <f>IF(ISNA(Z9),"",IF(AND(ISNUMBER(B9),G9&gt;=1,H9&lt;&gt;"NG"),IF(K9&lt;BK9,TRUE,FALSE),IF(AND(G9&gt;=1,J9="NA"),TRUE,IF(AND(AM9=1,G9=0,AL9&lt;BI9),TRUE,""))))</f>
        <v>0</v>
      </c>
      <c r="AQ9" s="140">
        <f t="shared" ref="AQ9:AQ39" si="29">IF(ISNA(Z9),0,IF(OR(J9="NA",W9="",AB9=0),0,W9))</f>
        <v>0</v>
      </c>
      <c r="AR9" s="141" t="str">
        <f>IF(ISNA(Z9),"",IF(AND(NOT(OR(Z9=1,Z9=2,AK9="NG",AB9=0)),IF(ISNUMBER(AL9),AL9&gt;=0,FALSE)),VLOOKUP((10*AD9+AC9),$AQ$50:$AV$58,2+AL9,FALSE),IF(AND(input_test=TRUE,ISNUMBER(AD9),V9&lt;&gt;0),VLOOKUP((10*AD9+AC9),$AQ$50:$AV$58,2,FALSE),"")))</f>
        <v/>
      </c>
      <c r="AS9" s="142">
        <f t="shared" ref="AS9:AS39" si="30">IF(ISNA(Z9),0,IF(OR(J9="NA",X9="",AB9=1),0,X9))</f>
        <v>1</v>
      </c>
      <c r="AT9" s="141">
        <f>IF(ISNA(Z9),"",IF(AND(NOT(OR(Z9=1,Z9=2,AK9="NG",AB9=1)),IF(ISNUMBER(AL9),AL9&gt;=0,FALSE)),VLOOKUP((10*AH9+AG9),$AQ$50:$AV$58,2+AL9,FALSE),IF(AND(input_test=TRUE,ISNUMBER(AD9),V9&lt;&gt;0),VLOOKUP((10*AH9+AG9),$AQ$50:$AV$58,2,FALSE),"")))</f>
        <v>0.9</v>
      </c>
      <c r="AU9" s="143">
        <f t="shared" si="10"/>
        <v>0</v>
      </c>
      <c r="AV9" s="144" t="str">
        <f t="shared" si="11"/>
        <v/>
      </c>
      <c r="AW9" s="143" t="b">
        <f t="shared" si="12"/>
        <v>0</v>
      </c>
      <c r="AX9" s="145" t="b">
        <f t="shared" si="13"/>
        <v>0</v>
      </c>
      <c r="AY9" s="143" t="b">
        <f t="shared" si="14"/>
        <v>0</v>
      </c>
      <c r="AZ9" s="145" t="b">
        <f t="shared" si="15"/>
        <v>0</v>
      </c>
      <c r="BA9" s="453" t="b">
        <f t="shared" si="16"/>
        <v>0</v>
      </c>
      <c r="BB9" s="453" t="b">
        <f t="shared" si="17"/>
        <v>0</v>
      </c>
      <c r="BC9" s="143" t="b">
        <f t="shared" si="18"/>
        <v>0</v>
      </c>
      <c r="BD9" s="146" t="b">
        <f t="shared" ref="BD9:BD39" si="31">IF(OR(ISNA($Z9),ISNUMBER($Z9),NOT(ISNUMBER(K9))),FALSE,OR(NOT(ISNUMBER(J9)),J9=0,AND(J9=0,K9&lt;&gt;0)))</f>
        <v>0</v>
      </c>
      <c r="BE9" s="145" t="b">
        <f t="shared" si="19"/>
        <v>0</v>
      </c>
      <c r="BF9" s="147" t="b">
        <f t="shared" si="20"/>
        <v>0</v>
      </c>
      <c r="BG9" s="453" t="b">
        <f t="shared" si="21"/>
        <v>0</v>
      </c>
      <c r="BH9" s="453">
        <f t="shared" ref="BH9:BH39" si="32">IF(ISNA($Z9),"",IF(OR($Z9=1,$Z9=2),"",$V9))</f>
        <v>1</v>
      </c>
      <c r="BI9" s="453">
        <f t="shared" si="22"/>
        <v>2</v>
      </c>
      <c r="BJ9" s="453" t="str">
        <f t="shared" si="23"/>
        <v>2*</v>
      </c>
      <c r="BK9" s="453">
        <f t="shared" si="24"/>
        <v>3</v>
      </c>
      <c r="BL9" s="148">
        <f t="shared" ref="BL9:BL39" si="33">IF(ISBLANK(BH9),"",IF(BH9=0,"",BH9))</f>
        <v>1</v>
      </c>
      <c r="BM9" s="453">
        <f t="shared" si="25"/>
        <v>2</v>
      </c>
      <c r="BN9" s="453">
        <f t="shared" si="26"/>
        <v>3</v>
      </c>
      <c r="BO9" s="155" t="s">
        <v>343</v>
      </c>
      <c r="BP9" s="156" t="s">
        <v>344</v>
      </c>
    </row>
    <row r="10" spans="2:73" s="94" customFormat="1" ht="12.95" customHeight="1" x14ac:dyDescent="0.2">
      <c r="B10" s="151">
        <f>IF(ISNA(Z10),"",IF(OR(Z10=1,Z10=2),"    ",MAX($B$8:B9)+1))</f>
        <v>2</v>
      </c>
      <c r="C10" s="904" t="str">
        <f t="shared" si="0"/>
        <v>Basic Aircraft Handling (4.0%)</v>
      </c>
      <c r="D10" s="904"/>
      <c r="E10" s="904"/>
      <c r="F10" s="905"/>
      <c r="G10" s="133">
        <f t="shared" si="1"/>
        <v>1</v>
      </c>
      <c r="H10" s="134" t="str">
        <f t="shared" si="2"/>
        <v>2*</v>
      </c>
      <c r="I10" s="152">
        <f t="shared" si="2"/>
        <v>3</v>
      </c>
      <c r="J10" s="158">
        <v>1</v>
      </c>
      <c r="K10" s="159">
        <v>3</v>
      </c>
      <c r="L10" s="961"/>
      <c r="M10" s="962"/>
      <c r="N10" s="962"/>
      <c r="O10" s="962"/>
      <c r="P10" s="962"/>
      <c r="Q10" s="962"/>
      <c r="R10" s="963"/>
      <c r="T10" s="99">
        <v>3</v>
      </c>
      <c r="U10" s="88" t="s">
        <v>551</v>
      </c>
      <c r="V10" s="453">
        <v>1</v>
      </c>
      <c r="W10" s="453" t="s">
        <v>340</v>
      </c>
      <c r="X10" s="453">
        <v>1</v>
      </c>
      <c r="Y10" s="453" t="s">
        <v>340</v>
      </c>
      <c r="Z10" s="146" t="s">
        <v>340</v>
      </c>
      <c r="AA10" s="146">
        <v>1</v>
      </c>
      <c r="AB10" s="146">
        <v>0</v>
      </c>
      <c r="AC10" s="453">
        <v>3</v>
      </c>
      <c r="AD10" s="453">
        <v>2</v>
      </c>
      <c r="AE10" s="453">
        <v>1</v>
      </c>
      <c r="AF10" s="453" t="b">
        <v>1</v>
      </c>
      <c r="AG10" s="453">
        <f t="shared" si="3"/>
        <v>3</v>
      </c>
      <c r="AH10" s="453">
        <f t="shared" si="4"/>
        <v>2</v>
      </c>
      <c r="AI10" s="138">
        <f>IF(NOT(OR(Z10=1,Z10=2)),IF(AQ10&gt;0,$AR$44*AQ10/SUMIF($AQ$8:$AQ$39,"&gt;0"),IF(AU10&gt;0,$AV$44*AU10/SUMIF($AU$8:$AU$39,"&gt;0"),IF(AS10&gt;0,$AT$44*AS10/SUMIF($AS$8:$AS$39,"&gt;0"),""))),IF(SUMIF(AJ11:$AJ$39,"=" &amp; AJ10,AI11:$AI$39)=0,"",SUMIF(AJ11:$AJ$39,"=" &amp; AJ10,AI11:$AI$39)))</f>
        <v>0.04</v>
      </c>
      <c r="AJ10" s="139">
        <f t="shared" ref="AJ10:AJ39" si="34">IF(OR(Z10=1,Z10=2,AA10&lt;AA9),AJ9+1,AJ9)</f>
        <v>0</v>
      </c>
      <c r="AK10" s="453">
        <f t="shared" si="27"/>
        <v>2</v>
      </c>
      <c r="AL10" s="146">
        <f t="shared" si="28"/>
        <v>3</v>
      </c>
      <c r="AM10" s="146">
        <f t="shared" ref="AM10:AM39" si="35">IF(ISNUMBER(AK10),IF(ISNUMBER(AL10),1,""),"")</f>
        <v>1</v>
      </c>
      <c r="AN10" s="146">
        <f t="shared" si="5"/>
        <v>1</v>
      </c>
      <c r="AO10" s="146">
        <f t="shared" si="6"/>
        <v>3</v>
      </c>
      <c r="AP10" s="453" t="b">
        <f t="shared" si="7"/>
        <v>0</v>
      </c>
      <c r="AQ10" s="140">
        <f t="shared" si="29"/>
        <v>0</v>
      </c>
      <c r="AR10" s="141" t="str">
        <f t="shared" si="8"/>
        <v/>
      </c>
      <c r="AS10" s="142">
        <f t="shared" si="30"/>
        <v>1</v>
      </c>
      <c r="AT10" s="141">
        <f t="shared" si="9"/>
        <v>0.9</v>
      </c>
      <c r="AU10" s="143">
        <f t="shared" si="10"/>
        <v>0</v>
      </c>
      <c r="AV10" s="144" t="str">
        <f t="shared" si="11"/>
        <v/>
      </c>
      <c r="AW10" s="143" t="b">
        <f t="shared" si="12"/>
        <v>0</v>
      </c>
      <c r="AX10" s="145" t="b">
        <f t="shared" si="13"/>
        <v>0</v>
      </c>
      <c r="AY10" s="143" t="b">
        <f t="shared" si="14"/>
        <v>0</v>
      </c>
      <c r="AZ10" s="145" t="b">
        <f t="shared" si="15"/>
        <v>0</v>
      </c>
      <c r="BA10" s="453" t="b">
        <f t="shared" si="16"/>
        <v>0</v>
      </c>
      <c r="BB10" s="453" t="b">
        <f t="shared" si="17"/>
        <v>0</v>
      </c>
      <c r="BC10" s="143" t="b">
        <f t="shared" si="18"/>
        <v>0</v>
      </c>
      <c r="BD10" s="146" t="b">
        <f t="shared" si="31"/>
        <v>0</v>
      </c>
      <c r="BE10" s="145" t="b">
        <f t="shared" si="19"/>
        <v>0</v>
      </c>
      <c r="BF10" s="147" t="b">
        <f t="shared" si="20"/>
        <v>0</v>
      </c>
      <c r="BG10" s="453" t="b">
        <f t="shared" si="21"/>
        <v>0</v>
      </c>
      <c r="BH10" s="453">
        <f t="shared" si="32"/>
        <v>1</v>
      </c>
      <c r="BI10" s="453">
        <f t="shared" si="22"/>
        <v>2</v>
      </c>
      <c r="BJ10" s="453" t="str">
        <f t="shared" si="23"/>
        <v>2*</v>
      </c>
      <c r="BK10" s="453">
        <f t="shared" si="24"/>
        <v>3</v>
      </c>
      <c r="BL10" s="148">
        <f t="shared" si="33"/>
        <v>1</v>
      </c>
      <c r="BM10" s="453">
        <f t="shared" si="25"/>
        <v>2</v>
      </c>
      <c r="BN10" s="453">
        <f t="shared" si="26"/>
        <v>3</v>
      </c>
      <c r="BO10" s="155">
        <v>0</v>
      </c>
      <c r="BP10" s="156" t="s">
        <v>346</v>
      </c>
    </row>
    <row r="11" spans="2:73" s="94" customFormat="1" ht="12.95" customHeight="1" x14ac:dyDescent="0.2">
      <c r="B11" s="151">
        <f>IF(ISNA(Z11),"",IF(OR(Z11=1,Z11=2),"    ",MAX($B$8:B10)+1))</f>
        <v>3</v>
      </c>
      <c r="C11" s="904" t="str">
        <f t="shared" si="0"/>
        <v>Local Area Proc./Orientation/Comm (4.0%)</v>
      </c>
      <c r="D11" s="904"/>
      <c r="E11" s="904"/>
      <c r="F11" s="905"/>
      <c r="G11" s="133">
        <f t="shared" si="1"/>
        <v>1</v>
      </c>
      <c r="H11" s="134" t="str">
        <f t="shared" si="2"/>
        <v>2*</v>
      </c>
      <c r="I11" s="152">
        <f t="shared" si="2"/>
        <v>3</v>
      </c>
      <c r="J11" s="158">
        <v>1</v>
      </c>
      <c r="K11" s="159">
        <v>3</v>
      </c>
      <c r="L11" s="961"/>
      <c r="M11" s="962"/>
      <c r="N11" s="962"/>
      <c r="O11" s="962"/>
      <c r="P11" s="962"/>
      <c r="Q11" s="962"/>
      <c r="R11" s="963"/>
      <c r="T11" s="99">
        <v>4</v>
      </c>
      <c r="U11" s="88" t="s">
        <v>345</v>
      </c>
      <c r="V11" s="453">
        <v>1</v>
      </c>
      <c r="W11" s="453" t="s">
        <v>340</v>
      </c>
      <c r="X11" s="453">
        <v>1</v>
      </c>
      <c r="Y11" s="453" t="s">
        <v>340</v>
      </c>
      <c r="Z11" s="146" t="s">
        <v>340</v>
      </c>
      <c r="AA11" s="146">
        <v>1</v>
      </c>
      <c r="AB11" s="146">
        <v>0</v>
      </c>
      <c r="AC11" s="453">
        <v>3</v>
      </c>
      <c r="AD11" s="453">
        <v>3</v>
      </c>
      <c r="AE11" s="453">
        <v>1</v>
      </c>
      <c r="AF11" s="453" t="b">
        <v>1</v>
      </c>
      <c r="AG11" s="453">
        <f t="shared" si="3"/>
        <v>3</v>
      </c>
      <c r="AH11" s="453">
        <f t="shared" si="4"/>
        <v>2</v>
      </c>
      <c r="AI11" s="138">
        <f>IF(NOT(OR(Z11=1,Z11=2)),IF(AQ11&gt;0,$AR$44*AQ11/SUMIF($AQ$8:$AQ$39,"&gt;0"),IF(AU11&gt;0,$AV$44*AU11/SUMIF($AU$8:$AU$39,"&gt;0"),IF(AS11&gt;0,$AT$44*AS11/SUMIF($AS$8:$AS$39,"&gt;0"),""))),IF(SUMIF(AJ12:$AJ$39,"=" &amp; AJ11,AI12:$AI$39)=0,"",SUMIF(AJ12:$AJ$39,"=" &amp; AJ11,AI12:$AI$39)))</f>
        <v>0.04</v>
      </c>
      <c r="AJ11" s="139">
        <f t="shared" si="34"/>
        <v>0</v>
      </c>
      <c r="AK11" s="453">
        <f t="shared" si="27"/>
        <v>2</v>
      </c>
      <c r="AL11" s="146">
        <f t="shared" si="28"/>
        <v>3</v>
      </c>
      <c r="AM11" s="146">
        <f t="shared" si="35"/>
        <v>1</v>
      </c>
      <c r="AN11" s="146">
        <f t="shared" si="5"/>
        <v>1</v>
      </c>
      <c r="AO11" s="146">
        <f t="shared" si="6"/>
        <v>3</v>
      </c>
      <c r="AP11" s="453" t="b">
        <f t="shared" si="7"/>
        <v>0</v>
      </c>
      <c r="AQ11" s="140">
        <f t="shared" si="29"/>
        <v>0</v>
      </c>
      <c r="AR11" s="141" t="str">
        <f t="shared" si="8"/>
        <v/>
      </c>
      <c r="AS11" s="142">
        <f t="shared" si="30"/>
        <v>1</v>
      </c>
      <c r="AT11" s="141">
        <f t="shared" si="9"/>
        <v>0.9</v>
      </c>
      <c r="AU11" s="143">
        <f t="shared" si="10"/>
        <v>0</v>
      </c>
      <c r="AV11" s="144" t="str">
        <f t="shared" si="11"/>
        <v/>
      </c>
      <c r="AW11" s="143" t="b">
        <f t="shared" si="12"/>
        <v>0</v>
      </c>
      <c r="AX11" s="145" t="b">
        <f t="shared" si="13"/>
        <v>0</v>
      </c>
      <c r="AY11" s="143" t="b">
        <f t="shared" si="14"/>
        <v>0</v>
      </c>
      <c r="AZ11" s="145" t="b">
        <f t="shared" si="15"/>
        <v>0</v>
      </c>
      <c r="BA11" s="453" t="b">
        <f t="shared" si="16"/>
        <v>0</v>
      </c>
      <c r="BB11" s="453" t="b">
        <f t="shared" si="17"/>
        <v>0</v>
      </c>
      <c r="BC11" s="143" t="b">
        <f t="shared" si="18"/>
        <v>0</v>
      </c>
      <c r="BD11" s="146" t="b">
        <f t="shared" si="31"/>
        <v>0</v>
      </c>
      <c r="BE11" s="145" t="b">
        <f t="shared" si="19"/>
        <v>0</v>
      </c>
      <c r="BF11" s="147" t="b">
        <f t="shared" si="20"/>
        <v>0</v>
      </c>
      <c r="BG11" s="453" t="b">
        <f t="shared" si="21"/>
        <v>0</v>
      </c>
      <c r="BH11" s="453">
        <f t="shared" si="32"/>
        <v>1</v>
      </c>
      <c r="BI11" s="453">
        <f t="shared" si="22"/>
        <v>2</v>
      </c>
      <c r="BJ11" s="453" t="str">
        <f t="shared" si="23"/>
        <v>2*</v>
      </c>
      <c r="BK11" s="453">
        <f t="shared" si="24"/>
        <v>3</v>
      </c>
      <c r="BL11" s="148">
        <f t="shared" si="33"/>
        <v>1</v>
      </c>
      <c r="BM11" s="453">
        <f t="shared" si="25"/>
        <v>2</v>
      </c>
      <c r="BN11" s="453">
        <f t="shared" si="26"/>
        <v>3</v>
      </c>
      <c r="BO11" s="155">
        <v>1</v>
      </c>
      <c r="BP11" s="156" t="s">
        <v>348</v>
      </c>
    </row>
    <row r="12" spans="2:73" s="94" customFormat="1" ht="12.95" customHeight="1" x14ac:dyDescent="0.2">
      <c r="B12" s="151">
        <f>IF(ISNA(Z12),"",IF(OR(Z12=1,Z12=2),"    ",MAX($B$8:B11)+1))</f>
        <v>4</v>
      </c>
      <c r="C12" s="904" t="str">
        <f t="shared" si="0"/>
        <v>Situational Awareness/Judgement (4.0%)</v>
      </c>
      <c r="D12" s="904"/>
      <c r="E12" s="904"/>
      <c r="F12" s="905"/>
      <c r="G12" s="133">
        <f t="shared" si="1"/>
        <v>1</v>
      </c>
      <c r="H12" s="134" t="str">
        <f t="shared" si="2"/>
        <v>2*</v>
      </c>
      <c r="I12" s="152">
        <f t="shared" si="2"/>
        <v>3</v>
      </c>
      <c r="J12" s="158">
        <v>1</v>
      </c>
      <c r="K12" s="159">
        <v>3</v>
      </c>
      <c r="L12" s="961"/>
      <c r="M12" s="962"/>
      <c r="N12" s="962"/>
      <c r="O12" s="962"/>
      <c r="P12" s="962"/>
      <c r="Q12" s="962"/>
      <c r="R12" s="963"/>
      <c r="T12" s="99">
        <v>5</v>
      </c>
      <c r="U12" s="88" t="s">
        <v>347</v>
      </c>
      <c r="V12" s="453">
        <v>1</v>
      </c>
      <c r="W12" s="453" t="s">
        <v>340</v>
      </c>
      <c r="X12" s="453">
        <v>1</v>
      </c>
      <c r="Y12" s="453" t="s">
        <v>340</v>
      </c>
      <c r="Z12" s="146" t="s">
        <v>340</v>
      </c>
      <c r="AA12" s="146">
        <v>1</v>
      </c>
      <c r="AB12" s="146">
        <v>0</v>
      </c>
      <c r="AC12" s="453">
        <v>3</v>
      </c>
      <c r="AD12" s="453">
        <v>3</v>
      </c>
      <c r="AE12" s="453">
        <v>1</v>
      </c>
      <c r="AF12" s="453" t="b">
        <v>1</v>
      </c>
      <c r="AG12" s="453">
        <f t="shared" si="3"/>
        <v>3</v>
      </c>
      <c r="AH12" s="453">
        <f t="shared" si="4"/>
        <v>2</v>
      </c>
      <c r="AI12" s="138">
        <f>IF(NOT(OR(Z12=1,Z12=2)),IF(AQ12&gt;0,$AR$44*AQ12/SUMIF($AQ$8:$AQ$39,"&gt;0"),IF(AU12&gt;0,$AV$44*AU12/SUMIF($AU$8:$AU$39,"&gt;0"),IF(AS12&gt;0,$AT$44*AS12/SUMIF($AS$8:$AS$39,"&gt;0"),""))),IF(SUMIF(AJ13:$AJ$39,"=" &amp; AJ12,AI13:$AI$39)=0,"",SUMIF(AJ13:$AJ$39,"=" &amp; AJ12,AI13:$AI$39)))</f>
        <v>0.04</v>
      </c>
      <c r="AJ12" s="139">
        <f t="shared" si="34"/>
        <v>0</v>
      </c>
      <c r="AK12" s="453">
        <f t="shared" si="27"/>
        <v>2</v>
      </c>
      <c r="AL12" s="146">
        <f t="shared" si="28"/>
        <v>3</v>
      </c>
      <c r="AM12" s="146">
        <f t="shared" si="35"/>
        <v>1</v>
      </c>
      <c r="AN12" s="146">
        <f t="shared" si="5"/>
        <v>1</v>
      </c>
      <c r="AO12" s="146">
        <f t="shared" si="6"/>
        <v>3</v>
      </c>
      <c r="AP12" s="453" t="b">
        <f t="shared" si="7"/>
        <v>0</v>
      </c>
      <c r="AQ12" s="140">
        <f t="shared" si="29"/>
        <v>0</v>
      </c>
      <c r="AR12" s="141" t="str">
        <f t="shared" si="8"/>
        <v/>
      </c>
      <c r="AS12" s="142">
        <f t="shared" si="30"/>
        <v>1</v>
      </c>
      <c r="AT12" s="141">
        <f t="shared" si="9"/>
        <v>0.9</v>
      </c>
      <c r="AU12" s="143">
        <f t="shared" si="10"/>
        <v>0</v>
      </c>
      <c r="AV12" s="144" t="str">
        <f t="shared" si="11"/>
        <v/>
      </c>
      <c r="AW12" s="143" t="b">
        <f t="shared" si="12"/>
        <v>0</v>
      </c>
      <c r="AX12" s="145" t="b">
        <f t="shared" si="13"/>
        <v>0</v>
      </c>
      <c r="AY12" s="143" t="b">
        <f t="shared" si="14"/>
        <v>0</v>
      </c>
      <c r="AZ12" s="145" t="b">
        <f t="shared" si="15"/>
        <v>0</v>
      </c>
      <c r="BA12" s="453" t="b">
        <f t="shared" si="16"/>
        <v>0</v>
      </c>
      <c r="BB12" s="453" t="b">
        <f t="shared" si="17"/>
        <v>0</v>
      </c>
      <c r="BC12" s="143" t="b">
        <f t="shared" si="18"/>
        <v>0</v>
      </c>
      <c r="BD12" s="146" t="b">
        <f t="shared" si="31"/>
        <v>0</v>
      </c>
      <c r="BE12" s="145" t="b">
        <f t="shared" si="19"/>
        <v>0</v>
      </c>
      <c r="BF12" s="147" t="b">
        <f t="shared" si="20"/>
        <v>0</v>
      </c>
      <c r="BG12" s="453" t="b">
        <f t="shared" si="21"/>
        <v>0</v>
      </c>
      <c r="BH12" s="453">
        <f t="shared" si="32"/>
        <v>1</v>
      </c>
      <c r="BI12" s="453">
        <f t="shared" si="22"/>
        <v>2</v>
      </c>
      <c r="BJ12" s="453" t="str">
        <f t="shared" si="23"/>
        <v>2*</v>
      </c>
      <c r="BK12" s="453">
        <f t="shared" si="24"/>
        <v>3</v>
      </c>
      <c r="BL12" s="148">
        <f t="shared" si="33"/>
        <v>1</v>
      </c>
      <c r="BM12" s="453">
        <f t="shared" si="25"/>
        <v>2</v>
      </c>
      <c r="BN12" s="453">
        <f t="shared" si="26"/>
        <v>3</v>
      </c>
      <c r="BO12" s="155">
        <v>2</v>
      </c>
      <c r="BP12" s="156" t="s">
        <v>350</v>
      </c>
    </row>
    <row r="13" spans="2:73" s="94" customFormat="1" ht="12.95" customHeight="1" x14ac:dyDescent="0.2">
      <c r="B13" s="151">
        <f>IF(ISNA(Z13),"",IF(OR(Z13=1,Z13=2),"    ",MAX($B$8:B12)+1))</f>
        <v>5</v>
      </c>
      <c r="C13" s="904" t="str">
        <f t="shared" si="0"/>
        <v>Clearing/Visual Lookout (4.0%)</v>
      </c>
      <c r="D13" s="904"/>
      <c r="E13" s="904"/>
      <c r="F13" s="905"/>
      <c r="G13" s="133">
        <f t="shared" si="1"/>
        <v>1</v>
      </c>
      <c r="H13" s="134" t="str">
        <f t="shared" si="2"/>
        <v>2*</v>
      </c>
      <c r="I13" s="152">
        <f t="shared" si="2"/>
        <v>3</v>
      </c>
      <c r="J13" s="158">
        <v>1</v>
      </c>
      <c r="K13" s="159">
        <v>3</v>
      </c>
      <c r="L13" s="961"/>
      <c r="M13" s="962"/>
      <c r="N13" s="962"/>
      <c r="O13" s="962"/>
      <c r="P13" s="962"/>
      <c r="Q13" s="962"/>
      <c r="R13" s="963"/>
      <c r="T13" s="99">
        <v>6</v>
      </c>
      <c r="U13" s="88" t="s">
        <v>349</v>
      </c>
      <c r="V13" s="453">
        <v>1</v>
      </c>
      <c r="W13" s="453" t="s">
        <v>340</v>
      </c>
      <c r="X13" s="453">
        <v>1</v>
      </c>
      <c r="Y13" s="453" t="s">
        <v>340</v>
      </c>
      <c r="Z13" s="146" t="s">
        <v>340</v>
      </c>
      <c r="AA13" s="146">
        <v>1</v>
      </c>
      <c r="AB13" s="146">
        <v>0</v>
      </c>
      <c r="AC13" s="453">
        <v>3</v>
      </c>
      <c r="AD13" s="453">
        <v>3</v>
      </c>
      <c r="AE13" s="453">
        <v>1</v>
      </c>
      <c r="AF13" s="453" t="b">
        <v>1</v>
      </c>
      <c r="AG13" s="453">
        <f t="shared" si="3"/>
        <v>3</v>
      </c>
      <c r="AH13" s="453">
        <f t="shared" si="4"/>
        <v>2</v>
      </c>
      <c r="AI13" s="138">
        <f>IF(NOT(OR(Z13=1,Z13=2)),IF(AQ13&gt;0,$AR$44*AQ13/SUMIF($AQ$8:$AQ$39,"&gt;0"),IF(AU13&gt;0,$AV$44*AU13/SUMIF($AU$8:$AU$39,"&gt;0"),IF(AS13&gt;0,$AT$44*AS13/SUMIF($AS$8:$AS$39,"&gt;0"),""))),IF(SUMIF(AJ14:$AJ$39,"=" &amp; AJ13,AI14:$AI$39)=0,"",SUMIF(AJ14:$AJ$39,"=" &amp; AJ13,AI14:$AI$39)))</f>
        <v>0.04</v>
      </c>
      <c r="AJ13" s="139">
        <f t="shared" si="34"/>
        <v>0</v>
      </c>
      <c r="AK13" s="453">
        <f t="shared" si="27"/>
        <v>2</v>
      </c>
      <c r="AL13" s="146">
        <f t="shared" si="28"/>
        <v>3</v>
      </c>
      <c r="AM13" s="146">
        <f t="shared" si="35"/>
        <v>1</v>
      </c>
      <c r="AN13" s="146">
        <f t="shared" si="5"/>
        <v>1</v>
      </c>
      <c r="AO13" s="146">
        <f t="shared" si="6"/>
        <v>3</v>
      </c>
      <c r="AP13" s="453" t="b">
        <f t="shared" si="7"/>
        <v>0</v>
      </c>
      <c r="AQ13" s="140">
        <f t="shared" si="29"/>
        <v>0</v>
      </c>
      <c r="AR13" s="141" t="str">
        <f t="shared" si="8"/>
        <v/>
      </c>
      <c r="AS13" s="142">
        <f t="shared" si="30"/>
        <v>1</v>
      </c>
      <c r="AT13" s="141">
        <f t="shared" si="9"/>
        <v>0.9</v>
      </c>
      <c r="AU13" s="143">
        <f t="shared" si="10"/>
        <v>0</v>
      </c>
      <c r="AV13" s="144" t="str">
        <f t="shared" si="11"/>
        <v/>
      </c>
      <c r="AW13" s="143" t="b">
        <f t="shared" si="12"/>
        <v>0</v>
      </c>
      <c r="AX13" s="145" t="b">
        <f t="shared" si="13"/>
        <v>0</v>
      </c>
      <c r="AY13" s="143" t="b">
        <f t="shared" si="14"/>
        <v>0</v>
      </c>
      <c r="AZ13" s="145" t="b">
        <f t="shared" si="15"/>
        <v>0</v>
      </c>
      <c r="BA13" s="453" t="b">
        <f t="shared" si="16"/>
        <v>0</v>
      </c>
      <c r="BB13" s="453" t="b">
        <f t="shared" si="17"/>
        <v>0</v>
      </c>
      <c r="BC13" s="143" t="b">
        <f t="shared" si="18"/>
        <v>0</v>
      </c>
      <c r="BD13" s="146" t="b">
        <f t="shared" si="31"/>
        <v>0</v>
      </c>
      <c r="BE13" s="145" t="b">
        <f t="shared" si="19"/>
        <v>0</v>
      </c>
      <c r="BF13" s="147" t="b">
        <f t="shared" si="20"/>
        <v>0</v>
      </c>
      <c r="BG13" s="453" t="b">
        <f t="shared" si="21"/>
        <v>0</v>
      </c>
      <c r="BH13" s="453">
        <f t="shared" si="32"/>
        <v>1</v>
      </c>
      <c r="BI13" s="453">
        <f t="shared" si="22"/>
        <v>2</v>
      </c>
      <c r="BJ13" s="453" t="str">
        <f t="shared" si="23"/>
        <v>2*</v>
      </c>
      <c r="BK13" s="453">
        <f t="shared" si="24"/>
        <v>3</v>
      </c>
      <c r="BL13" s="148">
        <f t="shared" si="33"/>
        <v>1</v>
      </c>
      <c r="BM13" s="453">
        <f t="shared" si="25"/>
        <v>2</v>
      </c>
      <c r="BN13" s="453">
        <f t="shared" si="26"/>
        <v>3</v>
      </c>
      <c r="BO13" s="155">
        <v>3</v>
      </c>
      <c r="BP13" s="156" t="s">
        <v>352</v>
      </c>
    </row>
    <row r="14" spans="2:73" s="94" customFormat="1" ht="12.95" customHeight="1" x14ac:dyDescent="0.2">
      <c r="B14" s="151" t="str">
        <f>IF(ISNA(Z14),"",IF(OR(Z14=1,Z14=2),"    ",MAX($B$8:B13)+1))</f>
        <v xml:space="preserve">    </v>
      </c>
      <c r="C14" s="904" t="str">
        <f t="shared" si="0"/>
        <v>Academic Tasks</v>
      </c>
      <c r="D14" s="904"/>
      <c r="E14" s="904"/>
      <c r="F14" s="905"/>
      <c r="G14" s="133" t="str">
        <f t="shared" si="1"/>
        <v/>
      </c>
      <c r="H14" s="134" t="str">
        <f t="shared" si="2"/>
        <v/>
      </c>
      <c r="I14" s="152" t="str">
        <f t="shared" si="2"/>
        <v/>
      </c>
      <c r="J14" s="158"/>
      <c r="K14" s="159"/>
      <c r="L14" s="961"/>
      <c r="M14" s="962"/>
      <c r="N14" s="962"/>
      <c r="O14" s="962"/>
      <c r="P14" s="962"/>
      <c r="Q14" s="962"/>
      <c r="R14" s="963"/>
      <c r="T14" s="99">
        <v>7</v>
      </c>
      <c r="U14" s="88" t="s">
        <v>351</v>
      </c>
      <c r="V14" s="453" t="s">
        <v>340</v>
      </c>
      <c r="W14" s="453" t="s">
        <v>340</v>
      </c>
      <c r="X14" s="453" t="s">
        <v>340</v>
      </c>
      <c r="Y14" s="453" t="s">
        <v>340</v>
      </c>
      <c r="Z14" s="146">
        <v>1</v>
      </c>
      <c r="AA14" s="146">
        <v>0</v>
      </c>
      <c r="AB14" s="146">
        <v>1</v>
      </c>
      <c r="AC14" s="453" t="s">
        <v>340</v>
      </c>
      <c r="AD14" s="453" t="s">
        <v>340</v>
      </c>
      <c r="AE14" s="453">
        <v>0</v>
      </c>
      <c r="AF14" s="453" t="s">
        <v>340</v>
      </c>
      <c r="AG14" s="453" t="str">
        <f t="shared" si="3"/>
        <v/>
      </c>
      <c r="AH14" s="453" t="str">
        <f t="shared" si="4"/>
        <v/>
      </c>
      <c r="AI14" s="138" t="str">
        <f>IF(NOT(OR(Z14=1,Z14=2)),IF(AQ14&gt;0,$AR$44*AQ14/SUMIF($AQ$8:$AQ$39,"&gt;0"),IF(AU14&gt;0,$AV$44*AU14/SUMIF($AU$8:$AU$39,"&gt;0"),IF(AS14&gt;0,$AT$44*AS14/SUMIF($AS$8:$AS$39,"&gt;0"),""))),IF(SUMIF(AJ15:$AJ$39,"=" &amp; AJ14,AI15:$AI$39)=0,"",SUMIF(AJ15:$AJ$39,"=" &amp; AJ14,AI15:$AI$39)))</f>
        <v/>
      </c>
      <c r="AJ14" s="139">
        <f t="shared" si="34"/>
        <v>1</v>
      </c>
      <c r="AK14" s="453" t="str">
        <f t="shared" si="27"/>
        <v/>
      </c>
      <c r="AL14" s="146" t="str">
        <f t="shared" si="28"/>
        <v/>
      </c>
      <c r="AM14" s="146" t="str">
        <f t="shared" si="35"/>
        <v/>
      </c>
      <c r="AN14" s="146" t="str">
        <f t="shared" si="5"/>
        <v/>
      </c>
      <c r="AO14" s="146" t="str">
        <f t="shared" si="6"/>
        <v/>
      </c>
      <c r="AP14" s="453" t="str">
        <f t="shared" si="7"/>
        <v/>
      </c>
      <c r="AQ14" s="140">
        <f t="shared" si="29"/>
        <v>0</v>
      </c>
      <c r="AR14" s="141" t="str">
        <f t="shared" si="8"/>
        <v/>
      </c>
      <c r="AS14" s="142">
        <f t="shared" si="30"/>
        <v>0</v>
      </c>
      <c r="AT14" s="141" t="str">
        <f t="shared" si="9"/>
        <v/>
      </c>
      <c r="AU14" s="143">
        <f t="shared" si="10"/>
        <v>0</v>
      </c>
      <c r="AV14" s="144" t="str">
        <f t="shared" si="11"/>
        <v/>
      </c>
      <c r="AW14" s="143" t="b">
        <f t="shared" si="12"/>
        <v>0</v>
      </c>
      <c r="AX14" s="145" t="b">
        <f t="shared" si="13"/>
        <v>0</v>
      </c>
      <c r="AY14" s="143" t="b">
        <f t="shared" si="14"/>
        <v>0</v>
      </c>
      <c r="AZ14" s="145" t="b">
        <f t="shared" si="15"/>
        <v>0</v>
      </c>
      <c r="BA14" s="453" t="b">
        <f t="shared" si="16"/>
        <v>0</v>
      </c>
      <c r="BB14" s="453" t="b">
        <f t="shared" si="17"/>
        <v>0</v>
      </c>
      <c r="BC14" s="143" t="b">
        <f t="shared" si="18"/>
        <v>0</v>
      </c>
      <c r="BD14" s="146" t="b">
        <f t="shared" si="31"/>
        <v>0</v>
      </c>
      <c r="BE14" s="145" t="b">
        <f t="shared" si="19"/>
        <v>0</v>
      </c>
      <c r="BF14" s="147" t="b">
        <f t="shared" si="20"/>
        <v>0</v>
      </c>
      <c r="BG14" s="453" t="b">
        <f t="shared" si="21"/>
        <v>0</v>
      </c>
      <c r="BH14" s="453" t="str">
        <f t="shared" si="32"/>
        <v/>
      </c>
      <c r="BI14" s="453" t="str">
        <f t="shared" si="22"/>
        <v/>
      </c>
      <c r="BJ14" s="453" t="str">
        <f t="shared" si="23"/>
        <v/>
      </c>
      <c r="BK14" s="453" t="str">
        <f t="shared" si="24"/>
        <v/>
      </c>
      <c r="BL14" s="148" t="str">
        <f t="shared" si="33"/>
        <v/>
      </c>
      <c r="BM14" s="453" t="str">
        <f t="shared" si="25"/>
        <v/>
      </c>
      <c r="BN14" s="453" t="str">
        <f t="shared" si="26"/>
        <v/>
      </c>
      <c r="BO14" s="155">
        <v>4</v>
      </c>
      <c r="BP14" s="156" t="s">
        <v>354</v>
      </c>
    </row>
    <row r="15" spans="2:73" s="94" customFormat="1" ht="12.95" customHeight="1" x14ac:dyDescent="0.2">
      <c r="B15" s="151" t="str">
        <f>IF(ISNA(Z15),"",IF(OR(Z15=1,Z15=2),"    ",MAX($B$8:B14)+1))</f>
        <v xml:space="preserve">    </v>
      </c>
      <c r="C15" s="904" t="str">
        <f t="shared" si="0"/>
        <v>Test Conduct (21.8%)</v>
      </c>
      <c r="D15" s="904"/>
      <c r="E15" s="904"/>
      <c r="F15" s="905"/>
      <c r="G15" s="133" t="str">
        <f t="shared" si="1"/>
        <v/>
      </c>
      <c r="H15" s="134" t="str">
        <f t="shared" si="2"/>
        <v/>
      </c>
      <c r="I15" s="152" t="str">
        <f t="shared" si="2"/>
        <v/>
      </c>
      <c r="J15" s="158"/>
      <c r="K15" s="159"/>
      <c r="L15" s="961"/>
      <c r="M15" s="962"/>
      <c r="N15" s="962"/>
      <c r="O15" s="962"/>
      <c r="P15" s="962"/>
      <c r="Q15" s="962"/>
      <c r="R15" s="963"/>
      <c r="T15" s="99">
        <v>8</v>
      </c>
      <c r="U15" s="88" t="s">
        <v>353</v>
      </c>
      <c r="V15" s="453" t="s">
        <v>340</v>
      </c>
      <c r="W15" s="453" t="s">
        <v>340</v>
      </c>
      <c r="X15" s="453" t="s">
        <v>340</v>
      </c>
      <c r="Y15" s="453" t="s">
        <v>340</v>
      </c>
      <c r="Z15" s="146">
        <v>2</v>
      </c>
      <c r="AA15" s="146">
        <v>1</v>
      </c>
      <c r="AB15" s="146">
        <v>1</v>
      </c>
      <c r="AC15" s="453" t="s">
        <v>340</v>
      </c>
      <c r="AD15" s="453" t="s">
        <v>340</v>
      </c>
      <c r="AE15" s="453" t="s">
        <v>340</v>
      </c>
      <c r="AF15" s="453" t="s">
        <v>340</v>
      </c>
      <c r="AG15" s="453" t="str">
        <f t="shared" si="3"/>
        <v/>
      </c>
      <c r="AH15" s="453" t="str">
        <f t="shared" si="4"/>
        <v/>
      </c>
      <c r="AI15" s="138">
        <f>IF(NOT(OR(Z15=1,Z15=2)),IF(AQ15&gt;0,$AR$44*AQ15/SUMIF($AQ$8:$AQ$39,"&gt;0"),IF(AU15&gt;0,$AV$44*AU15/SUMIF($AU$8:$AU$39,"&gt;0"),IF(AS15&gt;0,$AT$44*AS15/SUMIF($AS$8:$AS$39,"&gt;0"),""))),IF(SUMIF(AJ16:$AJ$39,"=" &amp; AJ15,AI16:$AI$39)=0,"",SUMIF(AJ16:$AJ$39,"=" &amp; AJ15,AI16:$AI$39)))</f>
        <v>0.2181818181818182</v>
      </c>
      <c r="AJ15" s="139">
        <f t="shared" si="34"/>
        <v>2</v>
      </c>
      <c r="AK15" s="453" t="str">
        <f t="shared" si="27"/>
        <v/>
      </c>
      <c r="AL15" s="146" t="str">
        <f t="shared" si="28"/>
        <v/>
      </c>
      <c r="AM15" s="146" t="str">
        <f t="shared" si="35"/>
        <v/>
      </c>
      <c r="AN15" s="146" t="str">
        <f t="shared" si="5"/>
        <v/>
      </c>
      <c r="AO15" s="146" t="str">
        <f t="shared" si="6"/>
        <v/>
      </c>
      <c r="AP15" s="453" t="str">
        <f t="shared" si="7"/>
        <v/>
      </c>
      <c r="AQ15" s="140">
        <f t="shared" si="29"/>
        <v>0</v>
      </c>
      <c r="AR15" s="141" t="str">
        <f t="shared" si="8"/>
        <v/>
      </c>
      <c r="AS15" s="142">
        <f t="shared" si="30"/>
        <v>0</v>
      </c>
      <c r="AT15" s="141" t="str">
        <f t="shared" si="9"/>
        <v/>
      </c>
      <c r="AU15" s="143">
        <f t="shared" si="10"/>
        <v>0</v>
      </c>
      <c r="AV15" s="144" t="str">
        <f t="shared" si="11"/>
        <v/>
      </c>
      <c r="AW15" s="143" t="b">
        <f t="shared" si="12"/>
        <v>0</v>
      </c>
      <c r="AX15" s="145" t="b">
        <f t="shared" si="13"/>
        <v>0</v>
      </c>
      <c r="AY15" s="143" t="b">
        <f t="shared" si="14"/>
        <v>0</v>
      </c>
      <c r="AZ15" s="145" t="b">
        <f t="shared" si="15"/>
        <v>0</v>
      </c>
      <c r="BA15" s="453" t="b">
        <f t="shared" si="16"/>
        <v>0</v>
      </c>
      <c r="BB15" s="453" t="b">
        <f t="shared" si="17"/>
        <v>0</v>
      </c>
      <c r="BC15" s="143" t="b">
        <f t="shared" si="18"/>
        <v>0</v>
      </c>
      <c r="BD15" s="146" t="b">
        <f t="shared" si="31"/>
        <v>0</v>
      </c>
      <c r="BE15" s="145" t="b">
        <f t="shared" si="19"/>
        <v>0</v>
      </c>
      <c r="BF15" s="147" t="b">
        <f t="shared" si="20"/>
        <v>0</v>
      </c>
      <c r="BG15" s="453" t="b">
        <f t="shared" si="21"/>
        <v>0</v>
      </c>
      <c r="BH15" s="453" t="str">
        <f t="shared" si="32"/>
        <v/>
      </c>
      <c r="BI15" s="453" t="str">
        <f t="shared" si="22"/>
        <v/>
      </c>
      <c r="BJ15" s="453" t="str">
        <f t="shared" si="23"/>
        <v/>
      </c>
      <c r="BK15" s="453" t="str">
        <f t="shared" si="24"/>
        <v/>
      </c>
      <c r="BL15" s="148" t="str">
        <f t="shared" si="33"/>
        <v/>
      </c>
      <c r="BM15" s="453" t="str">
        <f t="shared" si="25"/>
        <v/>
      </c>
      <c r="BN15" s="453" t="str">
        <f t="shared" si="26"/>
        <v/>
      </c>
      <c r="BO15" s="90"/>
    </row>
    <row r="16" spans="2:73" s="94" customFormat="1" ht="12.95" customHeight="1" x14ac:dyDescent="0.2">
      <c r="B16" s="151">
        <f>IF(ISNA(Z16),"",IF(OR(Z16=1,Z16=2),"    ",MAX($B$8:B15)+1))</f>
        <v>6</v>
      </c>
      <c r="C16" s="904" t="str">
        <f t="shared" si="0"/>
        <v xml:space="preserve">      - Mission Preparation (7.3%)</v>
      </c>
      <c r="D16" s="904"/>
      <c r="E16" s="904"/>
      <c r="F16" s="905"/>
      <c r="G16" s="133">
        <f t="shared" si="1"/>
        <v>1</v>
      </c>
      <c r="H16" s="134" t="str">
        <f t="shared" si="2"/>
        <v>2</v>
      </c>
      <c r="I16" s="152">
        <f t="shared" si="2"/>
        <v>3</v>
      </c>
      <c r="J16" s="158">
        <v>1</v>
      </c>
      <c r="K16" s="159">
        <v>3</v>
      </c>
      <c r="L16" s="961"/>
      <c r="M16" s="962"/>
      <c r="N16" s="962"/>
      <c r="O16" s="962"/>
      <c r="P16" s="962"/>
      <c r="Q16" s="962"/>
      <c r="R16" s="963"/>
      <c r="T16" s="99">
        <v>9</v>
      </c>
      <c r="U16" s="88" t="s">
        <v>498</v>
      </c>
      <c r="V16" s="453">
        <v>1</v>
      </c>
      <c r="W16" s="453">
        <v>1</v>
      </c>
      <c r="X16" s="453" t="s">
        <v>340</v>
      </c>
      <c r="Y16" s="453" t="s">
        <v>340</v>
      </c>
      <c r="Z16" s="146" t="s">
        <v>340</v>
      </c>
      <c r="AA16" s="146">
        <v>2</v>
      </c>
      <c r="AB16" s="146">
        <v>1</v>
      </c>
      <c r="AC16" s="453">
        <v>3</v>
      </c>
      <c r="AD16" s="453">
        <v>2</v>
      </c>
      <c r="AE16" s="453">
        <v>0</v>
      </c>
      <c r="AF16" s="453" t="b">
        <v>1</v>
      </c>
      <c r="AG16" s="453">
        <f t="shared" si="3"/>
        <v>3</v>
      </c>
      <c r="AH16" s="453">
        <f t="shared" si="4"/>
        <v>2</v>
      </c>
      <c r="AI16" s="138">
        <f>IF(NOT(OR(Z16=1,Z16=2)),IF(AQ16&gt;0,$AR$44*AQ16/SUMIF($AQ$8:$AQ$39,"&gt;0"),IF(AU16&gt;0,$AV$44*AU16/SUMIF($AU$8:$AU$39,"&gt;0"),IF(AS16&gt;0,$AT$44*AS16/SUMIF($AS$8:$AS$39,"&gt;0"),""))),IF(SUMIF(AJ17:$AJ$39,"=" &amp; AJ16,AI17:$AI$39)=0,"",SUMIF(AJ17:$AJ$39,"=" &amp; AJ16,AI17:$AI$39)))</f>
        <v>7.2727272727272738E-2</v>
      </c>
      <c r="AJ16" s="139">
        <f t="shared" si="34"/>
        <v>2</v>
      </c>
      <c r="AK16" s="453">
        <f t="shared" si="27"/>
        <v>2</v>
      </c>
      <c r="AL16" s="146">
        <f t="shared" si="28"/>
        <v>3</v>
      </c>
      <c r="AM16" s="146">
        <f t="shared" si="35"/>
        <v>1</v>
      </c>
      <c r="AN16" s="146" t="str">
        <f t="shared" si="5"/>
        <v/>
      </c>
      <c r="AO16" s="146" t="str">
        <f t="shared" si="6"/>
        <v/>
      </c>
      <c r="AP16" s="453" t="b">
        <f t="shared" si="7"/>
        <v>0</v>
      </c>
      <c r="AQ16" s="140">
        <f t="shared" si="29"/>
        <v>1</v>
      </c>
      <c r="AR16" s="141">
        <f t="shared" si="8"/>
        <v>0.9</v>
      </c>
      <c r="AS16" s="142">
        <f t="shared" si="30"/>
        <v>0</v>
      </c>
      <c r="AT16" s="141" t="str">
        <f t="shared" si="9"/>
        <v/>
      </c>
      <c r="AU16" s="143">
        <f t="shared" si="10"/>
        <v>0</v>
      </c>
      <c r="AV16" s="144">
        <f t="shared" si="11"/>
        <v>0.9</v>
      </c>
      <c r="AW16" s="143" t="b">
        <f t="shared" si="12"/>
        <v>0</v>
      </c>
      <c r="AX16" s="145" t="b">
        <f t="shared" si="13"/>
        <v>0</v>
      </c>
      <c r="AY16" s="143" t="b">
        <f t="shared" si="14"/>
        <v>0</v>
      </c>
      <c r="AZ16" s="145" t="b">
        <f t="shared" si="15"/>
        <v>0</v>
      </c>
      <c r="BA16" s="453" t="b">
        <f t="shared" si="16"/>
        <v>0</v>
      </c>
      <c r="BB16" s="453" t="b">
        <f t="shared" si="17"/>
        <v>0</v>
      </c>
      <c r="BC16" s="143" t="b">
        <f t="shared" si="18"/>
        <v>0</v>
      </c>
      <c r="BD16" s="146" t="b">
        <f t="shared" si="31"/>
        <v>0</v>
      </c>
      <c r="BE16" s="145" t="b">
        <f t="shared" si="19"/>
        <v>0</v>
      </c>
      <c r="BF16" s="147" t="b">
        <f t="shared" si="20"/>
        <v>0</v>
      </c>
      <c r="BG16" s="453" t="b">
        <f t="shared" si="21"/>
        <v>0</v>
      </c>
      <c r="BH16" s="453">
        <f t="shared" si="32"/>
        <v>1</v>
      </c>
      <c r="BI16" s="453">
        <f t="shared" si="22"/>
        <v>2</v>
      </c>
      <c r="BJ16" s="453" t="str">
        <f t="shared" si="23"/>
        <v>2</v>
      </c>
      <c r="BK16" s="453">
        <f t="shared" si="24"/>
        <v>3</v>
      </c>
      <c r="BL16" s="148">
        <f t="shared" si="33"/>
        <v>1</v>
      </c>
      <c r="BM16" s="453">
        <f t="shared" si="25"/>
        <v>2</v>
      </c>
      <c r="BN16" s="453">
        <f t="shared" si="26"/>
        <v>3</v>
      </c>
      <c r="BO16" s="155"/>
      <c r="BP16" s="160"/>
    </row>
    <row r="17" spans="2:73" s="94" customFormat="1" ht="12.95" customHeight="1" x14ac:dyDescent="0.2">
      <c r="B17" s="151">
        <f>IF(ISNA(Z17),"",IF(OR(Z17=1,Z17=2),"    ",MAX($B$8:B16)+1))</f>
        <v>7</v>
      </c>
      <c r="C17" s="904" t="str">
        <f t="shared" si="0"/>
        <v xml:space="preserve">      - SA/Adaptation (7.3%)</v>
      </c>
      <c r="D17" s="904"/>
      <c r="E17" s="904"/>
      <c r="F17" s="905"/>
      <c r="G17" s="133">
        <f t="shared" si="1"/>
        <v>1</v>
      </c>
      <c r="H17" s="134" t="str">
        <f t="shared" si="2"/>
        <v>2</v>
      </c>
      <c r="I17" s="152">
        <f t="shared" si="2"/>
        <v>3</v>
      </c>
      <c r="J17" s="158">
        <v>1</v>
      </c>
      <c r="K17" s="159">
        <v>4</v>
      </c>
      <c r="L17" s="961"/>
      <c r="M17" s="962"/>
      <c r="N17" s="962"/>
      <c r="O17" s="962"/>
      <c r="P17" s="962"/>
      <c r="Q17" s="962"/>
      <c r="R17" s="963"/>
      <c r="T17" s="99">
        <v>10</v>
      </c>
      <c r="U17" s="88" t="s">
        <v>552</v>
      </c>
      <c r="V17" s="453">
        <v>1</v>
      </c>
      <c r="W17" s="453">
        <v>1</v>
      </c>
      <c r="X17" s="453" t="s">
        <v>340</v>
      </c>
      <c r="Y17" s="453" t="s">
        <v>340</v>
      </c>
      <c r="Z17" s="146" t="s">
        <v>340</v>
      </c>
      <c r="AA17" s="146">
        <v>2</v>
      </c>
      <c r="AB17" s="146">
        <v>1</v>
      </c>
      <c r="AC17" s="453">
        <v>3</v>
      </c>
      <c r="AD17" s="453">
        <v>2</v>
      </c>
      <c r="AE17" s="453">
        <v>0</v>
      </c>
      <c r="AF17" s="453" t="b">
        <v>1</v>
      </c>
      <c r="AG17" s="453">
        <f t="shared" si="3"/>
        <v>3</v>
      </c>
      <c r="AH17" s="453">
        <f t="shared" si="4"/>
        <v>2</v>
      </c>
      <c r="AI17" s="138">
        <f>IF(NOT(OR(Z17=1,Z17=2)),IF(AQ17&gt;0,$AR$44*AQ17/SUMIF($AQ$8:$AQ$39,"&gt;0"),IF(AU17&gt;0,$AV$44*AU17/SUMIF($AU$8:$AU$39,"&gt;0"),IF(AS17&gt;0,$AT$44*AS17/SUMIF($AS$8:$AS$39,"&gt;0"),""))),IF(SUMIF(AJ18:$AJ$39,"=" &amp; AJ17,AI18:$AI$39)=0,"",SUMIF(AJ18:$AJ$39,"=" &amp; AJ17,AI18:$AI$39)))</f>
        <v>7.2727272727272738E-2</v>
      </c>
      <c r="AJ17" s="139">
        <f t="shared" si="34"/>
        <v>2</v>
      </c>
      <c r="AK17" s="453">
        <f t="shared" si="27"/>
        <v>2</v>
      </c>
      <c r="AL17" s="146">
        <f t="shared" si="28"/>
        <v>4</v>
      </c>
      <c r="AM17" s="146">
        <f t="shared" si="35"/>
        <v>1</v>
      </c>
      <c r="AN17" s="146" t="str">
        <f t="shared" si="5"/>
        <v/>
      </c>
      <c r="AO17" s="146" t="str">
        <f t="shared" si="6"/>
        <v/>
      </c>
      <c r="AP17" s="453" t="b">
        <f t="shared" si="7"/>
        <v>0</v>
      </c>
      <c r="AQ17" s="140">
        <f t="shared" si="29"/>
        <v>1</v>
      </c>
      <c r="AR17" s="141">
        <f t="shared" si="8"/>
        <v>1</v>
      </c>
      <c r="AS17" s="142">
        <f t="shared" si="30"/>
        <v>0</v>
      </c>
      <c r="AT17" s="141" t="str">
        <f t="shared" si="9"/>
        <v/>
      </c>
      <c r="AU17" s="143">
        <f t="shared" si="10"/>
        <v>0</v>
      </c>
      <c r="AV17" s="144">
        <f t="shared" si="11"/>
        <v>1</v>
      </c>
      <c r="AW17" s="143" t="b">
        <f t="shared" si="12"/>
        <v>0</v>
      </c>
      <c r="AX17" s="145" t="b">
        <f t="shared" si="13"/>
        <v>0</v>
      </c>
      <c r="AY17" s="143" t="b">
        <f t="shared" si="14"/>
        <v>0</v>
      </c>
      <c r="AZ17" s="145" t="b">
        <f t="shared" si="15"/>
        <v>0</v>
      </c>
      <c r="BA17" s="453" t="b">
        <f t="shared" si="16"/>
        <v>0</v>
      </c>
      <c r="BB17" s="453" t="b">
        <f t="shared" si="17"/>
        <v>0</v>
      </c>
      <c r="BC17" s="143" t="b">
        <f t="shared" si="18"/>
        <v>0</v>
      </c>
      <c r="BD17" s="146" t="b">
        <f t="shared" si="31"/>
        <v>0</v>
      </c>
      <c r="BE17" s="145" t="b">
        <f t="shared" si="19"/>
        <v>0</v>
      </c>
      <c r="BF17" s="147" t="b">
        <f t="shared" si="20"/>
        <v>0</v>
      </c>
      <c r="BG17" s="453" t="b">
        <f t="shared" si="21"/>
        <v>0</v>
      </c>
      <c r="BH17" s="453">
        <f t="shared" si="32"/>
        <v>1</v>
      </c>
      <c r="BI17" s="453">
        <f t="shared" si="22"/>
        <v>2</v>
      </c>
      <c r="BJ17" s="453" t="str">
        <f t="shared" si="23"/>
        <v>2</v>
      </c>
      <c r="BK17" s="453">
        <f t="shared" si="24"/>
        <v>3</v>
      </c>
      <c r="BL17" s="148">
        <f t="shared" si="33"/>
        <v>1</v>
      </c>
      <c r="BM17" s="453">
        <f t="shared" si="25"/>
        <v>2</v>
      </c>
      <c r="BN17" s="453">
        <f t="shared" si="26"/>
        <v>3</v>
      </c>
      <c r="BO17" s="90"/>
    </row>
    <row r="18" spans="2:73" s="94" customFormat="1" ht="12.95" customHeight="1" x14ac:dyDescent="0.2">
      <c r="B18" s="151">
        <f>IF(ISNA(Z18),"",IF(OR(Z18=1,Z18=2),"    ",MAX($B$8:B17)+1))</f>
        <v>8</v>
      </c>
      <c r="C18" s="904" t="str">
        <f t="shared" si="0"/>
        <v xml:space="preserve">      - Communication (7.3%)</v>
      </c>
      <c r="D18" s="904"/>
      <c r="E18" s="904"/>
      <c r="F18" s="905"/>
      <c r="G18" s="133">
        <f t="shared" si="1"/>
        <v>1</v>
      </c>
      <c r="H18" s="134" t="str">
        <f t="shared" si="2"/>
        <v>2</v>
      </c>
      <c r="I18" s="152">
        <f t="shared" si="2"/>
        <v>3</v>
      </c>
      <c r="J18" s="158">
        <v>1</v>
      </c>
      <c r="K18" s="159">
        <v>3</v>
      </c>
      <c r="L18" s="961"/>
      <c r="M18" s="962"/>
      <c r="N18" s="962"/>
      <c r="O18" s="962"/>
      <c r="P18" s="962"/>
      <c r="Q18" s="962"/>
      <c r="R18" s="963"/>
      <c r="T18" s="99">
        <v>11</v>
      </c>
      <c r="U18" s="88" t="s">
        <v>500</v>
      </c>
      <c r="V18" s="453">
        <v>1</v>
      </c>
      <c r="W18" s="453">
        <v>1</v>
      </c>
      <c r="X18" s="453" t="s">
        <v>340</v>
      </c>
      <c r="Y18" s="453" t="s">
        <v>340</v>
      </c>
      <c r="Z18" s="146" t="s">
        <v>340</v>
      </c>
      <c r="AA18" s="146">
        <v>2</v>
      </c>
      <c r="AB18" s="146">
        <v>1</v>
      </c>
      <c r="AC18" s="453">
        <v>3</v>
      </c>
      <c r="AD18" s="453">
        <v>2</v>
      </c>
      <c r="AE18" s="453">
        <v>0</v>
      </c>
      <c r="AF18" s="453" t="b">
        <v>1</v>
      </c>
      <c r="AG18" s="453">
        <f t="shared" si="3"/>
        <v>3</v>
      </c>
      <c r="AH18" s="453">
        <f t="shared" si="4"/>
        <v>2</v>
      </c>
      <c r="AI18" s="138">
        <f>IF(NOT(OR(Z18=1,Z18=2)),IF(AQ18&gt;0,$AR$44*AQ18/SUMIF($AQ$8:$AQ$39,"&gt;0"),IF(AU18&gt;0,$AV$44*AU18/SUMIF($AU$8:$AU$39,"&gt;0"),IF(AS18&gt;0,$AT$44*AS18/SUMIF($AS$8:$AS$39,"&gt;0"),""))),IF(SUMIF(AJ19:$AJ$39,"=" &amp; AJ18,AI19:$AI$39)=0,"",SUMIF(AJ19:$AJ$39,"=" &amp; AJ18,AI19:$AI$39)))</f>
        <v>7.2727272727272738E-2</v>
      </c>
      <c r="AJ18" s="139">
        <f t="shared" si="34"/>
        <v>2</v>
      </c>
      <c r="AK18" s="453">
        <f t="shared" si="27"/>
        <v>2</v>
      </c>
      <c r="AL18" s="146">
        <f t="shared" si="28"/>
        <v>3</v>
      </c>
      <c r="AM18" s="146">
        <f t="shared" si="35"/>
        <v>1</v>
      </c>
      <c r="AN18" s="146" t="str">
        <f t="shared" si="5"/>
        <v/>
      </c>
      <c r="AO18" s="146" t="str">
        <f t="shared" si="6"/>
        <v/>
      </c>
      <c r="AP18" s="453" t="b">
        <f t="shared" si="7"/>
        <v>0</v>
      </c>
      <c r="AQ18" s="140">
        <f t="shared" si="29"/>
        <v>1</v>
      </c>
      <c r="AR18" s="141">
        <f t="shared" si="8"/>
        <v>0.9</v>
      </c>
      <c r="AS18" s="142">
        <f t="shared" si="30"/>
        <v>0</v>
      </c>
      <c r="AT18" s="141" t="str">
        <f t="shared" si="9"/>
        <v/>
      </c>
      <c r="AU18" s="143">
        <f t="shared" si="10"/>
        <v>0</v>
      </c>
      <c r="AV18" s="144">
        <f t="shared" si="11"/>
        <v>0.9</v>
      </c>
      <c r="AW18" s="143" t="b">
        <f t="shared" si="12"/>
        <v>0</v>
      </c>
      <c r="AX18" s="145" t="b">
        <f t="shared" si="13"/>
        <v>0</v>
      </c>
      <c r="AY18" s="143" t="b">
        <f t="shared" si="14"/>
        <v>0</v>
      </c>
      <c r="AZ18" s="145" t="b">
        <f t="shared" si="15"/>
        <v>0</v>
      </c>
      <c r="BA18" s="453" t="b">
        <f t="shared" si="16"/>
        <v>0</v>
      </c>
      <c r="BB18" s="453" t="b">
        <f t="shared" si="17"/>
        <v>0</v>
      </c>
      <c r="BC18" s="143" t="b">
        <f t="shared" si="18"/>
        <v>0</v>
      </c>
      <c r="BD18" s="146" t="b">
        <f t="shared" si="31"/>
        <v>0</v>
      </c>
      <c r="BE18" s="145" t="b">
        <f t="shared" si="19"/>
        <v>0</v>
      </c>
      <c r="BF18" s="147" t="b">
        <f t="shared" si="20"/>
        <v>0</v>
      </c>
      <c r="BG18" s="453" t="b">
        <f t="shared" si="21"/>
        <v>0</v>
      </c>
      <c r="BH18" s="453">
        <f t="shared" si="32"/>
        <v>1</v>
      </c>
      <c r="BI18" s="453">
        <f t="shared" si="22"/>
        <v>2</v>
      </c>
      <c r="BJ18" s="453" t="str">
        <f t="shared" si="23"/>
        <v>2</v>
      </c>
      <c r="BK18" s="453">
        <f t="shared" si="24"/>
        <v>3</v>
      </c>
      <c r="BL18" s="148">
        <f t="shared" si="33"/>
        <v>1</v>
      </c>
      <c r="BM18" s="453">
        <f t="shared" si="25"/>
        <v>2</v>
      </c>
      <c r="BN18" s="453">
        <f t="shared" si="26"/>
        <v>3</v>
      </c>
      <c r="BO18" s="300"/>
      <c r="BP18" s="160" t="s">
        <v>355</v>
      </c>
      <c r="BQ18" s="161"/>
      <c r="BR18" s="161"/>
      <c r="BS18" s="161"/>
      <c r="BT18" s="161"/>
      <c r="BU18" s="161"/>
    </row>
    <row r="19" spans="2:73" s="94" customFormat="1" ht="12.95" customHeight="1" x14ac:dyDescent="0.2">
      <c r="B19" s="151" t="str">
        <f>IF(ISNA(Z19),"",IF(OR(Z19=1,Z19=2),"    ",MAX($B$8:B18)+1))</f>
        <v xml:space="preserve">    </v>
      </c>
      <c r="C19" s="904" t="str">
        <f t="shared" si="0"/>
        <v>Test Execution (58.2%)</v>
      </c>
      <c r="D19" s="904"/>
      <c r="E19" s="904"/>
      <c r="F19" s="905"/>
      <c r="G19" s="133" t="str">
        <f t="shared" si="1"/>
        <v/>
      </c>
      <c r="H19" s="134" t="str">
        <f t="shared" si="2"/>
        <v/>
      </c>
      <c r="I19" s="152" t="str">
        <f t="shared" si="2"/>
        <v/>
      </c>
      <c r="J19" s="158"/>
      <c r="K19" s="159"/>
      <c r="L19" s="961"/>
      <c r="M19" s="962"/>
      <c r="N19" s="962"/>
      <c r="O19" s="962"/>
      <c r="P19" s="962"/>
      <c r="Q19" s="962"/>
      <c r="R19" s="963"/>
      <c r="T19" s="99">
        <v>12</v>
      </c>
      <c r="U19" s="88" t="s">
        <v>623</v>
      </c>
      <c r="V19" s="453" t="s">
        <v>340</v>
      </c>
      <c r="W19" s="453" t="s">
        <v>340</v>
      </c>
      <c r="X19" s="453" t="s">
        <v>340</v>
      </c>
      <c r="Y19" s="453" t="s">
        <v>340</v>
      </c>
      <c r="Z19" s="146">
        <v>2</v>
      </c>
      <c r="AA19" s="146">
        <v>1</v>
      </c>
      <c r="AB19" s="146">
        <v>1</v>
      </c>
      <c r="AC19" s="453" t="s">
        <v>340</v>
      </c>
      <c r="AD19" s="453" t="s">
        <v>340</v>
      </c>
      <c r="AE19" s="453" t="s">
        <v>340</v>
      </c>
      <c r="AF19" s="453" t="s">
        <v>340</v>
      </c>
      <c r="AG19" s="453" t="str">
        <f t="shared" si="3"/>
        <v/>
      </c>
      <c r="AH19" s="453" t="str">
        <f t="shared" si="4"/>
        <v/>
      </c>
      <c r="AI19" s="138">
        <f>IF(NOT(OR(Z19=1,Z19=2)),IF(AQ19&gt;0,$AR$44*AQ19/SUMIF($AQ$8:$AQ$39,"&gt;0"),IF(AU19&gt;0,$AV$44*AU19/SUMIF($AU$8:$AU$39,"&gt;0"),IF(AS19&gt;0,$AT$44*AS19/SUMIF($AS$8:$AS$39,"&gt;0"),""))),IF(SUMIF(AJ20:$AJ$39,"=" &amp; AJ19,AI20:$AI$39)=0,"",SUMIF(AJ20:$AJ$39,"=" &amp; AJ19,AI20:$AI$39)))</f>
        <v>0.5818181818181819</v>
      </c>
      <c r="AJ19" s="139">
        <f t="shared" si="34"/>
        <v>3</v>
      </c>
      <c r="AK19" s="453" t="str">
        <f t="shared" si="27"/>
        <v/>
      </c>
      <c r="AL19" s="146" t="str">
        <f t="shared" si="28"/>
        <v/>
      </c>
      <c r="AM19" s="146" t="str">
        <f t="shared" si="35"/>
        <v/>
      </c>
      <c r="AN19" s="146" t="str">
        <f t="shared" si="5"/>
        <v/>
      </c>
      <c r="AO19" s="146" t="str">
        <f t="shared" si="6"/>
        <v/>
      </c>
      <c r="AP19" s="453" t="str">
        <f t="shared" si="7"/>
        <v/>
      </c>
      <c r="AQ19" s="140">
        <f t="shared" si="29"/>
        <v>0</v>
      </c>
      <c r="AR19" s="141" t="str">
        <f t="shared" si="8"/>
        <v/>
      </c>
      <c r="AS19" s="142">
        <f t="shared" si="30"/>
        <v>0</v>
      </c>
      <c r="AT19" s="141" t="str">
        <f t="shared" si="9"/>
        <v/>
      </c>
      <c r="AU19" s="143">
        <f t="shared" si="10"/>
        <v>0</v>
      </c>
      <c r="AV19" s="144" t="str">
        <f t="shared" si="11"/>
        <v/>
      </c>
      <c r="AW19" s="143" t="b">
        <f t="shared" si="12"/>
        <v>0</v>
      </c>
      <c r="AX19" s="145" t="b">
        <f t="shared" si="13"/>
        <v>0</v>
      </c>
      <c r="AY19" s="143" t="b">
        <f t="shared" si="14"/>
        <v>0</v>
      </c>
      <c r="AZ19" s="145" t="b">
        <f t="shared" si="15"/>
        <v>0</v>
      </c>
      <c r="BA19" s="453" t="b">
        <f t="shared" si="16"/>
        <v>0</v>
      </c>
      <c r="BB19" s="453" t="b">
        <f t="shared" si="17"/>
        <v>0</v>
      </c>
      <c r="BC19" s="143" t="b">
        <f t="shared" si="18"/>
        <v>0</v>
      </c>
      <c r="BD19" s="146" t="b">
        <f t="shared" si="31"/>
        <v>0</v>
      </c>
      <c r="BE19" s="145" t="b">
        <f t="shared" si="19"/>
        <v>0</v>
      </c>
      <c r="BF19" s="147" t="b">
        <f t="shared" si="20"/>
        <v>0</v>
      </c>
      <c r="BG19" s="453" t="b">
        <f t="shared" si="21"/>
        <v>0</v>
      </c>
      <c r="BH19" s="453" t="str">
        <f t="shared" si="32"/>
        <v/>
      </c>
      <c r="BI19" s="453" t="str">
        <f t="shared" si="22"/>
        <v/>
      </c>
      <c r="BJ19" s="453" t="str">
        <f t="shared" si="23"/>
        <v/>
      </c>
      <c r="BK19" s="453" t="str">
        <f t="shared" si="24"/>
        <v/>
      </c>
      <c r="BL19" s="148" t="str">
        <f t="shared" si="33"/>
        <v/>
      </c>
      <c r="BM19" s="453" t="str">
        <f t="shared" si="25"/>
        <v/>
      </c>
      <c r="BN19" s="453" t="str">
        <f t="shared" si="26"/>
        <v/>
      </c>
      <c r="BO19" s="300"/>
      <c r="BP19" s="150"/>
      <c r="BQ19" s="935" t="s">
        <v>356</v>
      </c>
      <c r="BR19" s="935"/>
      <c r="BS19" s="935"/>
      <c r="BT19" s="935"/>
      <c r="BU19" s="935"/>
    </row>
    <row r="20" spans="2:73" s="94" customFormat="1" ht="12.95" customHeight="1" x14ac:dyDescent="0.2">
      <c r="B20" s="151">
        <f>IF(ISNA(Z20),"",IF(OR(Z20=1,Z20=2),"    ",MAX($B$8:B19)+1))</f>
        <v>9</v>
      </c>
      <c r="C20" s="904" t="str">
        <f t="shared" si="0"/>
        <v xml:space="preserve">      - Performance Ground Block (7.3%)</v>
      </c>
      <c r="D20" s="904"/>
      <c r="E20" s="904"/>
      <c r="F20" s="905"/>
      <c r="G20" s="133">
        <f t="shared" si="1"/>
        <v>1</v>
      </c>
      <c r="H20" s="134" t="str">
        <f t="shared" si="2"/>
        <v>1</v>
      </c>
      <c r="I20" s="152">
        <f t="shared" si="2"/>
        <v>3</v>
      </c>
      <c r="J20" s="158">
        <v>1</v>
      </c>
      <c r="K20" s="159">
        <v>4</v>
      </c>
      <c r="L20" s="961"/>
      <c r="M20" s="962"/>
      <c r="N20" s="962"/>
      <c r="O20" s="962"/>
      <c r="P20" s="962"/>
      <c r="Q20" s="962"/>
      <c r="R20" s="963"/>
      <c r="T20" s="99">
        <v>13</v>
      </c>
      <c r="U20" s="88" t="s">
        <v>725</v>
      </c>
      <c r="V20" s="453">
        <v>1</v>
      </c>
      <c r="W20" s="453">
        <v>1</v>
      </c>
      <c r="X20" s="453" t="s">
        <v>340</v>
      </c>
      <c r="Y20" s="453" t="s">
        <v>340</v>
      </c>
      <c r="Z20" s="146" t="s">
        <v>340</v>
      </c>
      <c r="AA20" s="146">
        <v>2</v>
      </c>
      <c r="AB20" s="146">
        <v>1</v>
      </c>
      <c r="AC20" s="453">
        <v>3</v>
      </c>
      <c r="AD20" s="453">
        <v>1</v>
      </c>
      <c r="AE20" s="453">
        <v>0</v>
      </c>
      <c r="AF20" s="453" t="b">
        <v>1</v>
      </c>
      <c r="AG20" s="453">
        <f t="shared" si="3"/>
        <v>3</v>
      </c>
      <c r="AH20" s="453">
        <f t="shared" si="4"/>
        <v>2</v>
      </c>
      <c r="AI20" s="138">
        <f>IF(NOT(OR(Z20=1,Z20=2)),IF(AQ20&gt;0,$AR$44*AQ20/SUMIF($AQ$8:$AQ$39,"&gt;0"),IF(AU20&gt;0,$AV$44*AU20/SUMIF($AU$8:$AU$39,"&gt;0"),IF(AS20&gt;0,$AT$44*AS20/SUMIF($AS$8:$AS$39,"&gt;0"),""))),IF(SUMIF(AJ21:$AJ$39,"=" &amp; AJ20,AI21:$AI$39)=0,"",SUMIF(AJ21:$AJ$39,"=" &amp; AJ20,AI21:$AI$39)))</f>
        <v>7.2727272727272738E-2</v>
      </c>
      <c r="AJ20" s="139">
        <f t="shared" si="34"/>
        <v>3</v>
      </c>
      <c r="AK20" s="453">
        <f t="shared" si="27"/>
        <v>1</v>
      </c>
      <c r="AL20" s="146">
        <f t="shared" si="28"/>
        <v>4</v>
      </c>
      <c r="AM20" s="146">
        <f t="shared" si="35"/>
        <v>1</v>
      </c>
      <c r="AN20" s="146" t="str">
        <f t="shared" si="5"/>
        <v/>
      </c>
      <c r="AO20" s="146" t="str">
        <f t="shared" si="6"/>
        <v/>
      </c>
      <c r="AP20" s="453" t="b">
        <f t="shared" si="7"/>
        <v>0</v>
      </c>
      <c r="AQ20" s="140">
        <f t="shared" si="29"/>
        <v>1</v>
      </c>
      <c r="AR20" s="141">
        <f t="shared" si="8"/>
        <v>1</v>
      </c>
      <c r="AS20" s="142">
        <f t="shared" si="30"/>
        <v>0</v>
      </c>
      <c r="AT20" s="141" t="str">
        <f t="shared" si="9"/>
        <v/>
      </c>
      <c r="AU20" s="143">
        <f t="shared" si="10"/>
        <v>0</v>
      </c>
      <c r="AV20" s="144">
        <f t="shared" si="11"/>
        <v>1</v>
      </c>
      <c r="AW20" s="143" t="b">
        <f t="shared" si="12"/>
        <v>0</v>
      </c>
      <c r="AX20" s="145" t="b">
        <f t="shared" si="13"/>
        <v>0</v>
      </c>
      <c r="AY20" s="143" t="b">
        <f t="shared" si="14"/>
        <v>0</v>
      </c>
      <c r="AZ20" s="145" t="b">
        <f t="shared" si="15"/>
        <v>0</v>
      </c>
      <c r="BA20" s="453" t="b">
        <f t="shared" si="16"/>
        <v>0</v>
      </c>
      <c r="BB20" s="453" t="b">
        <f t="shared" si="17"/>
        <v>0</v>
      </c>
      <c r="BC20" s="143" t="b">
        <f t="shared" si="18"/>
        <v>0</v>
      </c>
      <c r="BD20" s="146" t="b">
        <f t="shared" si="31"/>
        <v>0</v>
      </c>
      <c r="BE20" s="145" t="b">
        <f t="shared" si="19"/>
        <v>0</v>
      </c>
      <c r="BF20" s="147" t="b">
        <f t="shared" si="20"/>
        <v>0</v>
      </c>
      <c r="BG20" s="453" t="b">
        <f t="shared" si="21"/>
        <v>0</v>
      </c>
      <c r="BH20" s="453">
        <f t="shared" si="32"/>
        <v>1</v>
      </c>
      <c r="BI20" s="453">
        <f t="shared" si="22"/>
        <v>1</v>
      </c>
      <c r="BJ20" s="453" t="str">
        <f t="shared" si="23"/>
        <v>1</v>
      </c>
      <c r="BK20" s="453">
        <f t="shared" si="24"/>
        <v>3</v>
      </c>
      <c r="BL20" s="148">
        <f t="shared" si="33"/>
        <v>1</v>
      </c>
      <c r="BM20" s="453">
        <f t="shared" si="25"/>
        <v>1</v>
      </c>
      <c r="BN20" s="453">
        <f t="shared" si="26"/>
        <v>3</v>
      </c>
      <c r="BO20" s="300"/>
      <c r="BP20" s="300"/>
      <c r="BQ20" s="300">
        <v>0</v>
      </c>
      <c r="BR20" s="300">
        <v>1</v>
      </c>
      <c r="BS20" s="300">
        <v>2</v>
      </c>
      <c r="BT20" s="300">
        <v>3</v>
      </c>
      <c r="BU20" s="300">
        <v>4</v>
      </c>
    </row>
    <row r="21" spans="2:73" s="94" customFormat="1" ht="12.95" customHeight="1" x14ac:dyDescent="0.2">
      <c r="B21" s="151">
        <f>IF(ISNA(Z21),"",IF(OR(Z21=1,Z21=2),"    ",MAX($B$8:B20)+1))</f>
        <v>10</v>
      </c>
      <c r="C21" s="904" t="str">
        <f t="shared" si="0"/>
        <v xml:space="preserve">      - Takeoff Data Collection (7.3%)</v>
      </c>
      <c r="D21" s="904"/>
      <c r="E21" s="904"/>
      <c r="F21" s="905"/>
      <c r="G21" s="133">
        <f t="shared" si="1"/>
        <v>1</v>
      </c>
      <c r="H21" s="134" t="str">
        <f t="shared" si="2"/>
        <v>1</v>
      </c>
      <c r="I21" s="152">
        <f t="shared" si="2"/>
        <v>2</v>
      </c>
      <c r="J21" s="158">
        <v>1</v>
      </c>
      <c r="K21" s="159">
        <v>2</v>
      </c>
      <c r="L21" s="961"/>
      <c r="M21" s="962"/>
      <c r="N21" s="962"/>
      <c r="O21" s="962"/>
      <c r="P21" s="962"/>
      <c r="Q21" s="962"/>
      <c r="R21" s="963"/>
      <c r="T21" s="99">
        <v>14</v>
      </c>
      <c r="U21" s="88" t="s">
        <v>726</v>
      </c>
      <c r="V21" s="453">
        <v>1</v>
      </c>
      <c r="W21" s="453">
        <v>1</v>
      </c>
      <c r="X21" s="453" t="s">
        <v>340</v>
      </c>
      <c r="Y21" s="453" t="s">
        <v>340</v>
      </c>
      <c r="Z21" s="146" t="s">
        <v>340</v>
      </c>
      <c r="AA21" s="146">
        <v>2</v>
      </c>
      <c r="AB21" s="146">
        <v>1</v>
      </c>
      <c r="AC21" s="453">
        <v>2</v>
      </c>
      <c r="AD21" s="453">
        <v>1</v>
      </c>
      <c r="AE21" s="453">
        <v>0</v>
      </c>
      <c r="AF21" s="453" t="b">
        <v>1</v>
      </c>
      <c r="AG21" s="453">
        <f t="shared" si="3"/>
        <v>2</v>
      </c>
      <c r="AH21" s="453">
        <f t="shared" si="4"/>
        <v>1</v>
      </c>
      <c r="AI21" s="138">
        <f>IF(NOT(OR(Z21=1,Z21=2)),IF(AQ21&gt;0,$AR$44*AQ21/SUMIF($AQ$8:$AQ$39,"&gt;0"),IF(AU21&gt;0,$AV$44*AU21/SUMIF($AU$8:$AU$39,"&gt;0"),IF(AS21&gt;0,$AT$44*AS21/SUMIF($AS$8:$AS$39,"&gt;0"),""))),IF(SUMIF(AJ22:$AJ$39,"=" &amp; AJ21,AI22:$AI$39)=0,"",SUMIF(AJ22:$AJ$39,"=" &amp; AJ21,AI22:$AI$39)))</f>
        <v>7.2727272727272738E-2</v>
      </c>
      <c r="AJ21" s="139">
        <f t="shared" si="34"/>
        <v>3</v>
      </c>
      <c r="AK21" s="453">
        <f t="shared" si="27"/>
        <v>1</v>
      </c>
      <c r="AL21" s="146">
        <f t="shared" si="28"/>
        <v>2</v>
      </c>
      <c r="AM21" s="146">
        <f t="shared" si="35"/>
        <v>1</v>
      </c>
      <c r="AN21" s="146" t="str">
        <f t="shared" si="5"/>
        <v/>
      </c>
      <c r="AO21" s="146" t="str">
        <f t="shared" si="6"/>
        <v/>
      </c>
      <c r="AP21" s="453" t="b">
        <f t="shared" si="7"/>
        <v>0</v>
      </c>
      <c r="AQ21" s="140">
        <f t="shared" si="29"/>
        <v>1</v>
      </c>
      <c r="AR21" s="141">
        <f t="shared" si="8"/>
        <v>0.9</v>
      </c>
      <c r="AS21" s="142">
        <f t="shared" si="30"/>
        <v>0</v>
      </c>
      <c r="AT21" s="141" t="str">
        <f t="shared" si="9"/>
        <v/>
      </c>
      <c r="AU21" s="143">
        <f t="shared" si="10"/>
        <v>0</v>
      </c>
      <c r="AV21" s="144">
        <f t="shared" si="11"/>
        <v>0.9</v>
      </c>
      <c r="AW21" s="143" t="b">
        <f t="shared" si="12"/>
        <v>0</v>
      </c>
      <c r="AX21" s="145" t="b">
        <f t="shared" si="13"/>
        <v>0</v>
      </c>
      <c r="AY21" s="143" t="b">
        <f t="shared" si="14"/>
        <v>0</v>
      </c>
      <c r="AZ21" s="145" t="b">
        <f t="shared" si="15"/>
        <v>0</v>
      </c>
      <c r="BA21" s="453" t="b">
        <f t="shared" si="16"/>
        <v>0</v>
      </c>
      <c r="BB21" s="453" t="b">
        <f t="shared" si="17"/>
        <v>0</v>
      </c>
      <c r="BC21" s="143" t="b">
        <f t="shared" si="18"/>
        <v>0</v>
      </c>
      <c r="BD21" s="146" t="b">
        <f t="shared" si="31"/>
        <v>0</v>
      </c>
      <c r="BE21" s="145" t="b">
        <f t="shared" si="19"/>
        <v>0</v>
      </c>
      <c r="BF21" s="147" t="b">
        <f t="shared" si="20"/>
        <v>0</v>
      </c>
      <c r="BG21" s="453" t="b">
        <f t="shared" si="21"/>
        <v>0</v>
      </c>
      <c r="BH21" s="453">
        <f t="shared" si="32"/>
        <v>1</v>
      </c>
      <c r="BI21" s="453">
        <f t="shared" si="22"/>
        <v>1</v>
      </c>
      <c r="BJ21" s="453" t="str">
        <f t="shared" si="23"/>
        <v>1</v>
      </c>
      <c r="BK21" s="453">
        <f t="shared" si="24"/>
        <v>2</v>
      </c>
      <c r="BL21" s="148">
        <f t="shared" si="33"/>
        <v>1</v>
      </c>
      <c r="BM21" s="453">
        <f t="shared" si="25"/>
        <v>1</v>
      </c>
      <c r="BN21" s="453">
        <f t="shared" si="26"/>
        <v>2</v>
      </c>
      <c r="BO21" s="936" t="s">
        <v>358</v>
      </c>
      <c r="BP21" s="300" t="s">
        <v>359</v>
      </c>
      <c r="BQ21" s="162">
        <f t="shared" ref="BQ21:BU29" si="36">AR50</f>
        <v>0.7</v>
      </c>
      <c r="BR21" s="163">
        <f t="shared" si="36"/>
        <v>0.9</v>
      </c>
      <c r="BS21" s="163">
        <f t="shared" si="36"/>
        <v>0.93330000000000002</v>
      </c>
      <c r="BT21" s="163">
        <f t="shared" si="36"/>
        <v>0.9667</v>
      </c>
      <c r="BU21" s="164">
        <f t="shared" si="36"/>
        <v>1</v>
      </c>
    </row>
    <row r="22" spans="2:73" s="94" customFormat="1" ht="12.95" customHeight="1" x14ac:dyDescent="0.2">
      <c r="B22" s="151">
        <f>IF(ISNA(Z22),"",IF(OR(Z22=1,Z22=2),"    ",MAX($B$8:B21)+1))</f>
        <v>11</v>
      </c>
      <c r="C22" s="904" t="str">
        <f t="shared" si="0"/>
        <v xml:space="preserve">      - TFB IP Demo 300 KIAS</v>
      </c>
      <c r="D22" s="904"/>
      <c r="E22" s="904"/>
      <c r="F22" s="905"/>
      <c r="G22" s="133">
        <f t="shared" si="1"/>
        <v>1</v>
      </c>
      <c r="H22" s="134" t="str">
        <f t="shared" si="2"/>
        <v>NG</v>
      </c>
      <c r="I22" s="152" t="str">
        <f t="shared" si="2"/>
        <v/>
      </c>
      <c r="J22" s="158">
        <v>1</v>
      </c>
      <c r="K22" s="159" t="s">
        <v>343</v>
      </c>
      <c r="L22" s="961"/>
      <c r="M22" s="962"/>
      <c r="N22" s="962"/>
      <c r="O22" s="962"/>
      <c r="P22" s="962"/>
      <c r="Q22" s="962"/>
      <c r="R22" s="963"/>
      <c r="T22" s="99">
        <v>15</v>
      </c>
      <c r="U22" s="88" t="s">
        <v>727</v>
      </c>
      <c r="V22" s="453">
        <v>1</v>
      </c>
      <c r="W22" s="453" t="s">
        <v>340</v>
      </c>
      <c r="X22" s="453" t="s">
        <v>340</v>
      </c>
      <c r="Y22" s="453" t="s">
        <v>340</v>
      </c>
      <c r="Z22" s="146" t="s">
        <v>340</v>
      </c>
      <c r="AA22" s="146">
        <v>2</v>
      </c>
      <c r="AB22" s="146">
        <v>1</v>
      </c>
      <c r="AC22" s="453" t="s">
        <v>340</v>
      </c>
      <c r="AD22" s="453" t="s">
        <v>357</v>
      </c>
      <c r="AE22" s="453" t="s">
        <v>340</v>
      </c>
      <c r="AF22" s="453" t="b">
        <v>1</v>
      </c>
      <c r="AG22" s="453" t="str">
        <f t="shared" si="3"/>
        <v/>
      </c>
      <c r="AH22" s="453" t="str">
        <f t="shared" si="4"/>
        <v/>
      </c>
      <c r="AI22" s="138" t="str">
        <f>IF(NOT(OR(Z22=1,Z22=2)),IF(AQ22&gt;0,$AR$44*AQ22/SUMIF($AQ$8:$AQ$39,"&gt;0"),IF(AU22&gt;0,$AV$44*AU22/SUMIF($AU$8:$AU$39,"&gt;0"),IF(AS22&gt;0,$AT$44*AS22/SUMIF($AS$8:$AS$39,"&gt;0"),""))),IF(SUMIF(AJ23:$AJ$39,"=" &amp; AJ22,AI23:$AI$39)=0,"",SUMIF(AJ23:$AJ$39,"=" &amp; AJ22,AI23:$AI$39)))</f>
        <v/>
      </c>
      <c r="AJ22" s="139">
        <f t="shared" si="34"/>
        <v>3</v>
      </c>
      <c r="AK22" s="453" t="str">
        <f t="shared" si="27"/>
        <v>NG</v>
      </c>
      <c r="AL22" s="146" t="str">
        <f t="shared" si="28"/>
        <v>D</v>
      </c>
      <c r="AM22" s="146" t="str">
        <f t="shared" si="35"/>
        <v/>
      </c>
      <c r="AN22" s="146" t="str">
        <f t="shared" si="5"/>
        <v/>
      </c>
      <c r="AO22" s="146" t="str">
        <f t="shared" si="6"/>
        <v/>
      </c>
      <c r="AP22" s="453" t="str">
        <f t="shared" si="7"/>
        <v/>
      </c>
      <c r="AQ22" s="140">
        <f t="shared" si="29"/>
        <v>0</v>
      </c>
      <c r="AR22" s="141" t="str">
        <f t="shared" si="8"/>
        <v/>
      </c>
      <c r="AS22" s="142">
        <f t="shared" si="30"/>
        <v>0</v>
      </c>
      <c r="AT22" s="141" t="str">
        <f t="shared" si="9"/>
        <v/>
      </c>
      <c r="AU22" s="143">
        <f t="shared" si="10"/>
        <v>0</v>
      </c>
      <c r="AV22" s="144" t="str">
        <f t="shared" si="11"/>
        <v/>
      </c>
      <c r="AW22" s="143" t="b">
        <f t="shared" si="12"/>
        <v>0</v>
      </c>
      <c r="AX22" s="145" t="b">
        <f t="shared" si="13"/>
        <v>0</v>
      </c>
      <c r="AY22" s="143" t="b">
        <f t="shared" si="14"/>
        <v>0</v>
      </c>
      <c r="AZ22" s="145" t="b">
        <f t="shared" si="15"/>
        <v>0</v>
      </c>
      <c r="BA22" s="453" t="b">
        <f t="shared" si="16"/>
        <v>0</v>
      </c>
      <c r="BB22" s="453" t="b">
        <f t="shared" si="17"/>
        <v>0</v>
      </c>
      <c r="BC22" s="143" t="b">
        <f t="shared" si="18"/>
        <v>0</v>
      </c>
      <c r="BD22" s="146" t="b">
        <f t="shared" si="31"/>
        <v>0</v>
      </c>
      <c r="BE22" s="145" t="b">
        <f>IF(OR(ISNA($Z22),K22&lt;&gt;"D"),FALSE,IF(OR(AND(H22="NG",J22=0),AND(H22&lt;&gt;"NG",NOT(OR(J22="NA",J22=0)))),TRUE,FALSE))</f>
        <v>0</v>
      </c>
      <c r="BF22" s="147" t="b">
        <f t="shared" si="20"/>
        <v>0</v>
      </c>
      <c r="BG22" s="453" t="b">
        <f>IF(ISNA($Z22),"NA",IF(OR(AZ22,AY22,AX22,AW22,AP22,BA22,BB22),TRUE,FALSE))</f>
        <v>0</v>
      </c>
      <c r="BH22" s="453">
        <f t="shared" si="32"/>
        <v>1</v>
      </c>
      <c r="BI22" s="453" t="str">
        <f t="shared" si="22"/>
        <v>NG</v>
      </c>
      <c r="BJ22" s="453" t="str">
        <f t="shared" si="23"/>
        <v>NG</v>
      </c>
      <c r="BK22" s="453" t="str">
        <f t="shared" si="24"/>
        <v/>
      </c>
      <c r="BL22" s="148">
        <f t="shared" si="33"/>
        <v>1</v>
      </c>
      <c r="BM22" s="453" t="str">
        <f t="shared" si="25"/>
        <v>D</v>
      </c>
      <c r="BN22" s="453" t="str">
        <f t="shared" si="26"/>
        <v>D</v>
      </c>
      <c r="BO22" s="936"/>
      <c r="BP22" s="300" t="s">
        <v>360</v>
      </c>
      <c r="BQ22" s="165">
        <f t="shared" si="36"/>
        <v>0.7</v>
      </c>
      <c r="BR22" s="166">
        <f t="shared" si="36"/>
        <v>0.8</v>
      </c>
      <c r="BS22" s="166">
        <f t="shared" si="36"/>
        <v>0.9</v>
      </c>
      <c r="BT22" s="166">
        <f t="shared" si="36"/>
        <v>0.95</v>
      </c>
      <c r="BU22" s="167">
        <f t="shared" si="36"/>
        <v>1</v>
      </c>
    </row>
    <row r="23" spans="2:73" s="94" customFormat="1" ht="12.95" customHeight="1" x14ac:dyDescent="0.2">
      <c r="B23" s="151">
        <f>IF(ISNA(Z23),"",IF(OR(Z23=1,Z23=2),"    ",MAX($B$8:B22)+1))</f>
        <v>12</v>
      </c>
      <c r="C23" s="904" t="str">
        <f t="shared" si="0"/>
        <v xml:space="preserve">      - TFBs Student Data (29.1%)</v>
      </c>
      <c r="D23" s="904"/>
      <c r="E23" s="904"/>
      <c r="F23" s="905"/>
      <c r="G23" s="133">
        <f t="shared" si="1"/>
        <v>4</v>
      </c>
      <c r="H23" s="134" t="str">
        <f t="shared" si="2"/>
        <v>2</v>
      </c>
      <c r="I23" s="152">
        <f t="shared" si="2"/>
        <v>3</v>
      </c>
      <c r="J23" s="158">
        <v>15</v>
      </c>
      <c r="K23" s="159">
        <v>4</v>
      </c>
      <c r="L23" s="961"/>
      <c r="M23" s="962"/>
      <c r="N23" s="962"/>
      <c r="O23" s="962"/>
      <c r="P23" s="962"/>
      <c r="Q23" s="962"/>
      <c r="R23" s="963"/>
      <c r="T23" s="99">
        <v>16</v>
      </c>
      <c r="U23" s="88" t="s">
        <v>728</v>
      </c>
      <c r="V23" s="453">
        <v>4</v>
      </c>
      <c r="W23" s="453">
        <v>4</v>
      </c>
      <c r="X23" s="453" t="s">
        <v>340</v>
      </c>
      <c r="Y23" s="453" t="s">
        <v>340</v>
      </c>
      <c r="Z23" s="146" t="s">
        <v>340</v>
      </c>
      <c r="AA23" s="146">
        <v>2</v>
      </c>
      <c r="AB23" s="146">
        <v>1</v>
      </c>
      <c r="AC23" s="453">
        <v>3</v>
      </c>
      <c r="AD23" s="453">
        <v>2</v>
      </c>
      <c r="AE23" s="453">
        <v>0</v>
      </c>
      <c r="AF23" s="453" t="b">
        <v>1</v>
      </c>
      <c r="AG23" s="453">
        <f t="shared" si="3"/>
        <v>3</v>
      </c>
      <c r="AH23" s="453">
        <f t="shared" si="4"/>
        <v>2</v>
      </c>
      <c r="AI23" s="138">
        <f>IF(NOT(OR(Z23=1,Z23=2)),IF(AQ23&gt;0,$AR$44*AQ23/SUMIF($AQ$8:$AQ$39,"&gt;0"),IF(AU23&gt;0,$AV$44*AU23/SUMIF($AU$8:$AU$39,"&gt;0"),IF(AS23&gt;0,$AT$44*AS23/SUMIF($AS$8:$AS$39,"&gt;0"),""))),IF(SUMIF(AJ24:$AJ$39,"=" &amp; AJ23,AI24:$AI$39)=0,"",SUMIF(AJ24:$AJ$39,"=" &amp; AJ23,AI24:$AI$39)))</f>
        <v>0.29090909090909095</v>
      </c>
      <c r="AJ23" s="139">
        <f t="shared" si="34"/>
        <v>3</v>
      </c>
      <c r="AK23" s="453">
        <f t="shared" si="27"/>
        <v>2</v>
      </c>
      <c r="AL23" s="146">
        <f t="shared" si="28"/>
        <v>4</v>
      </c>
      <c r="AM23" s="146">
        <f t="shared" si="35"/>
        <v>1</v>
      </c>
      <c r="AN23" s="146" t="str">
        <f t="shared" si="5"/>
        <v/>
      </c>
      <c r="AO23" s="146" t="str">
        <f t="shared" si="6"/>
        <v/>
      </c>
      <c r="AP23" s="453" t="b">
        <f t="shared" si="7"/>
        <v>0</v>
      </c>
      <c r="AQ23" s="140">
        <f t="shared" si="29"/>
        <v>4</v>
      </c>
      <c r="AR23" s="141">
        <f t="shared" si="8"/>
        <v>1</v>
      </c>
      <c r="AS23" s="142">
        <f t="shared" si="30"/>
        <v>0</v>
      </c>
      <c r="AT23" s="141" t="str">
        <f t="shared" si="9"/>
        <v/>
      </c>
      <c r="AU23" s="143">
        <f t="shared" si="10"/>
        <v>0</v>
      </c>
      <c r="AV23" s="144">
        <f t="shared" si="11"/>
        <v>1</v>
      </c>
      <c r="AW23" s="143" t="b">
        <f t="shared" si="12"/>
        <v>0</v>
      </c>
      <c r="AX23" s="145" t="b">
        <f t="shared" si="13"/>
        <v>0</v>
      </c>
      <c r="AY23" s="143" t="b">
        <f t="shared" si="14"/>
        <v>0</v>
      </c>
      <c r="AZ23" s="145" t="b">
        <f t="shared" si="15"/>
        <v>0</v>
      </c>
      <c r="BA23" s="453" t="b">
        <f t="shared" si="16"/>
        <v>0</v>
      </c>
      <c r="BB23" s="453" t="b">
        <f t="shared" si="17"/>
        <v>0</v>
      </c>
      <c r="BC23" s="143" t="b">
        <f t="shared" si="18"/>
        <v>0</v>
      </c>
      <c r="BD23" s="146" t="b">
        <f t="shared" si="31"/>
        <v>0</v>
      </c>
      <c r="BE23" s="145" t="b">
        <f t="shared" ref="BE23:BE39" si="37">IF(OR(ISNA($Z23),K23&lt;&gt;"D"),FALSE,IF(OR(AND(H23="NG",J23=0),AND(H23&lt;&gt;"NG",NOT(OR(J23="NA",J23=0)))),TRUE,FALSE))</f>
        <v>0</v>
      </c>
      <c r="BF23" s="147" t="b">
        <f t="shared" si="20"/>
        <v>0</v>
      </c>
      <c r="BG23" s="453" t="b">
        <f t="shared" ref="BG23:BG39" si="38">IF(ISNA($Z23),"NA",IF(OR(AZ23,AY23,AX23,AW23,AP23,BA23,BB23),TRUE,FALSE))</f>
        <v>0</v>
      </c>
      <c r="BH23" s="453">
        <f t="shared" si="32"/>
        <v>4</v>
      </c>
      <c r="BI23" s="453">
        <f t="shared" si="22"/>
        <v>2</v>
      </c>
      <c r="BJ23" s="453" t="str">
        <f t="shared" si="23"/>
        <v>2</v>
      </c>
      <c r="BK23" s="453">
        <f t="shared" si="24"/>
        <v>3</v>
      </c>
      <c r="BL23" s="148">
        <f t="shared" si="33"/>
        <v>4</v>
      </c>
      <c r="BM23" s="453">
        <f t="shared" si="25"/>
        <v>2</v>
      </c>
      <c r="BN23" s="453">
        <f t="shared" si="26"/>
        <v>3</v>
      </c>
      <c r="BO23" s="936"/>
      <c r="BP23" s="300" t="s">
        <v>361</v>
      </c>
      <c r="BQ23" s="165">
        <f t="shared" si="36"/>
        <v>0.7</v>
      </c>
      <c r="BR23" s="166">
        <f t="shared" si="36"/>
        <v>0.76670000000000005</v>
      </c>
      <c r="BS23" s="166">
        <f t="shared" si="36"/>
        <v>0.83330000000000004</v>
      </c>
      <c r="BT23" s="166">
        <f t="shared" si="36"/>
        <v>0.9</v>
      </c>
      <c r="BU23" s="167">
        <f t="shared" si="36"/>
        <v>1</v>
      </c>
    </row>
    <row r="24" spans="2:73" s="94" customFormat="1" ht="12.95" customHeight="1" x14ac:dyDescent="0.2">
      <c r="B24" s="151">
        <f>IF(ISNA(Z24),"",IF(OR(Z24=1,Z24=2),"    ",MAX($B$8:B23)+1))</f>
        <v>13</v>
      </c>
      <c r="C24" s="904" t="str">
        <f t="shared" si="0"/>
        <v xml:space="preserve">      - Spot Landing (7.3%)</v>
      </c>
      <c r="D24" s="904"/>
      <c r="E24" s="904"/>
      <c r="F24" s="905"/>
      <c r="G24" s="133">
        <f t="shared" si="1"/>
        <v>1</v>
      </c>
      <c r="H24" s="134" t="str">
        <f t="shared" si="2"/>
        <v>1</v>
      </c>
      <c r="I24" s="152">
        <f t="shared" si="2"/>
        <v>2</v>
      </c>
      <c r="J24" s="158">
        <v>1</v>
      </c>
      <c r="K24" s="159">
        <v>4</v>
      </c>
      <c r="L24" s="961"/>
      <c r="M24" s="962"/>
      <c r="N24" s="962"/>
      <c r="O24" s="962"/>
      <c r="P24" s="962"/>
      <c r="Q24" s="962"/>
      <c r="R24" s="963"/>
      <c r="T24" s="99">
        <v>17</v>
      </c>
      <c r="U24" s="88" t="s">
        <v>664</v>
      </c>
      <c r="V24" s="453">
        <v>1</v>
      </c>
      <c r="W24" s="453">
        <v>1</v>
      </c>
      <c r="X24" s="453" t="s">
        <v>340</v>
      </c>
      <c r="Y24" s="453" t="s">
        <v>340</v>
      </c>
      <c r="Z24" s="146" t="s">
        <v>340</v>
      </c>
      <c r="AA24" s="146">
        <v>2</v>
      </c>
      <c r="AB24" s="146">
        <v>1</v>
      </c>
      <c r="AC24" s="453">
        <v>2</v>
      </c>
      <c r="AD24" s="453">
        <v>1</v>
      </c>
      <c r="AE24" s="453">
        <v>0</v>
      </c>
      <c r="AF24" s="453" t="b">
        <v>1</v>
      </c>
      <c r="AG24" s="453">
        <f t="shared" si="3"/>
        <v>2</v>
      </c>
      <c r="AH24" s="453">
        <f t="shared" si="4"/>
        <v>1</v>
      </c>
      <c r="AI24" s="138">
        <f>IF(NOT(OR(Z24=1,Z24=2)),IF(AQ24&gt;0,$AR$44*AQ24/SUMIF($AQ$8:$AQ$39,"&gt;0"),IF(AU24&gt;0,$AV$44*AU24/SUMIF($AU$8:$AU$39,"&gt;0"),IF(AS24&gt;0,$AT$44*AS24/SUMIF($AS$8:$AS$39,"&gt;0"),""))),IF(SUMIF(AJ25:$AJ$39,"=" &amp; AJ24,AI25:$AI$39)=0,"",SUMIF(AJ25:$AJ$39,"=" &amp; AJ24,AI25:$AI$39)))</f>
        <v>7.2727272727272738E-2</v>
      </c>
      <c r="AJ24" s="139">
        <f t="shared" si="34"/>
        <v>3</v>
      </c>
      <c r="AK24" s="453">
        <f t="shared" si="27"/>
        <v>1</v>
      </c>
      <c r="AL24" s="146">
        <f t="shared" si="28"/>
        <v>4</v>
      </c>
      <c r="AM24" s="146">
        <f t="shared" si="35"/>
        <v>1</v>
      </c>
      <c r="AN24" s="146" t="str">
        <f t="shared" si="5"/>
        <v/>
      </c>
      <c r="AO24" s="146" t="str">
        <f t="shared" si="6"/>
        <v/>
      </c>
      <c r="AP24" s="453" t="b">
        <f t="shared" si="7"/>
        <v>0</v>
      </c>
      <c r="AQ24" s="140">
        <f t="shared" si="29"/>
        <v>1</v>
      </c>
      <c r="AR24" s="141">
        <f t="shared" si="8"/>
        <v>1</v>
      </c>
      <c r="AS24" s="142">
        <f t="shared" si="30"/>
        <v>0</v>
      </c>
      <c r="AT24" s="141" t="str">
        <f t="shared" si="9"/>
        <v/>
      </c>
      <c r="AU24" s="143">
        <f t="shared" si="10"/>
        <v>0</v>
      </c>
      <c r="AV24" s="144">
        <f t="shared" si="11"/>
        <v>1</v>
      </c>
      <c r="AW24" s="143" t="b">
        <f t="shared" si="12"/>
        <v>0</v>
      </c>
      <c r="AX24" s="145" t="b">
        <f t="shared" si="13"/>
        <v>0</v>
      </c>
      <c r="AY24" s="143" t="b">
        <f t="shared" si="14"/>
        <v>0</v>
      </c>
      <c r="AZ24" s="145" t="b">
        <f t="shared" si="15"/>
        <v>0</v>
      </c>
      <c r="BA24" s="453" t="b">
        <f t="shared" si="16"/>
        <v>0</v>
      </c>
      <c r="BB24" s="453" t="b">
        <f t="shared" si="17"/>
        <v>0</v>
      </c>
      <c r="BC24" s="143" t="b">
        <f t="shared" si="18"/>
        <v>0</v>
      </c>
      <c r="BD24" s="146" t="b">
        <f t="shared" si="31"/>
        <v>0</v>
      </c>
      <c r="BE24" s="145" t="b">
        <f t="shared" si="37"/>
        <v>0</v>
      </c>
      <c r="BF24" s="147" t="b">
        <f t="shared" si="20"/>
        <v>0</v>
      </c>
      <c r="BG24" s="453" t="b">
        <f t="shared" si="38"/>
        <v>0</v>
      </c>
      <c r="BH24" s="453">
        <f t="shared" si="32"/>
        <v>1</v>
      </c>
      <c r="BI24" s="453">
        <f t="shared" si="22"/>
        <v>1</v>
      </c>
      <c r="BJ24" s="453" t="str">
        <f t="shared" si="23"/>
        <v>1</v>
      </c>
      <c r="BK24" s="453">
        <f t="shared" si="24"/>
        <v>2</v>
      </c>
      <c r="BL24" s="148">
        <f t="shared" si="33"/>
        <v>1</v>
      </c>
      <c r="BM24" s="453">
        <f t="shared" si="25"/>
        <v>1</v>
      </c>
      <c r="BN24" s="453">
        <f t="shared" si="26"/>
        <v>2</v>
      </c>
      <c r="BO24" s="936"/>
      <c r="BP24" s="300" t="s">
        <v>362</v>
      </c>
      <c r="BQ24" s="165">
        <f t="shared" si="36"/>
        <v>0.6</v>
      </c>
      <c r="BR24" s="166">
        <f t="shared" si="36"/>
        <v>0.9</v>
      </c>
      <c r="BS24" s="166">
        <f t="shared" si="36"/>
        <v>0.93330000000000002</v>
      </c>
      <c r="BT24" s="166">
        <f t="shared" si="36"/>
        <v>0.9667</v>
      </c>
      <c r="BU24" s="167">
        <f t="shared" si="36"/>
        <v>1</v>
      </c>
    </row>
    <row r="25" spans="2:73" s="94" customFormat="1" ht="12.95" customHeight="1" x14ac:dyDescent="0.2">
      <c r="B25" s="151">
        <f>IF(ISNA(Z25),"",IF(OR(Z25=1,Z25=2),"    ",MAX($B$8:B24)+1))</f>
        <v>14</v>
      </c>
      <c r="C25" s="904" t="str">
        <f t="shared" si="0"/>
        <v xml:space="preserve">      - Performance Ground Block (7.3%)</v>
      </c>
      <c r="D25" s="904"/>
      <c r="E25" s="904"/>
      <c r="F25" s="905"/>
      <c r="G25" s="133">
        <f t="shared" si="1"/>
        <v>1</v>
      </c>
      <c r="H25" s="134" t="str">
        <f t="shared" si="2"/>
        <v>2</v>
      </c>
      <c r="I25" s="152">
        <f t="shared" si="2"/>
        <v>3</v>
      </c>
      <c r="J25" s="158">
        <v>1</v>
      </c>
      <c r="K25" s="159">
        <v>3</v>
      </c>
      <c r="L25" s="961"/>
      <c r="M25" s="962"/>
      <c r="N25" s="962"/>
      <c r="O25" s="962"/>
      <c r="P25" s="962"/>
      <c r="Q25" s="962"/>
      <c r="R25" s="963"/>
      <c r="T25" s="99">
        <v>18</v>
      </c>
      <c r="U25" s="88" t="s">
        <v>725</v>
      </c>
      <c r="V25" s="453">
        <v>1</v>
      </c>
      <c r="W25" s="453">
        <v>1</v>
      </c>
      <c r="X25" s="453" t="s">
        <v>340</v>
      </c>
      <c r="Y25" s="453" t="s">
        <v>340</v>
      </c>
      <c r="Z25" s="146" t="s">
        <v>340</v>
      </c>
      <c r="AA25" s="146">
        <v>2</v>
      </c>
      <c r="AB25" s="146">
        <v>1</v>
      </c>
      <c r="AC25" s="453">
        <v>3</v>
      </c>
      <c r="AD25" s="453">
        <v>2</v>
      </c>
      <c r="AE25" s="453">
        <v>0</v>
      </c>
      <c r="AF25" s="453" t="b">
        <v>1</v>
      </c>
      <c r="AG25" s="453">
        <f t="shared" si="3"/>
        <v>3</v>
      </c>
      <c r="AH25" s="453">
        <f t="shared" si="4"/>
        <v>2</v>
      </c>
      <c r="AI25" s="138">
        <f>IF(NOT(OR(Z25=1,Z25=2)),IF(AQ25&gt;0,$AR$44*AQ25/SUMIF($AQ$8:$AQ$39,"&gt;0"),IF(AU25&gt;0,$AV$44*AU25/SUMIF($AU$8:$AU$39,"&gt;0"),IF(AS25&gt;0,$AT$44*AS25/SUMIF($AS$8:$AS$39,"&gt;0"),""))),IF(SUMIF(AJ26:$AJ$39,"=" &amp; AJ25,AI26:$AI$39)=0,"",SUMIF(AJ26:$AJ$39,"=" &amp; AJ25,AI26:$AI$39)))</f>
        <v>7.2727272727272738E-2</v>
      </c>
      <c r="AJ25" s="139">
        <f t="shared" si="34"/>
        <v>3</v>
      </c>
      <c r="AK25" s="453">
        <f t="shared" si="27"/>
        <v>2</v>
      </c>
      <c r="AL25" s="146">
        <f t="shared" si="28"/>
        <v>3</v>
      </c>
      <c r="AM25" s="146">
        <f t="shared" si="35"/>
        <v>1</v>
      </c>
      <c r="AN25" s="146" t="str">
        <f t="shared" si="5"/>
        <v/>
      </c>
      <c r="AO25" s="146" t="str">
        <f t="shared" si="6"/>
        <v/>
      </c>
      <c r="AP25" s="453" t="b">
        <f t="shared" si="7"/>
        <v>0</v>
      </c>
      <c r="AQ25" s="140">
        <f t="shared" si="29"/>
        <v>1</v>
      </c>
      <c r="AR25" s="141">
        <f t="shared" si="8"/>
        <v>0.9</v>
      </c>
      <c r="AS25" s="142">
        <f t="shared" si="30"/>
        <v>0</v>
      </c>
      <c r="AT25" s="141" t="str">
        <f t="shared" si="9"/>
        <v/>
      </c>
      <c r="AU25" s="143">
        <f t="shared" si="10"/>
        <v>0</v>
      </c>
      <c r="AV25" s="144">
        <f t="shared" si="11"/>
        <v>0.9</v>
      </c>
      <c r="AW25" s="143" t="b">
        <f t="shared" si="12"/>
        <v>0</v>
      </c>
      <c r="AX25" s="145" t="b">
        <f t="shared" si="13"/>
        <v>0</v>
      </c>
      <c r="AY25" s="143" t="b">
        <f t="shared" si="14"/>
        <v>0</v>
      </c>
      <c r="AZ25" s="145" t="b">
        <f t="shared" si="15"/>
        <v>0</v>
      </c>
      <c r="BA25" s="453" t="b">
        <f t="shared" si="16"/>
        <v>0</v>
      </c>
      <c r="BB25" s="453" t="b">
        <f t="shared" si="17"/>
        <v>0</v>
      </c>
      <c r="BC25" s="143" t="b">
        <f t="shared" si="18"/>
        <v>0</v>
      </c>
      <c r="BD25" s="146" t="b">
        <f t="shared" si="31"/>
        <v>0</v>
      </c>
      <c r="BE25" s="145" t="b">
        <f t="shared" si="37"/>
        <v>0</v>
      </c>
      <c r="BF25" s="147" t="b">
        <f t="shared" si="20"/>
        <v>0</v>
      </c>
      <c r="BG25" s="453" t="b">
        <f t="shared" si="38"/>
        <v>0</v>
      </c>
      <c r="BH25" s="453">
        <f t="shared" si="32"/>
        <v>1</v>
      </c>
      <c r="BI25" s="453">
        <f t="shared" si="22"/>
        <v>2</v>
      </c>
      <c r="BJ25" s="453" t="str">
        <f t="shared" si="23"/>
        <v>2</v>
      </c>
      <c r="BK25" s="453">
        <f t="shared" si="24"/>
        <v>3</v>
      </c>
      <c r="BL25" s="148">
        <f t="shared" si="33"/>
        <v>1</v>
      </c>
      <c r="BM25" s="453">
        <f t="shared" si="25"/>
        <v>2</v>
      </c>
      <c r="BN25" s="453">
        <f t="shared" si="26"/>
        <v>3</v>
      </c>
      <c r="BO25" s="936"/>
      <c r="BP25" s="300" t="s">
        <v>363</v>
      </c>
      <c r="BQ25" s="165">
        <f t="shared" si="36"/>
        <v>0.6</v>
      </c>
      <c r="BR25" s="166">
        <f t="shared" si="36"/>
        <v>0.7</v>
      </c>
      <c r="BS25" s="166">
        <f t="shared" si="36"/>
        <v>0.9</v>
      </c>
      <c r="BT25" s="166">
        <f t="shared" si="36"/>
        <v>0.95</v>
      </c>
      <c r="BU25" s="167">
        <f t="shared" si="36"/>
        <v>1</v>
      </c>
    </row>
    <row r="26" spans="2:73" s="94" customFormat="1" ht="12.95" customHeight="1" x14ac:dyDescent="0.2">
      <c r="B26" s="151" t="str">
        <f>IF(ISNA(Z26),"",IF(OR(Z26=1,Z26=2),"    ",MAX($B$8:B25)+1))</f>
        <v/>
      </c>
      <c r="C26" s="904" t="str">
        <f t="shared" si="0"/>
        <v/>
      </c>
      <c r="D26" s="904"/>
      <c r="E26" s="904"/>
      <c r="F26" s="905"/>
      <c r="G26" s="133" t="str">
        <f t="shared" si="1"/>
        <v/>
      </c>
      <c r="H26" s="134" t="str">
        <f t="shared" si="2"/>
        <v/>
      </c>
      <c r="I26" s="152" t="str">
        <f t="shared" si="2"/>
        <v/>
      </c>
      <c r="J26" s="158"/>
      <c r="K26" s="159"/>
      <c r="L26" s="961"/>
      <c r="M26" s="962"/>
      <c r="N26" s="962"/>
      <c r="O26" s="962"/>
      <c r="P26" s="962"/>
      <c r="Q26" s="962"/>
      <c r="R26" s="963"/>
      <c r="T26" s="99">
        <v>19</v>
      </c>
      <c r="U26" s="88" t="e">
        <v>#N/A</v>
      </c>
      <c r="V26" s="453" t="e">
        <v>#N/A</v>
      </c>
      <c r="W26" s="453" t="e">
        <v>#N/A</v>
      </c>
      <c r="X26" s="453" t="e">
        <v>#N/A</v>
      </c>
      <c r="Y26" s="453" t="e">
        <v>#N/A</v>
      </c>
      <c r="Z26" s="146" t="e">
        <v>#N/A</v>
      </c>
      <c r="AA26" s="146" t="e">
        <v>#N/A</v>
      </c>
      <c r="AB26" s="146" t="e">
        <v>#N/A</v>
      </c>
      <c r="AC26" s="453" t="e">
        <v>#N/A</v>
      </c>
      <c r="AD26" s="453" t="e">
        <v>#N/A</v>
      </c>
      <c r="AE26" s="453" t="e">
        <v>#N/A</v>
      </c>
      <c r="AF26" s="453" t="e">
        <v>#N/A</v>
      </c>
      <c r="AG26" s="453" t="e">
        <f t="shared" si="3"/>
        <v>#N/A</v>
      </c>
      <c r="AH26" s="453" t="str">
        <f t="shared" si="4"/>
        <v/>
      </c>
      <c r="AI26" s="138" t="e">
        <f>IF(NOT(OR(Z26=1,Z26=2)),IF(AQ26&gt;0,$AR$44*AQ26/SUMIF($AQ$8:$AQ$39,"&gt;0"),IF(AU26&gt;0,$AV$44*AU26/SUMIF($AU$8:$AU$39,"&gt;0"),IF(AS26&gt;0,$AT$44*AS26/SUMIF($AS$8:$AS$39,"&gt;0"),""))),IF(SUMIF(AJ27:$AJ$39,"=" &amp; AJ26,AI27:$AI$39)=0,"",SUMIF(AJ27:$AJ$39,"=" &amp; AJ26,AI27:$AI$39)))</f>
        <v>#N/A</v>
      </c>
      <c r="AJ26" s="139" t="e">
        <f t="shared" si="34"/>
        <v>#N/A</v>
      </c>
      <c r="AK26" s="453" t="str">
        <f t="shared" si="27"/>
        <v/>
      </c>
      <c r="AL26" s="146" t="str">
        <f t="shared" si="28"/>
        <v/>
      </c>
      <c r="AM26" s="146" t="str">
        <f t="shared" si="35"/>
        <v/>
      </c>
      <c r="AN26" s="146" t="str">
        <f t="shared" si="5"/>
        <v/>
      </c>
      <c r="AO26" s="146" t="e">
        <f t="shared" si="6"/>
        <v>#N/A</v>
      </c>
      <c r="AP26" s="453" t="str">
        <f t="shared" si="7"/>
        <v/>
      </c>
      <c r="AQ26" s="140">
        <f t="shared" si="29"/>
        <v>0</v>
      </c>
      <c r="AR26" s="141" t="str">
        <f t="shared" si="8"/>
        <v/>
      </c>
      <c r="AS26" s="142">
        <f t="shared" si="30"/>
        <v>0</v>
      </c>
      <c r="AT26" s="141" t="str">
        <f t="shared" si="9"/>
        <v/>
      </c>
      <c r="AU26" s="143">
        <f t="shared" si="10"/>
        <v>0</v>
      </c>
      <c r="AV26" s="144" t="str">
        <f t="shared" si="11"/>
        <v/>
      </c>
      <c r="AW26" s="143" t="b">
        <f t="shared" si="12"/>
        <v>0</v>
      </c>
      <c r="AX26" s="145" t="b">
        <f t="shared" si="13"/>
        <v>0</v>
      </c>
      <c r="AY26" s="143" t="b">
        <f t="shared" si="14"/>
        <v>0</v>
      </c>
      <c r="AZ26" s="145" t="b">
        <f t="shared" si="15"/>
        <v>0</v>
      </c>
      <c r="BA26" s="453" t="b">
        <f t="shared" si="16"/>
        <v>0</v>
      </c>
      <c r="BB26" s="453" t="b">
        <f t="shared" si="17"/>
        <v>0</v>
      </c>
      <c r="BC26" s="143" t="b">
        <f t="shared" si="18"/>
        <v>0</v>
      </c>
      <c r="BD26" s="146" t="b">
        <f t="shared" si="31"/>
        <v>0</v>
      </c>
      <c r="BE26" s="145" t="b">
        <f t="shared" si="37"/>
        <v>0</v>
      </c>
      <c r="BF26" s="147" t="b">
        <f t="shared" si="20"/>
        <v>0</v>
      </c>
      <c r="BG26" s="453" t="str">
        <f t="shared" si="38"/>
        <v>NA</v>
      </c>
      <c r="BH26" s="453" t="str">
        <f t="shared" si="32"/>
        <v/>
      </c>
      <c r="BI26" s="453" t="str">
        <f t="shared" si="22"/>
        <v/>
      </c>
      <c r="BJ26" s="453" t="str">
        <f t="shared" si="23"/>
        <v/>
      </c>
      <c r="BK26" s="453" t="str">
        <f t="shared" si="24"/>
        <v/>
      </c>
      <c r="BL26" s="148" t="str">
        <f t="shared" si="33"/>
        <v/>
      </c>
      <c r="BM26" s="453" t="str">
        <f t="shared" si="25"/>
        <v/>
      </c>
      <c r="BN26" s="453" t="str">
        <f t="shared" si="26"/>
        <v/>
      </c>
      <c r="BO26" s="936"/>
      <c r="BP26" s="300" t="s">
        <v>364</v>
      </c>
      <c r="BQ26" s="165">
        <f t="shared" si="36"/>
        <v>0.6</v>
      </c>
      <c r="BR26" s="166">
        <f t="shared" si="36"/>
        <v>0.7</v>
      </c>
      <c r="BS26" s="166">
        <f t="shared" si="36"/>
        <v>0.8</v>
      </c>
      <c r="BT26" s="166">
        <f t="shared" si="36"/>
        <v>0.9</v>
      </c>
      <c r="BU26" s="167">
        <f t="shared" si="36"/>
        <v>1</v>
      </c>
    </row>
    <row r="27" spans="2:73" s="94" customFormat="1" ht="12.95" customHeight="1" x14ac:dyDescent="0.2">
      <c r="B27" s="151" t="str">
        <f>IF(ISNA(Z27),"",IF(OR(Z27=1,Z27=2),"    ",MAX($B$8:B26)+1))</f>
        <v/>
      </c>
      <c r="C27" s="904" t="str">
        <f t="shared" si="0"/>
        <v/>
      </c>
      <c r="D27" s="904"/>
      <c r="E27" s="904"/>
      <c r="F27" s="905"/>
      <c r="G27" s="133" t="str">
        <f t="shared" si="1"/>
        <v/>
      </c>
      <c r="H27" s="134" t="str">
        <f t="shared" si="2"/>
        <v/>
      </c>
      <c r="I27" s="152" t="str">
        <f t="shared" si="2"/>
        <v/>
      </c>
      <c r="J27" s="158"/>
      <c r="K27" s="159"/>
      <c r="L27" s="961"/>
      <c r="M27" s="962"/>
      <c r="N27" s="962"/>
      <c r="O27" s="962"/>
      <c r="P27" s="962"/>
      <c r="Q27" s="962"/>
      <c r="R27" s="963"/>
      <c r="T27" s="99">
        <v>20</v>
      </c>
      <c r="U27" s="88" t="e">
        <v>#N/A</v>
      </c>
      <c r="V27" s="453" t="e">
        <v>#N/A</v>
      </c>
      <c r="W27" s="453" t="e">
        <v>#N/A</v>
      </c>
      <c r="X27" s="453" t="e">
        <v>#N/A</v>
      </c>
      <c r="Y27" s="453" t="e">
        <v>#N/A</v>
      </c>
      <c r="Z27" s="146" t="e">
        <v>#N/A</v>
      </c>
      <c r="AA27" s="146" t="e">
        <v>#N/A</v>
      </c>
      <c r="AB27" s="146" t="e">
        <v>#N/A</v>
      </c>
      <c r="AC27" s="453" t="e">
        <v>#N/A</v>
      </c>
      <c r="AD27" s="453" t="e">
        <v>#N/A</v>
      </c>
      <c r="AE27" s="453" t="e">
        <v>#N/A</v>
      </c>
      <c r="AF27" s="453" t="e">
        <v>#N/A</v>
      </c>
      <c r="AG27" s="453" t="e">
        <f t="shared" si="3"/>
        <v>#N/A</v>
      </c>
      <c r="AH27" s="453" t="str">
        <f t="shared" si="4"/>
        <v/>
      </c>
      <c r="AI27" s="138" t="e">
        <f>IF(NOT(OR(Z27=1,Z27=2)),IF(AQ27&gt;0,$AR$44*AQ27/SUMIF($AQ$8:$AQ$39,"&gt;0"),IF(AU27&gt;0,$AV$44*AU27/SUMIF($AU$8:$AU$39,"&gt;0"),IF(AS27&gt;0,$AT$44*AS27/SUMIF($AS$8:$AS$39,"&gt;0"),""))),IF(SUMIF(AJ28:$AJ$39,"=" &amp; AJ27,AI28:$AI$39)=0,"",SUMIF(AJ28:$AJ$39,"=" &amp; AJ27,AI28:$AI$39)))</f>
        <v>#N/A</v>
      </c>
      <c r="AJ27" s="139" t="e">
        <f t="shared" si="34"/>
        <v>#N/A</v>
      </c>
      <c r="AK27" s="453" t="str">
        <f t="shared" si="27"/>
        <v/>
      </c>
      <c r="AL27" s="146" t="str">
        <f t="shared" si="28"/>
        <v/>
      </c>
      <c r="AM27" s="146" t="str">
        <f t="shared" si="35"/>
        <v/>
      </c>
      <c r="AN27" s="146" t="str">
        <f t="shared" si="5"/>
        <v/>
      </c>
      <c r="AO27" s="146" t="e">
        <f t="shared" si="6"/>
        <v>#N/A</v>
      </c>
      <c r="AP27" s="453" t="str">
        <f t="shared" si="7"/>
        <v/>
      </c>
      <c r="AQ27" s="140">
        <f t="shared" si="29"/>
        <v>0</v>
      </c>
      <c r="AR27" s="141" t="str">
        <f t="shared" si="8"/>
        <v/>
      </c>
      <c r="AS27" s="142">
        <f t="shared" si="30"/>
        <v>0</v>
      </c>
      <c r="AT27" s="141" t="str">
        <f t="shared" si="9"/>
        <v/>
      </c>
      <c r="AU27" s="143">
        <f t="shared" si="10"/>
        <v>0</v>
      </c>
      <c r="AV27" s="144" t="str">
        <f t="shared" si="11"/>
        <v/>
      </c>
      <c r="AW27" s="143" t="b">
        <f t="shared" si="12"/>
        <v>0</v>
      </c>
      <c r="AX27" s="145" t="b">
        <f t="shared" si="13"/>
        <v>0</v>
      </c>
      <c r="AY27" s="143" t="b">
        <f t="shared" si="14"/>
        <v>0</v>
      </c>
      <c r="AZ27" s="145" t="b">
        <f t="shared" si="15"/>
        <v>0</v>
      </c>
      <c r="BA27" s="453" t="b">
        <f t="shared" si="16"/>
        <v>0</v>
      </c>
      <c r="BB27" s="453" t="b">
        <f t="shared" si="17"/>
        <v>0</v>
      </c>
      <c r="BC27" s="143" t="b">
        <f t="shared" si="18"/>
        <v>0</v>
      </c>
      <c r="BD27" s="146" t="b">
        <f t="shared" si="31"/>
        <v>0</v>
      </c>
      <c r="BE27" s="145" t="b">
        <f t="shared" si="37"/>
        <v>0</v>
      </c>
      <c r="BF27" s="147" t="b">
        <f t="shared" si="20"/>
        <v>0</v>
      </c>
      <c r="BG27" s="453" t="str">
        <f t="shared" si="38"/>
        <v>NA</v>
      </c>
      <c r="BH27" s="453" t="str">
        <f t="shared" si="32"/>
        <v/>
      </c>
      <c r="BI27" s="453" t="str">
        <f t="shared" si="22"/>
        <v/>
      </c>
      <c r="BJ27" s="453" t="str">
        <f t="shared" si="23"/>
        <v/>
      </c>
      <c r="BK27" s="453" t="str">
        <f t="shared" si="24"/>
        <v/>
      </c>
      <c r="BL27" s="148" t="str">
        <f t="shared" si="33"/>
        <v/>
      </c>
      <c r="BM27" s="453" t="str">
        <f t="shared" si="25"/>
        <v/>
      </c>
      <c r="BN27" s="453" t="str">
        <f t="shared" si="26"/>
        <v/>
      </c>
      <c r="BO27" s="936"/>
      <c r="BP27" s="300" t="s">
        <v>365</v>
      </c>
      <c r="BQ27" s="165">
        <f t="shared" si="36"/>
        <v>0.3</v>
      </c>
      <c r="BR27" s="166">
        <f t="shared" si="36"/>
        <v>0.6</v>
      </c>
      <c r="BS27" s="166">
        <f t="shared" si="36"/>
        <v>0.9</v>
      </c>
      <c r="BT27" s="166">
        <f t="shared" si="36"/>
        <v>0.95</v>
      </c>
      <c r="BU27" s="167">
        <f t="shared" si="36"/>
        <v>1</v>
      </c>
    </row>
    <row r="28" spans="2:73" s="94" customFormat="1" ht="12.95" customHeight="1" x14ac:dyDescent="0.2">
      <c r="B28" s="151" t="str">
        <f>IF(ISNA(Z28),"",IF(OR(Z28=1,Z28=2),"    ",MAX($B$8:B27)+1))</f>
        <v/>
      </c>
      <c r="C28" s="904" t="str">
        <f t="shared" si="0"/>
        <v/>
      </c>
      <c r="D28" s="904"/>
      <c r="E28" s="904"/>
      <c r="F28" s="905"/>
      <c r="G28" s="133" t="str">
        <f t="shared" si="1"/>
        <v/>
      </c>
      <c r="H28" s="134" t="str">
        <f t="shared" si="2"/>
        <v/>
      </c>
      <c r="I28" s="152" t="str">
        <f t="shared" si="2"/>
        <v/>
      </c>
      <c r="J28" s="158"/>
      <c r="K28" s="159"/>
      <c r="L28" s="961"/>
      <c r="M28" s="962"/>
      <c r="N28" s="962"/>
      <c r="O28" s="962"/>
      <c r="P28" s="962"/>
      <c r="Q28" s="962"/>
      <c r="R28" s="963"/>
      <c r="T28" s="99">
        <v>21</v>
      </c>
      <c r="U28" s="88" t="e">
        <v>#N/A</v>
      </c>
      <c r="V28" s="453" t="e">
        <v>#N/A</v>
      </c>
      <c r="W28" s="453" t="e">
        <v>#N/A</v>
      </c>
      <c r="X28" s="453" t="e">
        <v>#N/A</v>
      </c>
      <c r="Y28" s="453" t="e">
        <v>#N/A</v>
      </c>
      <c r="Z28" s="146" t="e">
        <v>#N/A</v>
      </c>
      <c r="AA28" s="146" t="e">
        <v>#N/A</v>
      </c>
      <c r="AB28" s="146" t="e">
        <v>#N/A</v>
      </c>
      <c r="AC28" s="453" t="e">
        <v>#N/A</v>
      </c>
      <c r="AD28" s="453" t="e">
        <v>#N/A</v>
      </c>
      <c r="AE28" s="453" t="e">
        <v>#N/A</v>
      </c>
      <c r="AF28" s="453" t="e">
        <v>#N/A</v>
      </c>
      <c r="AG28" s="453" t="e">
        <f t="shared" si="3"/>
        <v>#N/A</v>
      </c>
      <c r="AH28" s="453" t="str">
        <f t="shared" si="4"/>
        <v/>
      </c>
      <c r="AI28" s="138" t="e">
        <f>IF(NOT(OR(Z28=1,Z28=2)),IF(AQ28&gt;0,$AR$44*AQ28/SUMIF($AQ$8:$AQ$39,"&gt;0"),IF(AU28&gt;0,$AV$44*AU28/SUMIF($AU$8:$AU$39,"&gt;0"),IF(AS28&gt;0,$AT$44*AS28/SUMIF($AS$8:$AS$39,"&gt;0"),""))),IF(SUMIF(AJ29:$AJ$39,"=" &amp; AJ28,AI29:$AI$39)=0,"",SUMIF(AJ29:$AJ$39,"=" &amp; AJ28,AI29:$AI$39)))</f>
        <v>#N/A</v>
      </c>
      <c r="AJ28" s="139" t="e">
        <f t="shared" si="34"/>
        <v>#N/A</v>
      </c>
      <c r="AK28" s="453" t="str">
        <f t="shared" si="27"/>
        <v/>
      </c>
      <c r="AL28" s="146" t="str">
        <f t="shared" si="28"/>
        <v/>
      </c>
      <c r="AM28" s="146" t="str">
        <f t="shared" si="35"/>
        <v/>
      </c>
      <c r="AN28" s="146" t="str">
        <f t="shared" si="5"/>
        <v/>
      </c>
      <c r="AO28" s="146" t="e">
        <f t="shared" si="6"/>
        <v>#N/A</v>
      </c>
      <c r="AP28" s="453" t="str">
        <f t="shared" si="7"/>
        <v/>
      </c>
      <c r="AQ28" s="140">
        <f t="shared" si="29"/>
        <v>0</v>
      </c>
      <c r="AR28" s="141" t="str">
        <f t="shared" si="8"/>
        <v/>
      </c>
      <c r="AS28" s="142">
        <f t="shared" si="30"/>
        <v>0</v>
      </c>
      <c r="AT28" s="141" t="str">
        <f t="shared" si="9"/>
        <v/>
      </c>
      <c r="AU28" s="143">
        <f t="shared" si="10"/>
        <v>0</v>
      </c>
      <c r="AV28" s="144" t="str">
        <f t="shared" si="11"/>
        <v/>
      </c>
      <c r="AW28" s="143" t="b">
        <f t="shared" si="12"/>
        <v>0</v>
      </c>
      <c r="AX28" s="145" t="b">
        <f t="shared" si="13"/>
        <v>0</v>
      </c>
      <c r="AY28" s="143" t="b">
        <f t="shared" si="14"/>
        <v>0</v>
      </c>
      <c r="AZ28" s="145" t="b">
        <f t="shared" si="15"/>
        <v>0</v>
      </c>
      <c r="BA28" s="453" t="b">
        <f t="shared" si="16"/>
        <v>0</v>
      </c>
      <c r="BB28" s="453" t="b">
        <f t="shared" si="17"/>
        <v>0</v>
      </c>
      <c r="BC28" s="143" t="b">
        <f t="shared" si="18"/>
        <v>0</v>
      </c>
      <c r="BD28" s="146" t="b">
        <f t="shared" si="31"/>
        <v>0</v>
      </c>
      <c r="BE28" s="145" t="b">
        <f t="shared" si="37"/>
        <v>0</v>
      </c>
      <c r="BF28" s="147" t="b">
        <f t="shared" si="20"/>
        <v>0</v>
      </c>
      <c r="BG28" s="453" t="str">
        <f t="shared" si="38"/>
        <v>NA</v>
      </c>
      <c r="BH28" s="453" t="str">
        <f t="shared" si="32"/>
        <v/>
      </c>
      <c r="BI28" s="453" t="str">
        <f t="shared" si="22"/>
        <v/>
      </c>
      <c r="BJ28" s="453" t="str">
        <f t="shared" si="23"/>
        <v/>
      </c>
      <c r="BK28" s="453" t="str">
        <f t="shared" si="24"/>
        <v/>
      </c>
      <c r="BL28" s="148" t="str">
        <f t="shared" si="33"/>
        <v/>
      </c>
      <c r="BM28" s="453" t="str">
        <f t="shared" si="25"/>
        <v/>
      </c>
      <c r="BN28" s="453" t="str">
        <f t="shared" si="26"/>
        <v/>
      </c>
      <c r="BO28" s="936"/>
      <c r="BP28" s="300" t="s">
        <v>366</v>
      </c>
      <c r="BQ28" s="165">
        <f t="shared" si="36"/>
        <v>0.3</v>
      </c>
      <c r="BR28" s="166">
        <f t="shared" si="36"/>
        <v>0.6</v>
      </c>
      <c r="BS28" s="166">
        <f t="shared" si="36"/>
        <v>0.7</v>
      </c>
      <c r="BT28" s="166">
        <f t="shared" si="36"/>
        <v>0.9</v>
      </c>
      <c r="BU28" s="167">
        <f t="shared" si="36"/>
        <v>1</v>
      </c>
    </row>
    <row r="29" spans="2:73" s="94" customFormat="1" ht="12.95" customHeight="1" x14ac:dyDescent="0.2">
      <c r="B29" s="151" t="str">
        <f>IF(ISNA(Z29),"",IF(OR(Z29=1,Z29=2),"    ",MAX($B$8:B28)+1))</f>
        <v/>
      </c>
      <c r="C29" s="904" t="str">
        <f t="shared" si="0"/>
        <v/>
      </c>
      <c r="D29" s="904"/>
      <c r="E29" s="904"/>
      <c r="F29" s="905"/>
      <c r="G29" s="133" t="str">
        <f t="shared" si="1"/>
        <v/>
      </c>
      <c r="H29" s="134" t="str">
        <f t="shared" si="2"/>
        <v/>
      </c>
      <c r="I29" s="152" t="str">
        <f t="shared" si="2"/>
        <v/>
      </c>
      <c r="J29" s="158"/>
      <c r="K29" s="159"/>
      <c r="L29" s="961"/>
      <c r="M29" s="962"/>
      <c r="N29" s="962"/>
      <c r="O29" s="962"/>
      <c r="P29" s="962"/>
      <c r="Q29" s="962"/>
      <c r="R29" s="963"/>
      <c r="T29" s="99">
        <v>22</v>
      </c>
      <c r="U29" s="88" t="e">
        <v>#N/A</v>
      </c>
      <c r="V29" s="453" t="e">
        <v>#N/A</v>
      </c>
      <c r="W29" s="453" t="e">
        <v>#N/A</v>
      </c>
      <c r="X29" s="453" t="e">
        <v>#N/A</v>
      </c>
      <c r="Y29" s="453" t="e">
        <v>#N/A</v>
      </c>
      <c r="Z29" s="146" t="e">
        <v>#N/A</v>
      </c>
      <c r="AA29" s="146" t="e">
        <v>#N/A</v>
      </c>
      <c r="AB29" s="146" t="e">
        <v>#N/A</v>
      </c>
      <c r="AC29" s="453" t="e">
        <v>#N/A</v>
      </c>
      <c r="AD29" s="453" t="e">
        <v>#N/A</v>
      </c>
      <c r="AE29" s="453" t="e">
        <v>#N/A</v>
      </c>
      <c r="AF29" s="453" t="e">
        <v>#N/A</v>
      </c>
      <c r="AG29" s="453" t="e">
        <f t="shared" si="3"/>
        <v>#N/A</v>
      </c>
      <c r="AH29" s="453" t="str">
        <f t="shared" si="4"/>
        <v/>
      </c>
      <c r="AI29" s="138" t="e">
        <f>IF(NOT(OR(Z29=1,Z29=2)),IF(AQ29&gt;0,$AR$44*AQ29/SUMIF($AQ$8:$AQ$39,"&gt;0"),IF(AU29&gt;0,$AV$44*AU29/SUMIF($AU$8:$AU$39,"&gt;0"),IF(AS29&gt;0,$AT$44*AS29/SUMIF($AS$8:$AS$39,"&gt;0"),""))),IF(SUMIF(AJ30:$AJ$39,"=" &amp; AJ29,AI30:$AI$39)=0,"",SUMIF(AJ30:$AJ$39,"=" &amp; AJ29,AI30:$AI$39)))</f>
        <v>#N/A</v>
      </c>
      <c r="AJ29" s="139" t="e">
        <f t="shared" si="34"/>
        <v>#N/A</v>
      </c>
      <c r="AK29" s="453" t="str">
        <f t="shared" si="27"/>
        <v/>
      </c>
      <c r="AL29" s="146" t="str">
        <f t="shared" si="28"/>
        <v/>
      </c>
      <c r="AM29" s="146" t="str">
        <f t="shared" si="35"/>
        <v/>
      </c>
      <c r="AN29" s="146" t="str">
        <f t="shared" si="5"/>
        <v/>
      </c>
      <c r="AO29" s="146" t="e">
        <f t="shared" si="6"/>
        <v>#N/A</v>
      </c>
      <c r="AP29" s="453" t="str">
        <f t="shared" si="7"/>
        <v/>
      </c>
      <c r="AQ29" s="140">
        <f t="shared" si="29"/>
        <v>0</v>
      </c>
      <c r="AR29" s="141" t="str">
        <f t="shared" si="8"/>
        <v/>
      </c>
      <c r="AS29" s="142">
        <f t="shared" si="30"/>
        <v>0</v>
      </c>
      <c r="AT29" s="141" t="str">
        <f t="shared" si="9"/>
        <v/>
      </c>
      <c r="AU29" s="143">
        <f t="shared" si="10"/>
        <v>0</v>
      </c>
      <c r="AV29" s="144" t="str">
        <f t="shared" si="11"/>
        <v/>
      </c>
      <c r="AW29" s="143" t="b">
        <f t="shared" si="12"/>
        <v>0</v>
      </c>
      <c r="AX29" s="145" t="b">
        <f t="shared" si="13"/>
        <v>0</v>
      </c>
      <c r="AY29" s="143" t="b">
        <f t="shared" si="14"/>
        <v>0</v>
      </c>
      <c r="AZ29" s="145" t="b">
        <f t="shared" si="15"/>
        <v>0</v>
      </c>
      <c r="BA29" s="453" t="b">
        <f t="shared" si="16"/>
        <v>0</v>
      </c>
      <c r="BB29" s="453" t="b">
        <f t="shared" si="17"/>
        <v>0</v>
      </c>
      <c r="BC29" s="143" t="b">
        <f t="shared" si="18"/>
        <v>0</v>
      </c>
      <c r="BD29" s="146" t="b">
        <f t="shared" si="31"/>
        <v>0</v>
      </c>
      <c r="BE29" s="145" t="b">
        <f t="shared" si="37"/>
        <v>0</v>
      </c>
      <c r="BF29" s="147" t="b">
        <f t="shared" si="20"/>
        <v>0</v>
      </c>
      <c r="BG29" s="453" t="str">
        <f t="shared" si="38"/>
        <v>NA</v>
      </c>
      <c r="BH29" s="453" t="str">
        <f t="shared" si="32"/>
        <v/>
      </c>
      <c r="BI29" s="453" t="str">
        <f t="shared" si="22"/>
        <v/>
      </c>
      <c r="BJ29" s="453" t="str">
        <f t="shared" si="23"/>
        <v/>
      </c>
      <c r="BK29" s="453" t="str">
        <f t="shared" si="24"/>
        <v/>
      </c>
      <c r="BL29" s="148" t="str">
        <f t="shared" si="33"/>
        <v/>
      </c>
      <c r="BM29" s="453" t="str">
        <f t="shared" si="25"/>
        <v/>
      </c>
      <c r="BN29" s="453" t="str">
        <f t="shared" si="26"/>
        <v/>
      </c>
      <c r="BO29" s="936"/>
      <c r="BP29" s="300" t="s">
        <v>367</v>
      </c>
      <c r="BQ29" s="168">
        <f t="shared" si="36"/>
        <v>0</v>
      </c>
      <c r="BR29" s="169">
        <f t="shared" si="36"/>
        <v>0.3</v>
      </c>
      <c r="BS29" s="169">
        <f t="shared" si="36"/>
        <v>0.6</v>
      </c>
      <c r="BT29" s="169">
        <f t="shared" si="36"/>
        <v>0.9</v>
      </c>
      <c r="BU29" s="170">
        <f t="shared" si="36"/>
        <v>1</v>
      </c>
    </row>
    <row r="30" spans="2:73" s="94" customFormat="1" ht="12.95" customHeight="1" x14ac:dyDescent="0.2">
      <c r="B30" s="151" t="str">
        <f>IF(ISNA(Z30),"",IF(OR(Z30=1,Z30=2),"    ",MAX($B$8:B29)+1))</f>
        <v/>
      </c>
      <c r="C30" s="904" t="str">
        <f t="shared" si="0"/>
        <v/>
      </c>
      <c r="D30" s="904"/>
      <c r="E30" s="904"/>
      <c r="F30" s="905"/>
      <c r="G30" s="133" t="str">
        <f t="shared" si="1"/>
        <v/>
      </c>
      <c r="H30" s="134" t="str">
        <f t="shared" si="2"/>
        <v/>
      </c>
      <c r="I30" s="152" t="str">
        <f t="shared" si="2"/>
        <v/>
      </c>
      <c r="J30" s="158"/>
      <c r="K30" s="159"/>
      <c r="L30" s="961"/>
      <c r="M30" s="962"/>
      <c r="N30" s="962"/>
      <c r="O30" s="962"/>
      <c r="P30" s="962"/>
      <c r="Q30" s="962"/>
      <c r="R30" s="963"/>
      <c r="T30" s="99">
        <v>23</v>
      </c>
      <c r="U30" s="88" t="e">
        <v>#N/A</v>
      </c>
      <c r="V30" s="453" t="e">
        <v>#N/A</v>
      </c>
      <c r="W30" s="453" t="e">
        <v>#N/A</v>
      </c>
      <c r="X30" s="453" t="e">
        <v>#N/A</v>
      </c>
      <c r="Y30" s="453" t="e">
        <v>#N/A</v>
      </c>
      <c r="Z30" s="146" t="e">
        <v>#N/A</v>
      </c>
      <c r="AA30" s="146" t="e">
        <v>#N/A</v>
      </c>
      <c r="AB30" s="146" t="e">
        <v>#N/A</v>
      </c>
      <c r="AC30" s="453" t="e">
        <v>#N/A</v>
      </c>
      <c r="AD30" s="453" t="e">
        <v>#N/A</v>
      </c>
      <c r="AE30" s="453" t="e">
        <v>#N/A</v>
      </c>
      <c r="AF30" s="453" t="e">
        <v>#N/A</v>
      </c>
      <c r="AG30" s="453" t="e">
        <f t="shared" si="3"/>
        <v>#N/A</v>
      </c>
      <c r="AH30" s="453" t="str">
        <f t="shared" si="4"/>
        <v/>
      </c>
      <c r="AI30" s="138" t="e">
        <f>IF(NOT(OR(Z30=1,Z30=2)),IF(AQ30&gt;0,$AR$44*AQ30/SUMIF($AQ$8:$AQ$39,"&gt;0"),IF(AU30&gt;0,$AV$44*AU30/SUMIF($AU$8:$AU$39,"&gt;0"),IF(AS30&gt;0,$AT$44*AS30/SUMIF($AS$8:$AS$39,"&gt;0"),""))),IF(SUMIF(AJ31:$AJ$39,"=" &amp; AJ30,AI31:$AI$39)=0,"",SUMIF(AJ31:$AJ$39,"=" &amp; AJ30,AI31:$AI$39)))</f>
        <v>#N/A</v>
      </c>
      <c r="AJ30" s="139" t="e">
        <f t="shared" si="34"/>
        <v>#N/A</v>
      </c>
      <c r="AK30" s="453" t="str">
        <f t="shared" si="27"/>
        <v/>
      </c>
      <c r="AL30" s="146" t="str">
        <f t="shared" si="28"/>
        <v/>
      </c>
      <c r="AM30" s="146" t="str">
        <f t="shared" si="35"/>
        <v/>
      </c>
      <c r="AN30" s="146" t="str">
        <f t="shared" si="5"/>
        <v/>
      </c>
      <c r="AO30" s="146" t="e">
        <f t="shared" si="6"/>
        <v>#N/A</v>
      </c>
      <c r="AP30" s="453" t="str">
        <f t="shared" si="7"/>
        <v/>
      </c>
      <c r="AQ30" s="140">
        <f t="shared" si="29"/>
        <v>0</v>
      </c>
      <c r="AR30" s="141" t="str">
        <f t="shared" si="8"/>
        <v/>
      </c>
      <c r="AS30" s="142">
        <f t="shared" si="30"/>
        <v>0</v>
      </c>
      <c r="AT30" s="141" t="str">
        <f t="shared" si="9"/>
        <v/>
      </c>
      <c r="AU30" s="143">
        <f t="shared" si="10"/>
        <v>0</v>
      </c>
      <c r="AV30" s="144" t="str">
        <f t="shared" si="11"/>
        <v/>
      </c>
      <c r="AW30" s="143" t="b">
        <f t="shared" si="12"/>
        <v>0</v>
      </c>
      <c r="AX30" s="145" t="b">
        <f t="shared" si="13"/>
        <v>0</v>
      </c>
      <c r="AY30" s="143" t="b">
        <f t="shared" si="14"/>
        <v>0</v>
      </c>
      <c r="AZ30" s="145" t="b">
        <f t="shared" si="15"/>
        <v>0</v>
      </c>
      <c r="BA30" s="453" t="b">
        <f t="shared" si="16"/>
        <v>0</v>
      </c>
      <c r="BB30" s="453" t="b">
        <f t="shared" si="17"/>
        <v>0</v>
      </c>
      <c r="BC30" s="143" t="b">
        <f t="shared" si="18"/>
        <v>0</v>
      </c>
      <c r="BD30" s="146" t="b">
        <f t="shared" si="31"/>
        <v>0</v>
      </c>
      <c r="BE30" s="145" t="b">
        <f t="shared" si="37"/>
        <v>0</v>
      </c>
      <c r="BF30" s="147" t="b">
        <f t="shared" si="20"/>
        <v>0</v>
      </c>
      <c r="BG30" s="453" t="str">
        <f t="shared" si="38"/>
        <v>NA</v>
      </c>
      <c r="BH30" s="453" t="str">
        <f t="shared" si="32"/>
        <v/>
      </c>
      <c r="BI30" s="453" t="str">
        <f t="shared" si="22"/>
        <v/>
      </c>
      <c r="BJ30" s="453" t="str">
        <f t="shared" si="23"/>
        <v/>
      </c>
      <c r="BK30" s="453" t="str">
        <f t="shared" si="24"/>
        <v/>
      </c>
      <c r="BL30" s="148" t="str">
        <f t="shared" si="33"/>
        <v/>
      </c>
      <c r="BM30" s="453" t="str">
        <f t="shared" si="25"/>
        <v/>
      </c>
      <c r="BN30" s="453" t="str">
        <f t="shared" si="26"/>
        <v/>
      </c>
      <c r="BO30" s="90"/>
    </row>
    <row r="31" spans="2:73" s="94" customFormat="1" ht="12.95" customHeight="1" x14ac:dyDescent="0.2">
      <c r="B31" s="151" t="str">
        <f>IF(ISNA(Z31),"",IF(OR(Z31=1,Z31=2),"    ",MAX($B$8:B30)+1))</f>
        <v/>
      </c>
      <c r="C31" s="904" t="str">
        <f t="shared" si="0"/>
        <v/>
      </c>
      <c r="D31" s="904"/>
      <c r="E31" s="904"/>
      <c r="F31" s="905"/>
      <c r="G31" s="133" t="str">
        <f t="shared" si="1"/>
        <v/>
      </c>
      <c r="H31" s="134" t="str">
        <f t="shared" si="2"/>
        <v/>
      </c>
      <c r="I31" s="152" t="str">
        <f t="shared" si="2"/>
        <v/>
      </c>
      <c r="J31" s="158"/>
      <c r="K31" s="159"/>
      <c r="L31" s="961"/>
      <c r="M31" s="962"/>
      <c r="N31" s="962"/>
      <c r="O31" s="962"/>
      <c r="P31" s="962"/>
      <c r="Q31" s="962"/>
      <c r="R31" s="963"/>
      <c r="T31" s="99">
        <v>24</v>
      </c>
      <c r="U31" s="88" t="e">
        <v>#N/A</v>
      </c>
      <c r="V31" s="453" t="e">
        <v>#N/A</v>
      </c>
      <c r="W31" s="453" t="e">
        <v>#N/A</v>
      </c>
      <c r="X31" s="453" t="e">
        <v>#N/A</v>
      </c>
      <c r="Y31" s="453" t="e">
        <v>#N/A</v>
      </c>
      <c r="Z31" s="146" t="e">
        <v>#N/A</v>
      </c>
      <c r="AA31" s="146" t="e">
        <v>#N/A</v>
      </c>
      <c r="AB31" s="146" t="e">
        <v>#N/A</v>
      </c>
      <c r="AC31" s="453" t="e">
        <v>#N/A</v>
      </c>
      <c r="AD31" s="453" t="e">
        <v>#N/A</v>
      </c>
      <c r="AE31" s="453" t="e">
        <v>#N/A</v>
      </c>
      <c r="AF31" s="453" t="e">
        <v>#N/A</v>
      </c>
      <c r="AG31" s="453" t="e">
        <f t="shared" si="3"/>
        <v>#N/A</v>
      </c>
      <c r="AH31" s="453" t="str">
        <f t="shared" si="4"/>
        <v/>
      </c>
      <c r="AI31" s="138" t="e">
        <f>IF(NOT(OR(Z31=1,Z31=2)),IF(AQ31&gt;0,$AR$44*AQ31/SUMIF($AQ$8:$AQ$39,"&gt;0"),IF(AU31&gt;0,$AV$44*AU31/SUMIF($AU$8:$AU$39,"&gt;0"),IF(AS31&gt;0,$AT$44*AS31/SUMIF($AS$8:$AS$39,"&gt;0"),""))),IF(SUMIF(AJ32:$AJ$39,"=" &amp; AJ31,AI32:$AI$39)=0,"",SUMIF(AJ32:$AJ$39,"=" &amp; AJ31,AI32:$AI$39)))</f>
        <v>#N/A</v>
      </c>
      <c r="AJ31" s="139" t="e">
        <f t="shared" si="34"/>
        <v>#N/A</v>
      </c>
      <c r="AK31" s="453" t="str">
        <f t="shared" si="27"/>
        <v/>
      </c>
      <c r="AL31" s="146" t="str">
        <f t="shared" si="28"/>
        <v/>
      </c>
      <c r="AM31" s="146" t="str">
        <f t="shared" si="35"/>
        <v/>
      </c>
      <c r="AN31" s="146" t="str">
        <f t="shared" si="5"/>
        <v/>
      </c>
      <c r="AO31" s="146" t="e">
        <f t="shared" si="6"/>
        <v>#N/A</v>
      </c>
      <c r="AP31" s="453" t="str">
        <f t="shared" si="7"/>
        <v/>
      </c>
      <c r="AQ31" s="140">
        <f t="shared" si="29"/>
        <v>0</v>
      </c>
      <c r="AR31" s="141" t="str">
        <f t="shared" si="8"/>
        <v/>
      </c>
      <c r="AS31" s="142">
        <f t="shared" si="30"/>
        <v>0</v>
      </c>
      <c r="AT31" s="141" t="str">
        <f t="shared" si="9"/>
        <v/>
      </c>
      <c r="AU31" s="143">
        <f t="shared" si="10"/>
        <v>0</v>
      </c>
      <c r="AV31" s="144" t="str">
        <f t="shared" si="11"/>
        <v/>
      </c>
      <c r="AW31" s="143" t="b">
        <f t="shared" si="12"/>
        <v>0</v>
      </c>
      <c r="AX31" s="145" t="b">
        <f t="shared" si="13"/>
        <v>0</v>
      </c>
      <c r="AY31" s="143" t="b">
        <f t="shared" si="14"/>
        <v>0</v>
      </c>
      <c r="AZ31" s="145" t="b">
        <f t="shared" si="15"/>
        <v>0</v>
      </c>
      <c r="BA31" s="453" t="b">
        <f t="shared" si="16"/>
        <v>0</v>
      </c>
      <c r="BB31" s="453" t="b">
        <f t="shared" si="17"/>
        <v>0</v>
      </c>
      <c r="BC31" s="143" t="b">
        <f t="shared" si="18"/>
        <v>0</v>
      </c>
      <c r="BD31" s="146" t="b">
        <f>IF(OR(ISNA($Z31),ISNUMBER($Z31),NOT(ISNUMBER(K31))),FALSE,OR(NOT(ISNUMBER(J31)),J31=0,AND(J31=0,K31&lt;&gt;0)))</f>
        <v>0</v>
      </c>
      <c r="BE31" s="145" t="b">
        <f t="shared" si="37"/>
        <v>0</v>
      </c>
      <c r="BF31" s="147" t="b">
        <f>IF(OR(ISNA($Z31),H31&lt;&gt;"NG"),FALSE,IF(AND(J31="NA",K31&lt;&gt;""),TRUE,FALSE))</f>
        <v>0</v>
      </c>
      <c r="BG31" s="453" t="str">
        <f t="shared" si="38"/>
        <v>NA</v>
      </c>
      <c r="BH31" s="453" t="str">
        <f t="shared" si="32"/>
        <v/>
      </c>
      <c r="BI31" s="453" t="str">
        <f t="shared" si="22"/>
        <v/>
      </c>
      <c r="BJ31" s="453" t="str">
        <f t="shared" si="23"/>
        <v/>
      </c>
      <c r="BK31" s="453" t="str">
        <f t="shared" si="24"/>
        <v/>
      </c>
      <c r="BL31" s="148" t="str">
        <f t="shared" si="33"/>
        <v/>
      </c>
      <c r="BM31" s="453" t="str">
        <f t="shared" si="25"/>
        <v/>
      </c>
      <c r="BN31" s="453" t="str">
        <f t="shared" si="26"/>
        <v/>
      </c>
      <c r="BO31" s="155" t="s">
        <v>368</v>
      </c>
      <c r="BP31" s="161" t="s">
        <v>369</v>
      </c>
    </row>
    <row r="32" spans="2:73" s="94" customFormat="1" ht="12.95" customHeight="1" x14ac:dyDescent="0.2">
      <c r="B32" s="151" t="str">
        <f>IF(ISNA(Z32),"",IF(OR(Z32=1,Z32=2),"    ",MAX($B$8:B31)+1))</f>
        <v/>
      </c>
      <c r="C32" s="904" t="str">
        <f t="shared" si="0"/>
        <v/>
      </c>
      <c r="D32" s="904"/>
      <c r="E32" s="904"/>
      <c r="F32" s="905"/>
      <c r="G32" s="133" t="str">
        <f t="shared" si="1"/>
        <v/>
      </c>
      <c r="H32" s="134" t="str">
        <f t="shared" si="2"/>
        <v/>
      </c>
      <c r="I32" s="152" t="str">
        <f t="shared" si="2"/>
        <v/>
      </c>
      <c r="J32" s="158"/>
      <c r="K32" s="159"/>
      <c r="L32" s="961"/>
      <c r="M32" s="962"/>
      <c r="N32" s="962"/>
      <c r="O32" s="962"/>
      <c r="P32" s="962"/>
      <c r="Q32" s="962"/>
      <c r="R32" s="963"/>
      <c r="T32" s="99">
        <v>25</v>
      </c>
      <c r="U32" s="88" t="e">
        <v>#N/A</v>
      </c>
      <c r="V32" s="453" t="e">
        <v>#N/A</v>
      </c>
      <c r="W32" s="453" t="e">
        <v>#N/A</v>
      </c>
      <c r="X32" s="453" t="e">
        <v>#N/A</v>
      </c>
      <c r="Y32" s="453" t="e">
        <v>#N/A</v>
      </c>
      <c r="Z32" s="146" t="e">
        <v>#N/A</v>
      </c>
      <c r="AA32" s="146" t="e">
        <v>#N/A</v>
      </c>
      <c r="AB32" s="146" t="e">
        <v>#N/A</v>
      </c>
      <c r="AC32" s="453" t="e">
        <v>#N/A</v>
      </c>
      <c r="AD32" s="453" t="e">
        <v>#N/A</v>
      </c>
      <c r="AE32" s="453" t="e">
        <v>#N/A</v>
      </c>
      <c r="AF32" s="453" t="e">
        <v>#N/A</v>
      </c>
      <c r="AG32" s="453" t="e">
        <f t="shared" si="3"/>
        <v>#N/A</v>
      </c>
      <c r="AH32" s="453" t="str">
        <f t="shared" si="4"/>
        <v/>
      </c>
      <c r="AI32" s="138" t="e">
        <f>IF(NOT(OR(Z32=1,Z32=2)),IF(AQ32&gt;0,$AR$44*AQ32/SUMIF($AQ$8:$AQ$39,"&gt;0"),IF(AU32&gt;0,$AV$44*AU32/SUMIF($AU$8:$AU$39,"&gt;0"),IF(AS32&gt;0,$AT$44*AS32/SUMIF($AS$8:$AS$39,"&gt;0"),""))),IF(SUMIF(AJ33:$AJ$39,"=" &amp; AJ32,AI33:$AI$39)=0,"",SUMIF(AJ33:$AJ$39,"=" &amp; AJ32,AI33:$AI$39)))</f>
        <v>#N/A</v>
      </c>
      <c r="AJ32" s="139" t="e">
        <f t="shared" si="34"/>
        <v>#N/A</v>
      </c>
      <c r="AK32" s="453" t="str">
        <f t="shared" si="27"/>
        <v/>
      </c>
      <c r="AL32" s="146" t="str">
        <f t="shared" si="28"/>
        <v/>
      </c>
      <c r="AM32" s="146" t="str">
        <f t="shared" si="35"/>
        <v/>
      </c>
      <c r="AN32" s="146" t="str">
        <f t="shared" si="5"/>
        <v/>
      </c>
      <c r="AO32" s="146" t="e">
        <f t="shared" si="6"/>
        <v>#N/A</v>
      </c>
      <c r="AP32" s="453" t="str">
        <f t="shared" si="7"/>
        <v/>
      </c>
      <c r="AQ32" s="140">
        <f t="shared" si="29"/>
        <v>0</v>
      </c>
      <c r="AR32" s="141" t="str">
        <f t="shared" si="8"/>
        <v/>
      </c>
      <c r="AS32" s="142">
        <f t="shared" si="30"/>
        <v>0</v>
      </c>
      <c r="AT32" s="141" t="str">
        <f t="shared" si="9"/>
        <v/>
      </c>
      <c r="AU32" s="143">
        <f t="shared" si="10"/>
        <v>0</v>
      </c>
      <c r="AV32" s="144" t="str">
        <f t="shared" si="11"/>
        <v/>
      </c>
      <c r="AW32" s="143" t="b">
        <f t="shared" si="12"/>
        <v>0</v>
      </c>
      <c r="AX32" s="145" t="b">
        <f t="shared" si="13"/>
        <v>0</v>
      </c>
      <c r="AY32" s="143" t="b">
        <f t="shared" si="14"/>
        <v>0</v>
      </c>
      <c r="AZ32" s="145" t="b">
        <f t="shared" si="15"/>
        <v>0</v>
      </c>
      <c r="BA32" s="453" t="b">
        <f t="shared" si="16"/>
        <v>0</v>
      </c>
      <c r="BB32" s="453" t="b">
        <f t="shared" si="17"/>
        <v>0</v>
      </c>
      <c r="BC32" s="143" t="b">
        <f t="shared" si="18"/>
        <v>0</v>
      </c>
      <c r="BD32" s="146" t="b">
        <f t="shared" si="31"/>
        <v>0</v>
      </c>
      <c r="BE32" s="145" t="b">
        <f t="shared" si="37"/>
        <v>0</v>
      </c>
      <c r="BF32" s="147" t="b">
        <f t="shared" ref="BF32:BF39" si="39">IF(OR(ISNA($Z32),H32&lt;&gt;"NG"),FALSE,IF(AND(J32="NA",K32&lt;&gt;""),TRUE,FALSE))</f>
        <v>0</v>
      </c>
      <c r="BG32" s="453" t="str">
        <f t="shared" si="38"/>
        <v>NA</v>
      </c>
      <c r="BH32" s="453" t="str">
        <f t="shared" si="32"/>
        <v/>
      </c>
      <c r="BI32" s="453" t="str">
        <f t="shared" si="22"/>
        <v/>
      </c>
      <c r="BJ32" s="453" t="str">
        <f t="shared" si="23"/>
        <v/>
      </c>
      <c r="BK32" s="453" t="str">
        <f t="shared" si="24"/>
        <v/>
      </c>
      <c r="BL32" s="148" t="str">
        <f t="shared" si="33"/>
        <v/>
      </c>
      <c r="BM32" s="453" t="str">
        <f t="shared" si="25"/>
        <v/>
      </c>
      <c r="BN32" s="453" t="str">
        <f t="shared" si="26"/>
        <v/>
      </c>
      <c r="BO32" s="155" t="s">
        <v>370</v>
      </c>
      <c r="BP32" s="161" t="s">
        <v>371</v>
      </c>
    </row>
    <row r="33" spans="2:73" s="94" customFormat="1" ht="12.95" customHeight="1" x14ac:dyDescent="0.2">
      <c r="B33" s="151" t="str">
        <f>IF(ISNA(Z33),"",IF(OR(Z33=1,Z33=2),"    ",MAX($B$8:B32)+1))</f>
        <v/>
      </c>
      <c r="C33" s="904" t="str">
        <f t="shared" si="0"/>
        <v/>
      </c>
      <c r="D33" s="904"/>
      <c r="E33" s="904"/>
      <c r="F33" s="905"/>
      <c r="G33" s="133" t="str">
        <f t="shared" si="1"/>
        <v/>
      </c>
      <c r="H33" s="134" t="str">
        <f t="shared" si="2"/>
        <v/>
      </c>
      <c r="I33" s="152" t="str">
        <f t="shared" si="2"/>
        <v/>
      </c>
      <c r="J33" s="158"/>
      <c r="K33" s="159"/>
      <c r="L33" s="961"/>
      <c r="M33" s="962"/>
      <c r="N33" s="962"/>
      <c r="O33" s="962"/>
      <c r="P33" s="962"/>
      <c r="Q33" s="962"/>
      <c r="R33" s="963"/>
      <c r="T33" s="99">
        <v>26</v>
      </c>
      <c r="U33" s="88" t="e">
        <v>#N/A</v>
      </c>
      <c r="V33" s="453" t="e">
        <v>#N/A</v>
      </c>
      <c r="W33" s="453" t="e">
        <v>#N/A</v>
      </c>
      <c r="X33" s="453" t="e">
        <v>#N/A</v>
      </c>
      <c r="Y33" s="453" t="e">
        <v>#N/A</v>
      </c>
      <c r="Z33" s="146" t="e">
        <v>#N/A</v>
      </c>
      <c r="AA33" s="146" t="e">
        <v>#N/A</v>
      </c>
      <c r="AB33" s="146" t="e">
        <v>#N/A</v>
      </c>
      <c r="AC33" s="453" t="e">
        <v>#N/A</v>
      </c>
      <c r="AD33" s="453" t="e">
        <v>#N/A</v>
      </c>
      <c r="AE33" s="453" t="e">
        <v>#N/A</v>
      </c>
      <c r="AF33" s="453" t="e">
        <v>#N/A</v>
      </c>
      <c r="AG33" s="453" t="e">
        <f t="shared" si="3"/>
        <v>#N/A</v>
      </c>
      <c r="AH33" s="453" t="str">
        <f t="shared" si="4"/>
        <v/>
      </c>
      <c r="AI33" s="138" t="e">
        <f>IF(NOT(OR(Z33=1,Z33=2)),IF(AQ33&gt;0,$AR$44*AQ33/SUMIF($AQ$8:$AQ$39,"&gt;0"),IF(AU33&gt;0,$AV$44*AU33/SUMIF($AU$8:$AU$39,"&gt;0"),IF(AS33&gt;0,$AT$44*AS33/SUMIF($AS$8:$AS$39,"&gt;0"),""))),IF(SUMIF(AJ34:$AJ$39,"=" &amp; AJ33,AI34:$AI$39)=0,"",SUMIF(AJ34:$AJ$39,"=" &amp; AJ33,AI34:$AI$39)))</f>
        <v>#N/A</v>
      </c>
      <c r="AJ33" s="139" t="e">
        <f t="shared" si="34"/>
        <v>#N/A</v>
      </c>
      <c r="AK33" s="453" t="str">
        <f t="shared" si="27"/>
        <v/>
      </c>
      <c r="AL33" s="146" t="str">
        <f t="shared" si="28"/>
        <v/>
      </c>
      <c r="AM33" s="146" t="str">
        <f t="shared" si="35"/>
        <v/>
      </c>
      <c r="AN33" s="146" t="str">
        <f t="shared" si="5"/>
        <v/>
      </c>
      <c r="AO33" s="146" t="e">
        <f t="shared" si="6"/>
        <v>#N/A</v>
      </c>
      <c r="AP33" s="453" t="str">
        <f t="shared" si="7"/>
        <v/>
      </c>
      <c r="AQ33" s="140">
        <f t="shared" si="29"/>
        <v>0</v>
      </c>
      <c r="AR33" s="141" t="str">
        <f t="shared" si="8"/>
        <v/>
      </c>
      <c r="AS33" s="142">
        <f t="shared" si="30"/>
        <v>0</v>
      </c>
      <c r="AT33" s="141" t="str">
        <f t="shared" si="9"/>
        <v/>
      </c>
      <c r="AU33" s="143">
        <f t="shared" si="10"/>
        <v>0</v>
      </c>
      <c r="AV33" s="144" t="str">
        <f t="shared" si="11"/>
        <v/>
      </c>
      <c r="AW33" s="143" t="b">
        <f t="shared" si="12"/>
        <v>0</v>
      </c>
      <c r="AX33" s="145" t="b">
        <f t="shared" si="13"/>
        <v>0</v>
      </c>
      <c r="AY33" s="143" t="b">
        <f t="shared" si="14"/>
        <v>0</v>
      </c>
      <c r="AZ33" s="145" t="b">
        <f t="shared" si="15"/>
        <v>0</v>
      </c>
      <c r="BA33" s="453" t="b">
        <f t="shared" si="16"/>
        <v>0</v>
      </c>
      <c r="BB33" s="453" t="b">
        <f t="shared" si="17"/>
        <v>0</v>
      </c>
      <c r="BC33" s="143" t="b">
        <f t="shared" si="18"/>
        <v>0</v>
      </c>
      <c r="BD33" s="146" t="b">
        <f t="shared" si="31"/>
        <v>0</v>
      </c>
      <c r="BE33" s="145" t="b">
        <f t="shared" si="37"/>
        <v>0</v>
      </c>
      <c r="BF33" s="147" t="b">
        <f t="shared" si="39"/>
        <v>0</v>
      </c>
      <c r="BG33" s="453" t="str">
        <f t="shared" si="38"/>
        <v>NA</v>
      </c>
      <c r="BH33" s="453" t="str">
        <f t="shared" si="32"/>
        <v/>
      </c>
      <c r="BI33" s="453" t="str">
        <f t="shared" si="22"/>
        <v/>
      </c>
      <c r="BJ33" s="453" t="str">
        <f t="shared" si="23"/>
        <v/>
      </c>
      <c r="BK33" s="453" t="str">
        <f t="shared" si="24"/>
        <v/>
      </c>
      <c r="BL33" s="148" t="str">
        <f t="shared" si="33"/>
        <v/>
      </c>
      <c r="BM33" s="453" t="str">
        <f t="shared" si="25"/>
        <v/>
      </c>
      <c r="BN33" s="453" t="str">
        <f t="shared" si="26"/>
        <v/>
      </c>
      <c r="BO33" s="150" t="s">
        <v>372</v>
      </c>
      <c r="BP33" s="161"/>
      <c r="BQ33" s="161"/>
      <c r="BR33" s="161"/>
      <c r="BS33" s="161"/>
      <c r="BT33" s="161"/>
      <c r="BU33" s="161"/>
    </row>
    <row r="34" spans="2:73" s="94" customFormat="1" ht="12.95" customHeight="1" x14ac:dyDescent="0.2">
      <c r="B34" s="151" t="str">
        <f>IF(ISNA(Z34),"",IF(OR(Z34=1,Z34=2),"    ",MAX($B$8:B33)+1))</f>
        <v/>
      </c>
      <c r="C34" s="904" t="str">
        <f t="shared" si="0"/>
        <v/>
      </c>
      <c r="D34" s="904"/>
      <c r="E34" s="904"/>
      <c r="F34" s="905"/>
      <c r="G34" s="133" t="str">
        <f t="shared" si="1"/>
        <v/>
      </c>
      <c r="H34" s="134" t="str">
        <f t="shared" si="2"/>
        <v/>
      </c>
      <c r="I34" s="152" t="str">
        <f t="shared" si="2"/>
        <v/>
      </c>
      <c r="J34" s="158"/>
      <c r="K34" s="159"/>
      <c r="L34" s="961"/>
      <c r="M34" s="962"/>
      <c r="N34" s="962"/>
      <c r="O34" s="962"/>
      <c r="P34" s="962"/>
      <c r="Q34" s="962"/>
      <c r="R34" s="963"/>
      <c r="T34" s="99">
        <v>27</v>
      </c>
      <c r="U34" s="88" t="e">
        <v>#N/A</v>
      </c>
      <c r="V34" s="453" t="e">
        <v>#N/A</v>
      </c>
      <c r="W34" s="453" t="e">
        <v>#N/A</v>
      </c>
      <c r="X34" s="453" t="e">
        <v>#N/A</v>
      </c>
      <c r="Y34" s="453" t="e">
        <v>#N/A</v>
      </c>
      <c r="Z34" s="146" t="e">
        <v>#N/A</v>
      </c>
      <c r="AA34" s="146" t="e">
        <v>#N/A</v>
      </c>
      <c r="AB34" s="146" t="e">
        <v>#N/A</v>
      </c>
      <c r="AC34" s="453" t="e">
        <v>#N/A</v>
      </c>
      <c r="AD34" s="453" t="e">
        <v>#N/A</v>
      </c>
      <c r="AE34" s="453" t="e">
        <v>#N/A</v>
      </c>
      <c r="AF34" s="453" t="e">
        <v>#N/A</v>
      </c>
      <c r="AG34" s="453" t="e">
        <f t="shared" si="3"/>
        <v>#N/A</v>
      </c>
      <c r="AH34" s="453" t="str">
        <f t="shared" si="4"/>
        <v/>
      </c>
      <c r="AI34" s="138" t="e">
        <f>IF(NOT(OR(Z34=1,Z34=2)),IF(AQ34&gt;0,$AR$44*AQ34/SUMIF($AQ$8:$AQ$39,"&gt;0"),IF(AU34&gt;0,$AV$44*AU34/SUMIF($AU$8:$AU$39,"&gt;0"),IF(AS34&gt;0,$AT$44*AS34/SUMIF($AS$8:$AS$39,"&gt;0"),""))),IF(SUMIF(AJ35:$AJ$39,"=" &amp; AJ34,AI35:$AI$39)=0,"",SUMIF(AJ35:$AJ$39,"=" &amp; AJ34,AI35:$AI$39)))</f>
        <v>#N/A</v>
      </c>
      <c r="AJ34" s="139" t="e">
        <f t="shared" si="34"/>
        <v>#N/A</v>
      </c>
      <c r="AK34" s="453" t="str">
        <f t="shared" si="27"/>
        <v/>
      </c>
      <c r="AL34" s="146" t="str">
        <f t="shared" si="28"/>
        <v/>
      </c>
      <c r="AM34" s="146" t="str">
        <f t="shared" si="35"/>
        <v/>
      </c>
      <c r="AN34" s="146" t="str">
        <f t="shared" si="5"/>
        <v/>
      </c>
      <c r="AO34" s="146" t="e">
        <f t="shared" si="6"/>
        <v>#N/A</v>
      </c>
      <c r="AP34" s="453" t="str">
        <f t="shared" si="7"/>
        <v/>
      </c>
      <c r="AQ34" s="140">
        <f t="shared" si="29"/>
        <v>0</v>
      </c>
      <c r="AR34" s="141" t="str">
        <f t="shared" si="8"/>
        <v/>
      </c>
      <c r="AS34" s="142">
        <f t="shared" si="30"/>
        <v>0</v>
      </c>
      <c r="AT34" s="141" t="str">
        <f t="shared" si="9"/>
        <v/>
      </c>
      <c r="AU34" s="143">
        <f t="shared" si="10"/>
        <v>0</v>
      </c>
      <c r="AV34" s="144" t="str">
        <f t="shared" si="11"/>
        <v/>
      </c>
      <c r="AW34" s="143" t="b">
        <f t="shared" si="12"/>
        <v>0</v>
      </c>
      <c r="AX34" s="145" t="b">
        <f t="shared" si="13"/>
        <v>0</v>
      </c>
      <c r="AY34" s="143" t="b">
        <f t="shared" si="14"/>
        <v>0</v>
      </c>
      <c r="AZ34" s="145" t="b">
        <f t="shared" si="15"/>
        <v>0</v>
      </c>
      <c r="BA34" s="453" t="b">
        <f t="shared" si="16"/>
        <v>0</v>
      </c>
      <c r="BB34" s="453" t="b">
        <f t="shared" si="17"/>
        <v>0</v>
      </c>
      <c r="BC34" s="143" t="b">
        <f t="shared" si="18"/>
        <v>0</v>
      </c>
      <c r="BD34" s="146" t="b">
        <f t="shared" si="31"/>
        <v>0</v>
      </c>
      <c r="BE34" s="145" t="b">
        <f t="shared" si="37"/>
        <v>0</v>
      </c>
      <c r="BF34" s="147" t="b">
        <f t="shared" si="39"/>
        <v>0</v>
      </c>
      <c r="BG34" s="453" t="str">
        <f t="shared" si="38"/>
        <v>NA</v>
      </c>
      <c r="BH34" s="453" t="str">
        <f t="shared" si="32"/>
        <v/>
      </c>
      <c r="BI34" s="453" t="str">
        <f t="shared" si="22"/>
        <v/>
      </c>
      <c r="BJ34" s="453" t="str">
        <f t="shared" si="23"/>
        <v/>
      </c>
      <c r="BK34" s="453" t="str">
        <f t="shared" si="24"/>
        <v/>
      </c>
      <c r="BL34" s="148" t="str">
        <f t="shared" si="33"/>
        <v/>
      </c>
      <c r="BM34" s="453" t="str">
        <f t="shared" si="25"/>
        <v/>
      </c>
      <c r="BN34" s="453" t="str">
        <f t="shared" si="26"/>
        <v/>
      </c>
      <c r="BO34" s="906"/>
      <c r="BP34" s="907"/>
      <c r="BQ34" s="907"/>
      <c r="BR34" s="907"/>
      <c r="BS34" s="907"/>
      <c r="BT34" s="907"/>
      <c r="BU34" s="908"/>
    </row>
    <row r="35" spans="2:73" s="94" customFormat="1" ht="12.95" customHeight="1" x14ac:dyDescent="0.2">
      <c r="B35" s="151" t="str">
        <f>IF(ISNA(Z35),"",IF(OR(Z35=1,Z35=2),"    ",MAX($B$8:B34)+1))</f>
        <v/>
      </c>
      <c r="C35" s="904" t="str">
        <f t="shared" si="0"/>
        <v/>
      </c>
      <c r="D35" s="904"/>
      <c r="E35" s="904"/>
      <c r="F35" s="905"/>
      <c r="G35" s="133" t="str">
        <f t="shared" si="1"/>
        <v/>
      </c>
      <c r="H35" s="134" t="str">
        <f t="shared" si="2"/>
        <v/>
      </c>
      <c r="I35" s="152" t="str">
        <f t="shared" si="2"/>
        <v/>
      </c>
      <c r="J35" s="158"/>
      <c r="K35" s="159"/>
      <c r="L35" s="961"/>
      <c r="M35" s="962"/>
      <c r="N35" s="962"/>
      <c r="O35" s="962"/>
      <c r="P35" s="962"/>
      <c r="Q35" s="962"/>
      <c r="R35" s="963"/>
      <c r="T35" s="99">
        <v>28</v>
      </c>
      <c r="U35" s="88" t="e">
        <v>#N/A</v>
      </c>
      <c r="V35" s="453" t="e">
        <v>#N/A</v>
      </c>
      <c r="W35" s="453" t="e">
        <v>#N/A</v>
      </c>
      <c r="X35" s="453" t="e">
        <v>#N/A</v>
      </c>
      <c r="Y35" s="453" t="e">
        <v>#N/A</v>
      </c>
      <c r="Z35" s="146" t="e">
        <v>#N/A</v>
      </c>
      <c r="AA35" s="146" t="e">
        <v>#N/A</v>
      </c>
      <c r="AB35" s="146" t="e">
        <v>#N/A</v>
      </c>
      <c r="AC35" s="453" t="e">
        <v>#N/A</v>
      </c>
      <c r="AD35" s="453" t="e">
        <v>#N/A</v>
      </c>
      <c r="AE35" s="453" t="e">
        <v>#N/A</v>
      </c>
      <c r="AF35" s="453" t="e">
        <v>#N/A</v>
      </c>
      <c r="AG35" s="453" t="e">
        <f t="shared" si="3"/>
        <v>#N/A</v>
      </c>
      <c r="AH35" s="453" t="str">
        <f t="shared" si="4"/>
        <v/>
      </c>
      <c r="AI35" s="138" t="e">
        <f>IF(NOT(OR(Z35=1,Z35=2)),IF(AQ35&gt;0,$AR$44*AQ35/SUMIF($AQ$8:$AQ$39,"&gt;0"),IF(AU35&gt;0,$AV$44*AU35/SUMIF($AU$8:$AU$39,"&gt;0"),IF(AS35&gt;0,$AT$44*AS35/SUMIF($AS$8:$AS$39,"&gt;0"),""))),IF(SUMIF(AJ36:$AJ$39,"=" &amp; AJ35,AI36:$AI$39)=0,"",SUMIF(AJ36:$AJ$39,"=" &amp; AJ35,AI36:$AI$39)))</f>
        <v>#N/A</v>
      </c>
      <c r="AJ35" s="139" t="e">
        <f t="shared" si="34"/>
        <v>#N/A</v>
      </c>
      <c r="AK35" s="453" t="str">
        <f t="shared" si="27"/>
        <v/>
      </c>
      <c r="AL35" s="146" t="str">
        <f t="shared" si="28"/>
        <v/>
      </c>
      <c r="AM35" s="146" t="str">
        <f t="shared" si="35"/>
        <v/>
      </c>
      <c r="AN35" s="146" t="str">
        <f t="shared" si="5"/>
        <v/>
      </c>
      <c r="AO35" s="146" t="e">
        <f t="shared" si="6"/>
        <v>#N/A</v>
      </c>
      <c r="AP35" s="453" t="str">
        <f t="shared" si="7"/>
        <v/>
      </c>
      <c r="AQ35" s="140">
        <f t="shared" si="29"/>
        <v>0</v>
      </c>
      <c r="AR35" s="141" t="str">
        <f t="shared" si="8"/>
        <v/>
      </c>
      <c r="AS35" s="142">
        <f t="shared" si="30"/>
        <v>0</v>
      </c>
      <c r="AT35" s="141" t="str">
        <f t="shared" si="9"/>
        <v/>
      </c>
      <c r="AU35" s="143">
        <f t="shared" si="10"/>
        <v>0</v>
      </c>
      <c r="AV35" s="144" t="str">
        <f t="shared" si="11"/>
        <v/>
      </c>
      <c r="AW35" s="143" t="b">
        <f t="shared" si="12"/>
        <v>0</v>
      </c>
      <c r="AX35" s="145" t="b">
        <f t="shared" si="13"/>
        <v>0</v>
      </c>
      <c r="AY35" s="143" t="b">
        <f t="shared" si="14"/>
        <v>0</v>
      </c>
      <c r="AZ35" s="145" t="b">
        <f t="shared" si="15"/>
        <v>0</v>
      </c>
      <c r="BA35" s="453" t="b">
        <f t="shared" si="16"/>
        <v>0</v>
      </c>
      <c r="BB35" s="453" t="b">
        <f t="shared" si="17"/>
        <v>0</v>
      </c>
      <c r="BC35" s="143" t="b">
        <f t="shared" si="18"/>
        <v>0</v>
      </c>
      <c r="BD35" s="146" t="b">
        <f t="shared" si="31"/>
        <v>0</v>
      </c>
      <c r="BE35" s="145" t="b">
        <f t="shared" si="37"/>
        <v>0</v>
      </c>
      <c r="BF35" s="147" t="b">
        <f t="shared" si="39"/>
        <v>0</v>
      </c>
      <c r="BG35" s="453" t="str">
        <f t="shared" si="38"/>
        <v>NA</v>
      </c>
      <c r="BH35" s="453" t="str">
        <f t="shared" si="32"/>
        <v/>
      </c>
      <c r="BI35" s="453" t="str">
        <f t="shared" si="22"/>
        <v/>
      </c>
      <c r="BJ35" s="453" t="str">
        <f t="shared" si="23"/>
        <v/>
      </c>
      <c r="BK35" s="453" t="str">
        <f t="shared" si="24"/>
        <v/>
      </c>
      <c r="BL35" s="148" t="str">
        <f t="shared" si="33"/>
        <v/>
      </c>
      <c r="BM35" s="453" t="str">
        <f t="shared" si="25"/>
        <v/>
      </c>
      <c r="BN35" s="453" t="str">
        <f t="shared" si="26"/>
        <v/>
      </c>
      <c r="BO35" s="909"/>
      <c r="BP35" s="910"/>
      <c r="BQ35" s="910"/>
      <c r="BR35" s="910"/>
      <c r="BS35" s="910"/>
      <c r="BT35" s="910"/>
      <c r="BU35" s="911"/>
    </row>
    <row r="36" spans="2:73" s="94" customFormat="1" ht="12.95" customHeight="1" x14ac:dyDescent="0.2">
      <c r="B36" s="151" t="str">
        <f>IF(ISNA(Z36),"",IF(OR(Z36=1,Z36=2),"    ",MAX($B$8:B35)+1))</f>
        <v/>
      </c>
      <c r="C36" s="904" t="str">
        <f t="shared" si="0"/>
        <v/>
      </c>
      <c r="D36" s="904"/>
      <c r="E36" s="904"/>
      <c r="F36" s="905"/>
      <c r="G36" s="133" t="str">
        <f t="shared" si="1"/>
        <v/>
      </c>
      <c r="H36" s="134" t="str">
        <f t="shared" si="2"/>
        <v/>
      </c>
      <c r="I36" s="152" t="str">
        <f t="shared" si="2"/>
        <v/>
      </c>
      <c r="J36" s="158"/>
      <c r="K36" s="159"/>
      <c r="L36" s="961"/>
      <c r="M36" s="962"/>
      <c r="N36" s="962"/>
      <c r="O36" s="962"/>
      <c r="P36" s="962"/>
      <c r="Q36" s="962"/>
      <c r="R36" s="963"/>
      <c r="T36" s="99">
        <v>29</v>
      </c>
      <c r="U36" s="88" t="e">
        <v>#N/A</v>
      </c>
      <c r="V36" s="453" t="e">
        <v>#N/A</v>
      </c>
      <c r="W36" s="453" t="e">
        <v>#N/A</v>
      </c>
      <c r="X36" s="453" t="e">
        <v>#N/A</v>
      </c>
      <c r="Y36" s="453" t="e">
        <v>#N/A</v>
      </c>
      <c r="Z36" s="146" t="e">
        <v>#N/A</v>
      </c>
      <c r="AA36" s="146" t="e">
        <v>#N/A</v>
      </c>
      <c r="AB36" s="146" t="e">
        <v>#N/A</v>
      </c>
      <c r="AC36" s="453" t="e">
        <v>#N/A</v>
      </c>
      <c r="AD36" s="453" t="e">
        <v>#N/A</v>
      </c>
      <c r="AE36" s="453" t="e">
        <v>#N/A</v>
      </c>
      <c r="AF36" s="453" t="e">
        <v>#N/A</v>
      </c>
      <c r="AG36" s="453" t="e">
        <f t="shared" si="3"/>
        <v>#N/A</v>
      </c>
      <c r="AH36" s="453" t="str">
        <f t="shared" si="4"/>
        <v/>
      </c>
      <c r="AI36" s="138" t="e">
        <f>IF(NOT(OR(Z36=1,Z36=2)),IF(AQ36&gt;0,$AR$44*AQ36/SUMIF($AQ$8:$AQ$39,"&gt;0"),IF(AU36&gt;0,$AV$44*AU36/SUMIF($AU$8:$AU$39,"&gt;0"),IF(AS36&gt;0,$AT$44*AS36/SUMIF($AS$8:$AS$39,"&gt;0"),""))),IF(SUMIF(AJ37:$AJ$39,"=" &amp; AJ36,AI37:$AI$39)=0,"",SUMIF(AJ37:$AJ$39,"=" &amp; AJ36,AI37:$AI$39)))</f>
        <v>#N/A</v>
      </c>
      <c r="AJ36" s="139" t="e">
        <f t="shared" si="34"/>
        <v>#N/A</v>
      </c>
      <c r="AK36" s="453" t="str">
        <f t="shared" si="27"/>
        <v/>
      </c>
      <c r="AL36" s="146" t="str">
        <f t="shared" si="28"/>
        <v/>
      </c>
      <c r="AM36" s="146" t="str">
        <f t="shared" si="35"/>
        <v/>
      </c>
      <c r="AN36" s="146" t="str">
        <f t="shared" si="5"/>
        <v/>
      </c>
      <c r="AO36" s="146" t="e">
        <f t="shared" si="6"/>
        <v>#N/A</v>
      </c>
      <c r="AP36" s="453" t="str">
        <f t="shared" si="7"/>
        <v/>
      </c>
      <c r="AQ36" s="140">
        <f t="shared" si="29"/>
        <v>0</v>
      </c>
      <c r="AR36" s="141" t="str">
        <f t="shared" si="8"/>
        <v/>
      </c>
      <c r="AS36" s="142">
        <f t="shared" si="30"/>
        <v>0</v>
      </c>
      <c r="AT36" s="141" t="str">
        <f t="shared" si="9"/>
        <v/>
      </c>
      <c r="AU36" s="143">
        <f t="shared" si="10"/>
        <v>0</v>
      </c>
      <c r="AV36" s="144" t="str">
        <f t="shared" si="11"/>
        <v/>
      </c>
      <c r="AW36" s="143" t="b">
        <f t="shared" si="12"/>
        <v>0</v>
      </c>
      <c r="AX36" s="145" t="b">
        <f t="shared" si="13"/>
        <v>0</v>
      </c>
      <c r="AY36" s="143" t="b">
        <f t="shared" si="14"/>
        <v>0</v>
      </c>
      <c r="AZ36" s="145" t="b">
        <f t="shared" si="15"/>
        <v>0</v>
      </c>
      <c r="BA36" s="453" t="b">
        <f t="shared" si="16"/>
        <v>0</v>
      </c>
      <c r="BB36" s="453" t="b">
        <f t="shared" si="17"/>
        <v>0</v>
      </c>
      <c r="BC36" s="143" t="b">
        <f t="shared" si="18"/>
        <v>0</v>
      </c>
      <c r="BD36" s="146" t="b">
        <f t="shared" si="31"/>
        <v>0</v>
      </c>
      <c r="BE36" s="145" t="b">
        <f t="shared" si="37"/>
        <v>0</v>
      </c>
      <c r="BF36" s="147" t="b">
        <f t="shared" si="39"/>
        <v>0</v>
      </c>
      <c r="BG36" s="453" t="str">
        <f t="shared" si="38"/>
        <v>NA</v>
      </c>
      <c r="BH36" s="453" t="str">
        <f t="shared" si="32"/>
        <v/>
      </c>
      <c r="BI36" s="453" t="str">
        <f t="shared" si="22"/>
        <v/>
      </c>
      <c r="BJ36" s="453" t="str">
        <f t="shared" si="23"/>
        <v/>
      </c>
      <c r="BK36" s="453" t="str">
        <f t="shared" si="24"/>
        <v/>
      </c>
      <c r="BL36" s="148" t="str">
        <f t="shared" si="33"/>
        <v/>
      </c>
      <c r="BM36" s="453" t="str">
        <f t="shared" si="25"/>
        <v/>
      </c>
      <c r="BN36" s="453" t="str">
        <f t="shared" si="26"/>
        <v/>
      </c>
      <c r="BO36" s="909"/>
      <c r="BP36" s="910"/>
      <c r="BQ36" s="910"/>
      <c r="BR36" s="910"/>
      <c r="BS36" s="910"/>
      <c r="BT36" s="910"/>
      <c r="BU36" s="911"/>
    </row>
    <row r="37" spans="2:73" s="94" customFormat="1" ht="12.95" customHeight="1" x14ac:dyDescent="0.2">
      <c r="B37" s="151" t="str">
        <f>IF(ISNA(Z37),"",IF(OR(Z37=1,Z37=2),"    ",MAX($B$8:B36)+1))</f>
        <v/>
      </c>
      <c r="C37" s="904" t="str">
        <f>IF(ISNA(Z37),"",CONCATENATE($U37,IF(ISNUMBER(AI37),TEXT(ROUND($AI37,3)," (0.0%)"),""),IF(AU37&gt;0," Bonus","")))</f>
        <v/>
      </c>
      <c r="D37" s="904"/>
      <c r="E37" s="904"/>
      <c r="F37" s="905"/>
      <c r="G37" s="133" t="str">
        <f t="shared" si="1"/>
        <v/>
      </c>
      <c r="H37" s="134" t="str">
        <f t="shared" si="2"/>
        <v/>
      </c>
      <c r="I37" s="152" t="str">
        <f t="shared" si="2"/>
        <v/>
      </c>
      <c r="J37" s="158"/>
      <c r="K37" s="159"/>
      <c r="L37" s="961"/>
      <c r="M37" s="962"/>
      <c r="N37" s="962"/>
      <c r="O37" s="962"/>
      <c r="P37" s="962"/>
      <c r="Q37" s="962"/>
      <c r="R37" s="963"/>
      <c r="T37" s="99">
        <v>30</v>
      </c>
      <c r="U37" s="88" t="e">
        <v>#N/A</v>
      </c>
      <c r="V37" s="453" t="e">
        <v>#N/A</v>
      </c>
      <c r="W37" s="453" t="e">
        <v>#N/A</v>
      </c>
      <c r="X37" s="453" t="e">
        <v>#N/A</v>
      </c>
      <c r="Y37" s="453" t="e">
        <v>#N/A</v>
      </c>
      <c r="Z37" s="146" t="e">
        <v>#N/A</v>
      </c>
      <c r="AA37" s="146" t="e">
        <v>#N/A</v>
      </c>
      <c r="AB37" s="146" t="e">
        <v>#N/A</v>
      </c>
      <c r="AC37" s="453" t="e">
        <v>#N/A</v>
      </c>
      <c r="AD37" s="453" t="e">
        <v>#N/A</v>
      </c>
      <c r="AE37" s="453" t="e">
        <v>#N/A</v>
      </c>
      <c r="AF37" s="453" t="e">
        <v>#N/A</v>
      </c>
      <c r="AG37" s="453" t="e">
        <f t="shared" si="3"/>
        <v>#N/A</v>
      </c>
      <c r="AH37" s="453" t="str">
        <f t="shared" si="4"/>
        <v/>
      </c>
      <c r="AI37" s="138" t="e">
        <f>IF(NOT(OR(Z37=1,Z37=2)),IF(AQ37&gt;0,$AR$44*AQ37/SUMIF($AQ$8:$AQ$39,"&gt;0"),IF(AU37&gt;0,$AV$44*AU37/SUMIF($AU$8:$AU$39,"&gt;0"),IF(AS37&gt;0,$AT$44*AS37/SUMIF($AS$8:$AS$39,"&gt;0"),""))),IF(SUMIF(AJ38:$AJ$39,"=" &amp; AJ37,AI38:$AI$39)=0,"",SUMIF(AJ38:$AJ$39,"=" &amp; AJ37,AI38:$AI$39)))</f>
        <v>#N/A</v>
      </c>
      <c r="AJ37" s="139" t="e">
        <f t="shared" si="34"/>
        <v>#N/A</v>
      </c>
      <c r="AK37" s="453" t="str">
        <f t="shared" si="27"/>
        <v/>
      </c>
      <c r="AL37" s="146" t="str">
        <f t="shared" si="28"/>
        <v/>
      </c>
      <c r="AM37" s="146" t="str">
        <f t="shared" si="35"/>
        <v/>
      </c>
      <c r="AN37" s="146" t="str">
        <f>IF(ISNUMBER(AH37),IF(AND(AB37=0,ISNUMBER(AC37),ISNUMBER(AL37)),1,""),"")</f>
        <v/>
      </c>
      <c r="AO37" s="146" t="e">
        <f t="shared" si="6"/>
        <v>#N/A</v>
      </c>
      <c r="AP37" s="453" t="str">
        <f t="shared" si="7"/>
        <v/>
      </c>
      <c r="AQ37" s="140">
        <f t="shared" si="29"/>
        <v>0</v>
      </c>
      <c r="AR37" s="141" t="str">
        <f t="shared" si="8"/>
        <v/>
      </c>
      <c r="AS37" s="142">
        <f t="shared" si="30"/>
        <v>0</v>
      </c>
      <c r="AT37" s="141" t="str">
        <f t="shared" si="9"/>
        <v/>
      </c>
      <c r="AU37" s="143">
        <f t="shared" si="10"/>
        <v>0</v>
      </c>
      <c r="AV37" s="144" t="str">
        <f t="shared" si="11"/>
        <v/>
      </c>
      <c r="AW37" s="143" t="b">
        <f t="shared" si="12"/>
        <v>0</v>
      </c>
      <c r="AX37" s="145" t="b">
        <f t="shared" si="13"/>
        <v>0</v>
      </c>
      <c r="AY37" s="143" t="b">
        <f t="shared" si="14"/>
        <v>0</v>
      </c>
      <c r="AZ37" s="145" t="b">
        <f t="shared" si="15"/>
        <v>0</v>
      </c>
      <c r="BA37" s="453" t="b">
        <f t="shared" si="16"/>
        <v>0</v>
      </c>
      <c r="BB37" s="453" t="b">
        <f t="shared" si="17"/>
        <v>0</v>
      </c>
      <c r="BC37" s="143" t="b">
        <f t="shared" si="18"/>
        <v>0</v>
      </c>
      <c r="BD37" s="146" t="b">
        <f t="shared" si="31"/>
        <v>0</v>
      </c>
      <c r="BE37" s="145" t="b">
        <f t="shared" si="37"/>
        <v>0</v>
      </c>
      <c r="BF37" s="147" t="b">
        <f t="shared" si="39"/>
        <v>0</v>
      </c>
      <c r="BG37" s="453" t="str">
        <f t="shared" si="38"/>
        <v>NA</v>
      </c>
      <c r="BH37" s="453" t="str">
        <f t="shared" si="32"/>
        <v/>
      </c>
      <c r="BI37" s="453" t="str">
        <f t="shared" si="22"/>
        <v/>
      </c>
      <c r="BJ37" s="453" t="str">
        <f t="shared" si="23"/>
        <v/>
      </c>
      <c r="BK37" s="453" t="str">
        <f t="shared" si="24"/>
        <v/>
      </c>
      <c r="BL37" s="148" t="str">
        <f t="shared" si="33"/>
        <v/>
      </c>
      <c r="BM37" s="453" t="str">
        <f t="shared" si="25"/>
        <v/>
      </c>
      <c r="BN37" s="453" t="str">
        <f t="shared" si="26"/>
        <v/>
      </c>
      <c r="BO37" s="912"/>
      <c r="BP37" s="913"/>
      <c r="BQ37" s="913"/>
      <c r="BR37" s="913"/>
      <c r="BS37" s="913"/>
      <c r="BT37" s="913"/>
      <c r="BU37" s="914"/>
    </row>
    <row r="38" spans="2:73" s="94" customFormat="1" ht="12.95" customHeight="1" x14ac:dyDescent="0.2">
      <c r="B38" s="151" t="str">
        <f>IF(ISNA(Z38),"",IF(OR(Z38=1,Z38=2),"    ",MAX($B$8:B37)+1))</f>
        <v/>
      </c>
      <c r="C38" s="904" t="str">
        <f t="shared" ref="C38:C39" si="40">IF(ISNA(Z38),"",CONCATENATE($U38,IF(ISNUMBER(AI38),TEXT(ROUND($AI38,3)," (0.0%)"),""),IF(AU38&gt;0," Bonus","")))</f>
        <v/>
      </c>
      <c r="D38" s="904"/>
      <c r="E38" s="904"/>
      <c r="F38" s="905"/>
      <c r="G38" s="133" t="str">
        <f t="shared" si="1"/>
        <v/>
      </c>
      <c r="H38" s="134" t="str">
        <f t="shared" si="2"/>
        <v/>
      </c>
      <c r="I38" s="152" t="str">
        <f t="shared" si="2"/>
        <v/>
      </c>
      <c r="J38" s="158"/>
      <c r="K38" s="159"/>
      <c r="L38" s="961"/>
      <c r="M38" s="962"/>
      <c r="N38" s="962"/>
      <c r="O38" s="962"/>
      <c r="P38" s="962"/>
      <c r="Q38" s="962"/>
      <c r="R38" s="963"/>
      <c r="T38" s="99">
        <v>31</v>
      </c>
      <c r="U38" s="88" t="e">
        <v>#N/A</v>
      </c>
      <c r="V38" s="453" t="e">
        <v>#N/A</v>
      </c>
      <c r="W38" s="453" t="e">
        <v>#N/A</v>
      </c>
      <c r="X38" s="453" t="e">
        <v>#N/A</v>
      </c>
      <c r="Y38" s="453" t="e">
        <v>#N/A</v>
      </c>
      <c r="Z38" s="146" t="e">
        <v>#N/A</v>
      </c>
      <c r="AA38" s="146" t="e">
        <v>#N/A</v>
      </c>
      <c r="AB38" s="146" t="e">
        <v>#N/A</v>
      </c>
      <c r="AC38" s="453" t="e">
        <v>#N/A</v>
      </c>
      <c r="AD38" s="453" t="e">
        <v>#N/A</v>
      </c>
      <c r="AE38" s="453" t="e">
        <v>#N/A</v>
      </c>
      <c r="AF38" s="453" t="e">
        <v>#N/A</v>
      </c>
      <c r="AG38" s="453" t="e">
        <f t="shared" si="3"/>
        <v>#N/A</v>
      </c>
      <c r="AH38" s="453" t="str">
        <f t="shared" si="4"/>
        <v/>
      </c>
      <c r="AI38" s="138" t="e">
        <f>IF(NOT(OR(Z38=1,Z38=2)),IF(AQ38&gt;0,$AR$44*AQ38/SUMIF($AQ$8:$AQ$39,"&gt;0"),IF(AU38&gt;0,$AV$44*AU38/SUMIF($AU$8:$AU$39,"&gt;0"),IF(AS38&gt;0,$AT$44*AS38/SUMIF($AS$8:$AS$39,"&gt;0"),""))),IF(SUMIF(AJ39:$AJ$39,"=" &amp; AJ38,AI39:$AI$39)=0,"",SUMIF(AJ39:$AJ$39,"=" &amp; AJ38,AI39:$AI$39)))</f>
        <v>#N/A</v>
      </c>
      <c r="AJ38" s="139" t="e">
        <f t="shared" si="34"/>
        <v>#N/A</v>
      </c>
      <c r="AK38" s="453" t="str">
        <f t="shared" si="27"/>
        <v/>
      </c>
      <c r="AL38" s="146" t="str">
        <f t="shared" si="28"/>
        <v/>
      </c>
      <c r="AM38" s="146" t="str">
        <f t="shared" si="35"/>
        <v/>
      </c>
      <c r="AN38" s="146" t="str">
        <f>IF(ISNUMBER(AH38),IF(AND(AB38=0,ISNUMBER(AC38),ISNUMBER(AL38)),1,""),"")</f>
        <v/>
      </c>
      <c r="AO38" s="146" t="e">
        <f t="shared" si="6"/>
        <v>#N/A</v>
      </c>
      <c r="AP38" s="453" t="str">
        <f t="shared" si="7"/>
        <v/>
      </c>
      <c r="AQ38" s="140">
        <f t="shared" si="29"/>
        <v>0</v>
      </c>
      <c r="AR38" s="141" t="str">
        <f t="shared" si="8"/>
        <v/>
      </c>
      <c r="AS38" s="142">
        <f t="shared" si="30"/>
        <v>0</v>
      </c>
      <c r="AT38" s="141" t="str">
        <f t="shared" si="9"/>
        <v/>
      </c>
      <c r="AU38" s="143">
        <f t="shared" si="10"/>
        <v>0</v>
      </c>
      <c r="AV38" s="144" t="str">
        <f t="shared" si="11"/>
        <v/>
      </c>
      <c r="AW38" s="143" t="b">
        <f t="shared" si="12"/>
        <v>0</v>
      </c>
      <c r="AX38" s="145" t="b">
        <f t="shared" si="13"/>
        <v>0</v>
      </c>
      <c r="AY38" s="143" t="b">
        <f t="shared" si="14"/>
        <v>0</v>
      </c>
      <c r="AZ38" s="145" t="b">
        <f t="shared" si="15"/>
        <v>0</v>
      </c>
      <c r="BA38" s="453" t="b">
        <f t="shared" si="16"/>
        <v>0</v>
      </c>
      <c r="BB38" s="453" t="b">
        <f t="shared" si="17"/>
        <v>0</v>
      </c>
      <c r="BC38" s="143" t="b">
        <f t="shared" si="18"/>
        <v>0</v>
      </c>
      <c r="BD38" s="146" t="b">
        <f t="shared" si="31"/>
        <v>0</v>
      </c>
      <c r="BE38" s="145" t="b">
        <f t="shared" si="37"/>
        <v>0</v>
      </c>
      <c r="BF38" s="147" t="b">
        <f t="shared" si="39"/>
        <v>0</v>
      </c>
      <c r="BG38" s="453" t="str">
        <f t="shared" si="38"/>
        <v>NA</v>
      </c>
      <c r="BH38" s="453" t="str">
        <f t="shared" si="32"/>
        <v/>
      </c>
      <c r="BI38" s="453" t="str">
        <f t="shared" si="22"/>
        <v/>
      </c>
      <c r="BJ38" s="453" t="str">
        <f t="shared" si="23"/>
        <v/>
      </c>
      <c r="BK38" s="453" t="str">
        <f t="shared" si="24"/>
        <v/>
      </c>
      <c r="BL38" s="148" t="str">
        <f t="shared" si="33"/>
        <v/>
      </c>
      <c r="BM38" s="453" t="str">
        <f t="shared" si="25"/>
        <v/>
      </c>
      <c r="BN38" s="453" t="str">
        <f t="shared" si="26"/>
        <v/>
      </c>
      <c r="BO38" s="150" t="s">
        <v>373</v>
      </c>
      <c r="BP38" s="150"/>
      <c r="BQ38" s="150"/>
      <c r="BR38" s="150"/>
      <c r="BS38" s="150"/>
      <c r="BT38" s="150"/>
      <c r="BU38" s="150"/>
    </row>
    <row r="39" spans="2:73" s="94" customFormat="1" ht="12.95" customHeight="1" thickBot="1" x14ac:dyDescent="0.25">
      <c r="B39" s="151" t="str">
        <f>IF(ISNA(Z39),"",IF(OR(Z39=1,Z39=2),"    ",MAX($B$8:B38)+1))</f>
        <v/>
      </c>
      <c r="C39" s="904" t="str">
        <f t="shared" si="40"/>
        <v/>
      </c>
      <c r="D39" s="904"/>
      <c r="E39" s="904"/>
      <c r="F39" s="905"/>
      <c r="G39" s="171" t="str">
        <f t="shared" si="1"/>
        <v/>
      </c>
      <c r="H39" s="134" t="str">
        <f t="shared" si="2"/>
        <v/>
      </c>
      <c r="I39" s="172" t="str">
        <f t="shared" si="2"/>
        <v/>
      </c>
      <c r="J39" s="173"/>
      <c r="K39" s="174"/>
      <c r="L39" s="964"/>
      <c r="M39" s="965"/>
      <c r="N39" s="965"/>
      <c r="O39" s="965"/>
      <c r="P39" s="965"/>
      <c r="Q39" s="965"/>
      <c r="R39" s="966"/>
      <c r="T39" s="99">
        <v>32</v>
      </c>
      <c r="U39" s="88" t="e">
        <v>#N/A</v>
      </c>
      <c r="V39" s="453" t="e">
        <v>#N/A</v>
      </c>
      <c r="W39" s="453" t="e">
        <v>#N/A</v>
      </c>
      <c r="X39" s="453" t="e">
        <v>#N/A</v>
      </c>
      <c r="Y39" s="453" t="e">
        <v>#N/A</v>
      </c>
      <c r="Z39" s="146" t="e">
        <v>#N/A</v>
      </c>
      <c r="AA39" s="146" t="e">
        <v>#N/A</v>
      </c>
      <c r="AB39" s="146" t="e">
        <v>#N/A</v>
      </c>
      <c r="AC39" s="453" t="e">
        <v>#N/A</v>
      </c>
      <c r="AD39" s="453" t="e">
        <v>#N/A</v>
      </c>
      <c r="AE39" s="453" t="e">
        <v>#N/A</v>
      </c>
      <c r="AF39" s="453" t="e">
        <v>#N/A</v>
      </c>
      <c r="AG39" s="453" t="e">
        <f t="shared" si="3"/>
        <v>#N/A</v>
      </c>
      <c r="AH39" s="453" t="str">
        <f t="shared" si="4"/>
        <v/>
      </c>
      <c r="AI39" s="138" t="e">
        <f>IF(NOT(OR(Z39=1,Z39=2)),IF(AQ39&gt;0,$AR$44*AQ39/SUMIF($AQ$8:$AQ$39,"&gt;0"),IF(AU39&gt;0,$AV$44*AU39/SUMIF($AU$8:$AU$39,"&gt;0"),IF(AS39&gt;0,$AT$44*AS39/SUMIF($AS$8:$AS$39,"&gt;0"),""))),IF(SUMIF(AJ$39:$AJ40,"=" &amp; AJ39,AI$39:$AI40)=0,"",SUMIF(AJ$39:$AJ40,"=" &amp; AJ39,AI$39:$AI40)))</f>
        <v>#N/A</v>
      </c>
      <c r="AJ39" s="139" t="e">
        <f t="shared" si="34"/>
        <v>#N/A</v>
      </c>
      <c r="AK39" s="453" t="str">
        <f t="shared" si="27"/>
        <v/>
      </c>
      <c r="AL39" s="146" t="str">
        <f t="shared" si="28"/>
        <v/>
      </c>
      <c r="AM39" s="146" t="str">
        <f t="shared" si="35"/>
        <v/>
      </c>
      <c r="AN39" s="146" t="str">
        <f>IF(ISNUMBER(AH39),IF(AND(AB39=0,ISNUMBER(AC39),ISNUMBER(AL39)),1,""),"")</f>
        <v/>
      </c>
      <c r="AO39" s="146" t="e">
        <f t="shared" si="6"/>
        <v>#N/A</v>
      </c>
      <c r="AP39" s="453" t="str">
        <f t="shared" si="7"/>
        <v/>
      </c>
      <c r="AQ39" s="140">
        <f t="shared" si="29"/>
        <v>0</v>
      </c>
      <c r="AR39" s="141" t="str">
        <f t="shared" si="8"/>
        <v/>
      </c>
      <c r="AS39" s="142">
        <f t="shared" si="30"/>
        <v>0</v>
      </c>
      <c r="AT39" s="141" t="str">
        <f t="shared" si="9"/>
        <v/>
      </c>
      <c r="AU39" s="143">
        <f t="shared" si="10"/>
        <v>0</v>
      </c>
      <c r="AV39" s="144" t="str">
        <f t="shared" si="11"/>
        <v/>
      </c>
      <c r="AW39" s="143" t="b">
        <f t="shared" si="12"/>
        <v>0</v>
      </c>
      <c r="AX39" s="145" t="b">
        <f t="shared" si="13"/>
        <v>0</v>
      </c>
      <c r="AY39" s="143" t="b">
        <f t="shared" si="14"/>
        <v>0</v>
      </c>
      <c r="AZ39" s="145" t="b">
        <f t="shared" si="15"/>
        <v>0</v>
      </c>
      <c r="BA39" s="453" t="b">
        <f t="shared" si="16"/>
        <v>0</v>
      </c>
      <c r="BB39" s="453" t="b">
        <f t="shared" si="17"/>
        <v>0</v>
      </c>
      <c r="BC39" s="143" t="b">
        <f t="shared" si="18"/>
        <v>0</v>
      </c>
      <c r="BD39" s="146" t="b">
        <f t="shared" si="31"/>
        <v>0</v>
      </c>
      <c r="BE39" s="145" t="b">
        <f t="shared" si="37"/>
        <v>0</v>
      </c>
      <c r="BF39" s="147" t="b">
        <f t="shared" si="39"/>
        <v>0</v>
      </c>
      <c r="BG39" s="453" t="str">
        <f t="shared" si="38"/>
        <v>NA</v>
      </c>
      <c r="BH39" s="453" t="str">
        <f t="shared" si="32"/>
        <v/>
      </c>
      <c r="BI39" s="453" t="str">
        <f t="shared" si="22"/>
        <v/>
      </c>
      <c r="BJ39" s="453" t="str">
        <f t="shared" si="23"/>
        <v/>
      </c>
      <c r="BK39" s="453" t="str">
        <f t="shared" si="24"/>
        <v/>
      </c>
      <c r="BL39" s="453" t="str">
        <f t="shared" si="33"/>
        <v/>
      </c>
      <c r="BM39" s="453" t="str">
        <f t="shared" si="25"/>
        <v/>
      </c>
      <c r="BN39" s="453" t="str">
        <f t="shared" si="26"/>
        <v/>
      </c>
      <c r="BO39" s="906"/>
      <c r="BP39" s="907"/>
      <c r="BQ39" s="907"/>
      <c r="BR39" s="907"/>
      <c r="BS39" s="907"/>
      <c r="BT39" s="907"/>
      <c r="BU39" s="908"/>
    </row>
    <row r="40" spans="2:73" s="91" customFormat="1" ht="8.25" customHeight="1" x14ac:dyDescent="0.2">
      <c r="B40" s="915" t="s">
        <v>374</v>
      </c>
      <c r="C40" s="916"/>
      <c r="D40" s="917"/>
      <c r="E40" s="452" t="s">
        <v>375</v>
      </c>
      <c r="F40" s="918" t="s">
        <v>376</v>
      </c>
      <c r="G40" s="919"/>
      <c r="H40" s="919" t="s">
        <v>377</v>
      </c>
      <c r="I40" s="919"/>
      <c r="J40" s="920" t="s">
        <v>378</v>
      </c>
      <c r="K40" s="921"/>
      <c r="L40" s="175" t="s">
        <v>379</v>
      </c>
      <c r="M40" s="922" t="s">
        <v>380</v>
      </c>
      <c r="N40" s="922"/>
      <c r="O40" s="923" t="str">
        <f>IF(U44,"DO REVIEW","DO REV N/A")</f>
        <v>DO REV N/A</v>
      </c>
      <c r="P40" s="924"/>
      <c r="Q40" s="176" t="str">
        <f>IF(U45,"ED REVIEW","ED REV N/A")</f>
        <v>ED REV N/A</v>
      </c>
      <c r="R40" s="177"/>
      <c r="S40" s="178">
        <v>0</v>
      </c>
      <c r="AI40" s="179"/>
      <c r="AJ40" s="92"/>
      <c r="AK40" s="92"/>
      <c r="AL40" s="92"/>
      <c r="AM40" s="92"/>
      <c r="AN40" s="92"/>
      <c r="AO40" s="88"/>
      <c r="AP40" s="92"/>
      <c r="AQ40" s="180"/>
      <c r="AR40" s="92"/>
      <c r="AS40" s="180"/>
      <c r="AT40" s="92"/>
      <c r="AU40" s="180"/>
      <c r="AV40" s="181"/>
      <c r="AW40" s="92"/>
      <c r="AX40" s="92"/>
      <c r="AY40" s="92"/>
      <c r="AZ40" s="92"/>
      <c r="BA40" s="92"/>
      <c r="BB40" s="92"/>
      <c r="BC40" s="92"/>
      <c r="BD40" s="92"/>
      <c r="BE40" s="92"/>
      <c r="BF40" s="92"/>
      <c r="BG40" s="92"/>
      <c r="BH40" s="88"/>
      <c r="BI40" s="88"/>
      <c r="BJ40" s="88"/>
      <c r="BK40" s="88"/>
      <c r="BL40" s="88"/>
      <c r="BM40" s="88"/>
      <c r="BN40" s="88"/>
      <c r="BO40" s="909"/>
      <c r="BP40" s="910"/>
      <c r="BQ40" s="910"/>
      <c r="BR40" s="910"/>
      <c r="BS40" s="910"/>
      <c r="BT40" s="910"/>
      <c r="BU40" s="911"/>
    </row>
    <row r="41" spans="2:73" ht="18.75" customHeight="1" thickBot="1" x14ac:dyDescent="0.25">
      <c r="B41" s="925" t="str">
        <f>IF(ISERROR(AR46),"",TEXT(AR45,"0.0%"))</f>
        <v>95.1%</v>
      </c>
      <c r="C41" s="926"/>
      <c r="D41" s="927"/>
      <c r="E41" s="182" t="str">
        <f>IF(AU41=0,"N/A",CONCATENATE(TEXT(AV45,"0.0%")," of ",TEXT(AV44,"0.0%")))</f>
        <v>N/A</v>
      </c>
      <c r="F41" s="929" t="str">
        <f>IF((graded_aca_events+graded_amn_events)&lt;1,"---",IF(AND(AW4,AX4),"INCOMPLETE",IF(AND(NOT(AW4),AX4),"ACA INC",IF(AND(AW4,NOT(AX4)),"AMN INC","COMPLETE"))))</f>
        <v>COMPLETE</v>
      </c>
      <c r="G41" s="929"/>
      <c r="H41" s="929" t="str">
        <f>IF(AU4,IF(OR(AY4="UNK",NOT(AN6)),"---",IF(AY4,"UNSAT",IF(AVERAGEIFS(AT8:AT39,AS8:AS39,"&gt;0")&lt;0.9,"MARG","SAT"))),"N/A")</f>
        <v>SAT</v>
      </c>
      <c r="I41" s="929"/>
      <c r="J41" s="930" t="str">
        <f>IF(OR(AZ4="UNK",NOT(AM6)),"---",IF(OR(AZ4,AR45&lt;0.7),"FAIL","PASS"))</f>
        <v>PASS</v>
      </c>
      <c r="K41" s="931"/>
      <c r="L41" s="868" t="s">
        <v>1031</v>
      </c>
      <c r="M41" s="932"/>
      <c r="N41" s="932"/>
      <c r="O41" s="933" t="s">
        <v>265</v>
      </c>
      <c r="P41" s="933"/>
      <c r="Q41" s="933" t="s">
        <v>265</v>
      </c>
      <c r="R41" s="934"/>
      <c r="S41" s="183"/>
      <c r="T41" s="99" t="s">
        <v>381</v>
      </c>
      <c r="U41" s="146" t="s">
        <v>382</v>
      </c>
      <c r="V41" s="184"/>
      <c r="W41" s="184"/>
      <c r="X41" s="184"/>
      <c r="Y41" s="184"/>
      <c r="Z41" s="184"/>
      <c r="AA41" s="184"/>
      <c r="AB41" s="184"/>
      <c r="AC41" s="184"/>
      <c r="AD41" s="184"/>
      <c r="AE41" s="184"/>
      <c r="AF41" s="184"/>
      <c r="AG41" s="184"/>
      <c r="AH41" s="184"/>
      <c r="AI41" s="86"/>
      <c r="AJ41" s="85"/>
      <c r="AK41" s="184"/>
      <c r="AL41" s="184"/>
      <c r="AM41" s="184">
        <f>SUM(AM8:AM39)</f>
        <v>13</v>
      </c>
      <c r="AN41" s="184">
        <f>SUM(AN8:AN39)</f>
        <v>5</v>
      </c>
      <c r="AO41" s="99"/>
      <c r="AP41" s="85"/>
      <c r="AQ41" s="185">
        <f>SUMIF(AQ8:AQ39,"&gt;0")</f>
        <v>11</v>
      </c>
      <c r="AR41" s="186">
        <f>IF(AQ41=0,0,SUMPRODUCT($AQ$8:$AQ$39,AR8:AR39)/SUM($AQ$8:$AQ$39))</f>
        <v>0.96363636363636362</v>
      </c>
      <c r="AS41" s="187">
        <f>SUMIF(AS8:AS39,"&gt;0")</f>
        <v>5</v>
      </c>
      <c r="AT41" s="186">
        <f>IF(AS41=0,0,SUMPRODUCT($AS$8:$AS$39,AT8:AT39)/SUM($AS$8:$AS$39))</f>
        <v>0.9</v>
      </c>
      <c r="AU41" s="187">
        <f>SUM(AU9:AU39)</f>
        <v>0</v>
      </c>
      <c r="AV41" s="186">
        <f>IF(AU41=0,0,SUMPRODUCT($AU$8:$AU$39,AV8:AV39)/SUM($AU$8:$AU$39))</f>
        <v>0</v>
      </c>
      <c r="AW41" s="188"/>
      <c r="AX41" s="188"/>
      <c r="AY41" s="188"/>
      <c r="AZ41" s="188"/>
      <c r="BA41" s="188"/>
      <c r="BB41" s="188"/>
      <c r="BC41" s="88" t="s">
        <v>383</v>
      </c>
      <c r="BD41" s="88" t="s">
        <v>384</v>
      </c>
      <c r="BE41" s="88" t="s">
        <v>385</v>
      </c>
      <c r="BO41" s="909"/>
      <c r="BP41" s="910"/>
      <c r="BQ41" s="910"/>
      <c r="BR41" s="910"/>
      <c r="BS41" s="910"/>
      <c r="BT41" s="910"/>
      <c r="BU41" s="911"/>
    </row>
    <row r="42" spans="2:73" ht="7.5" customHeight="1" thickTop="1" x14ac:dyDescent="0.2">
      <c r="L42" s="928" t="s">
        <v>729</v>
      </c>
      <c r="M42" s="928"/>
      <c r="N42" s="928"/>
      <c r="O42" s="928"/>
      <c r="P42" s="928"/>
      <c r="Q42" s="928"/>
      <c r="R42" s="928"/>
      <c r="AP42" s="184"/>
      <c r="AQ42" s="85"/>
      <c r="AR42" s="85"/>
      <c r="AT42" s="186"/>
      <c r="AU42" s="186"/>
      <c r="AV42" s="186"/>
      <c r="AW42" s="85"/>
      <c r="AX42" s="186"/>
      <c r="BO42" s="912"/>
      <c r="BP42" s="913"/>
      <c r="BQ42" s="913"/>
      <c r="BR42" s="913"/>
      <c r="BS42" s="913"/>
      <c r="BT42" s="913"/>
      <c r="BU42" s="914"/>
    </row>
    <row r="43" spans="2:73" ht="30.75" customHeight="1" x14ac:dyDescent="0.2">
      <c r="T43" s="189" t="s">
        <v>386</v>
      </c>
      <c r="U43" s="146" t="b">
        <v>0</v>
      </c>
      <c r="AI43" s="89">
        <f ca="1">SUMIF(AJ8:$AJ$39,"=" &amp; AJ8,AI9:$AI$39)</f>
        <v>0.2</v>
      </c>
      <c r="AO43" s="190"/>
      <c r="AS43" s="118" t="s">
        <v>387</v>
      </c>
      <c r="AT43" s="191">
        <f>SUMIF(X8:X39,"&gt;0")/SUMIF(W8:W39,"&gt;0")</f>
        <v>0.45454545454545453</v>
      </c>
      <c r="AU43" s="118" t="s">
        <v>388</v>
      </c>
      <c r="AV43" s="192">
        <f>SUMIF(AU8:AU39,"&gt;0")/SUMIF(AQ8:AQ39,"&gt;0")</f>
        <v>0</v>
      </c>
      <c r="AW43" s="193"/>
      <c r="BE43" s="88" t="b">
        <f>AND(ISBLANK($K30),J30&gt;0)</f>
        <v>0</v>
      </c>
      <c r="BO43" s="88"/>
      <c r="BP43" s="88"/>
      <c r="BQ43" s="90"/>
    </row>
    <row r="44" spans="2:73" ht="30.75" customHeight="1" x14ac:dyDescent="0.2">
      <c r="J44" s="194"/>
      <c r="T44" s="195" t="s">
        <v>389</v>
      </c>
      <c r="U44" s="88" t="b">
        <f>IF(AND(Flight?,OR(AW4,AY4,BA4,AZ4,AR45&lt;0.7,H41="MARG")),TRUE,FALSE)</f>
        <v>0</v>
      </c>
      <c r="AO44" s="196"/>
      <c r="AQ44" s="118" t="s">
        <v>390</v>
      </c>
      <c r="AR44" s="191">
        <f>1-AT44</f>
        <v>0.8</v>
      </c>
      <c r="AS44" s="118" t="s">
        <v>391</v>
      </c>
      <c r="AT44" s="191">
        <f>MIN(AT43,AT6)</f>
        <v>0.2</v>
      </c>
      <c r="AU44" s="118" t="s">
        <v>392</v>
      </c>
      <c r="AV44" s="89">
        <f>MIN(AV43,AV6)</f>
        <v>0</v>
      </c>
      <c r="BO44" s="88"/>
      <c r="BP44" s="88"/>
      <c r="BQ44" s="90"/>
    </row>
    <row r="45" spans="2:73" ht="25.5" x14ac:dyDescent="0.2">
      <c r="T45" s="195" t="s">
        <v>393</v>
      </c>
      <c r="U45" s="88" t="b">
        <f>IF(OR(AX4,AY4,AZ4,BB4,AR45&lt;0.7),TRUE,FALSE)</f>
        <v>0</v>
      </c>
      <c r="AO45" s="197"/>
      <c r="AQ45" s="118" t="s">
        <v>394</v>
      </c>
      <c r="AR45" s="89">
        <f>AR41*(1-AT44)+(AT41*AT44)</f>
        <v>0.95090909090909104</v>
      </c>
      <c r="AU45" s="88" t="s">
        <v>324</v>
      </c>
      <c r="AV45" s="89">
        <f>AV41*AV44</f>
        <v>0</v>
      </c>
      <c r="BO45" s="88"/>
      <c r="BP45" s="88"/>
      <c r="BQ45" s="90"/>
    </row>
    <row r="46" spans="2:73" ht="25.5" x14ac:dyDescent="0.2">
      <c r="T46" s="195" t="s">
        <v>395</v>
      </c>
      <c r="U46" s="88" t="b">
        <v>0</v>
      </c>
      <c r="AO46" s="197"/>
      <c r="AQ46" s="118" t="s">
        <v>396</v>
      </c>
      <c r="AR46" s="89">
        <f>MIN(1,IF(NOT(OR(AY4,AZ4)),AR45+AV45,MIN(0.69,AR45+AV45)))</f>
        <v>0.95090909090909104</v>
      </c>
      <c r="BO46" s="88"/>
      <c r="BP46" s="88"/>
      <c r="BQ46" s="90"/>
    </row>
    <row r="47" spans="2:73" x14ac:dyDescent="0.2">
      <c r="T47" s="195" t="s">
        <v>397</v>
      </c>
      <c r="U47" s="88" t="b">
        <f>IF(NOT(Flight?),TRUE,NOT(OR(ISBLANK(comments),ISBLANK(hdr_class),ISBLANK(hdr_date),ISBLANK(hdr_stud),ISBLANK(hdr_instr),ISBLANK(hdr_acft),ISBLANK(hdr_time),F41="---")))</f>
        <v>1</v>
      </c>
      <c r="AO47" s="197"/>
      <c r="AR47" s="118"/>
      <c r="AS47" s="89"/>
    </row>
    <row r="48" spans="2:73" x14ac:dyDescent="0.2">
      <c r="T48" s="195" t="s">
        <v>398</v>
      </c>
      <c r="U48" s="88" t="b">
        <f>IF(Flight?,TRUE,NOT(OR(ISBLANK(comments),ISBLANK(hdr_class),ISBLANK(hdr_date),ISBLANK(hdr_stud),ISBLANK(hdr_instr),F41="---")))</f>
        <v>1</v>
      </c>
      <c r="AO48" s="196"/>
      <c r="AP48" s="85" t="s">
        <v>399</v>
      </c>
      <c r="AQ48" s="85"/>
      <c r="AR48" s="85"/>
      <c r="AS48" s="85"/>
      <c r="AT48" s="85"/>
    </row>
    <row r="49" spans="20:50" x14ac:dyDescent="0.2">
      <c r="T49" s="195" t="s">
        <v>400</v>
      </c>
      <c r="U49" s="88" t="b">
        <f>AND(U47:U48)</f>
        <v>1</v>
      </c>
      <c r="AO49" s="196"/>
      <c r="AP49" s="85"/>
      <c r="AQ49" s="85"/>
      <c r="AR49" s="85">
        <v>0</v>
      </c>
      <c r="AS49" s="85">
        <v>1</v>
      </c>
      <c r="AT49" s="85">
        <v>2</v>
      </c>
      <c r="AU49" s="85">
        <v>3</v>
      </c>
      <c r="AV49" s="85">
        <v>4</v>
      </c>
    </row>
    <row r="50" spans="20:50" x14ac:dyDescent="0.2">
      <c r="AO50" s="196"/>
      <c r="AP50" s="85" t="s">
        <v>359</v>
      </c>
      <c r="AQ50" s="85">
        <v>1</v>
      </c>
      <c r="AR50" s="198">
        <v>0.7</v>
      </c>
      <c r="AS50" s="198">
        <v>0.9</v>
      </c>
      <c r="AT50" s="198">
        <v>0.93330000000000002</v>
      </c>
      <c r="AU50" s="198">
        <v>0.9667</v>
      </c>
      <c r="AV50" s="198">
        <v>1</v>
      </c>
    </row>
    <row r="51" spans="20:50" x14ac:dyDescent="0.2">
      <c r="AO51" s="196"/>
      <c r="AP51" s="85" t="s">
        <v>360</v>
      </c>
      <c r="AQ51" s="85">
        <v>2</v>
      </c>
      <c r="AR51" s="198">
        <v>0.7</v>
      </c>
      <c r="AS51" s="198">
        <v>0.8</v>
      </c>
      <c r="AT51" s="198">
        <v>0.9</v>
      </c>
      <c r="AU51" s="198">
        <v>0.95</v>
      </c>
      <c r="AV51" s="198">
        <v>1</v>
      </c>
    </row>
    <row r="52" spans="20:50" x14ac:dyDescent="0.2">
      <c r="AO52" s="196"/>
      <c r="AP52" s="85" t="s">
        <v>361</v>
      </c>
      <c r="AQ52" s="85">
        <v>3</v>
      </c>
      <c r="AR52" s="198">
        <v>0.7</v>
      </c>
      <c r="AS52" s="198">
        <v>0.76670000000000005</v>
      </c>
      <c r="AT52" s="198">
        <v>0.83330000000000004</v>
      </c>
      <c r="AU52" s="198">
        <v>0.9</v>
      </c>
      <c r="AV52" s="198">
        <v>1</v>
      </c>
    </row>
    <row r="53" spans="20:50" x14ac:dyDescent="0.2">
      <c r="AP53" s="199" t="s">
        <v>362</v>
      </c>
      <c r="AQ53" s="85">
        <v>11</v>
      </c>
      <c r="AR53" s="198">
        <v>0.6</v>
      </c>
      <c r="AS53" s="198">
        <v>0.9</v>
      </c>
      <c r="AT53" s="198">
        <v>0.93330000000000002</v>
      </c>
      <c r="AU53" s="198">
        <v>0.9667</v>
      </c>
      <c r="AV53" s="198">
        <v>1</v>
      </c>
    </row>
    <row r="54" spans="20:50" x14ac:dyDescent="0.2">
      <c r="AP54" s="199" t="s">
        <v>363</v>
      </c>
      <c r="AQ54" s="85">
        <v>12</v>
      </c>
      <c r="AR54" s="198">
        <v>0.6</v>
      </c>
      <c r="AS54" s="198">
        <v>0.7</v>
      </c>
      <c r="AT54" s="198">
        <v>0.9</v>
      </c>
      <c r="AU54" s="198">
        <v>0.95</v>
      </c>
      <c r="AV54" s="198">
        <v>1</v>
      </c>
    </row>
    <row r="55" spans="20:50" x14ac:dyDescent="0.2">
      <c r="AP55" s="199" t="s">
        <v>364</v>
      </c>
      <c r="AQ55" s="85">
        <v>13</v>
      </c>
      <c r="AR55" s="198">
        <v>0.6</v>
      </c>
      <c r="AS55" s="198">
        <v>0.7</v>
      </c>
      <c r="AT55" s="198">
        <v>0.8</v>
      </c>
      <c r="AU55" s="198">
        <v>0.9</v>
      </c>
      <c r="AV55" s="198">
        <v>1</v>
      </c>
    </row>
    <row r="56" spans="20:50" x14ac:dyDescent="0.2">
      <c r="AP56" s="199" t="s">
        <v>365</v>
      </c>
      <c r="AQ56" s="85">
        <v>22</v>
      </c>
      <c r="AR56" s="198">
        <v>0.3</v>
      </c>
      <c r="AS56" s="198">
        <v>0.6</v>
      </c>
      <c r="AT56" s="198">
        <v>0.9</v>
      </c>
      <c r="AU56" s="198">
        <v>0.95</v>
      </c>
      <c r="AV56" s="198">
        <v>1</v>
      </c>
    </row>
    <row r="57" spans="20:50" x14ac:dyDescent="0.2">
      <c r="AP57" s="199" t="s">
        <v>366</v>
      </c>
      <c r="AQ57" s="85">
        <v>23</v>
      </c>
      <c r="AR57" s="198">
        <v>0.3</v>
      </c>
      <c r="AS57" s="198">
        <v>0.6</v>
      </c>
      <c r="AT57" s="198">
        <v>0.7</v>
      </c>
      <c r="AU57" s="198">
        <v>0.9</v>
      </c>
      <c r="AV57" s="198">
        <v>1</v>
      </c>
    </row>
    <row r="58" spans="20:50" x14ac:dyDescent="0.2">
      <c r="AP58" s="199" t="s">
        <v>367</v>
      </c>
      <c r="AQ58" s="85">
        <v>33</v>
      </c>
      <c r="AR58" s="198">
        <v>0</v>
      </c>
      <c r="AS58" s="198">
        <v>0.3</v>
      </c>
      <c r="AT58" s="198">
        <v>0.6</v>
      </c>
      <c r="AU58" s="198">
        <v>0.9</v>
      </c>
      <c r="AV58" s="198">
        <v>1</v>
      </c>
      <c r="AW58" s="85"/>
    </row>
    <row r="60" spans="20:50" x14ac:dyDescent="0.2">
      <c r="AQ60" s="85"/>
      <c r="AW60" s="85"/>
      <c r="AX60" s="85"/>
    </row>
    <row r="61" spans="20:50" x14ac:dyDescent="0.2">
      <c r="AP61" s="200"/>
      <c r="AQ61" s="85"/>
      <c r="AW61" s="85"/>
      <c r="AX61" s="85"/>
    </row>
    <row r="62" spans="20:50" x14ac:dyDescent="0.2">
      <c r="AP62" s="85"/>
      <c r="AQ62" s="85"/>
      <c r="AW62" s="85"/>
      <c r="AX62" s="85"/>
    </row>
    <row r="63" spans="20:50" x14ac:dyDescent="0.2">
      <c r="AP63" s="85"/>
      <c r="AQ63" s="85"/>
      <c r="AW63" s="85"/>
    </row>
    <row r="64" spans="20:50" x14ac:dyDescent="0.2">
      <c r="AP64" s="85"/>
      <c r="AQ64" s="85"/>
      <c r="AW64" s="85"/>
    </row>
    <row r="65" spans="42:43" x14ac:dyDescent="0.2">
      <c r="AP65" s="85"/>
      <c r="AQ65" s="85"/>
    </row>
    <row r="66" spans="42:43" x14ac:dyDescent="0.2">
      <c r="AP66" s="85"/>
      <c r="AQ66" s="85"/>
    </row>
  </sheetData>
  <sheetProtection algorithmName="SHA-512" hashValue="m0vG1kwxu2C13BcgRYj06AtYjsJn0a/EEfSm7l7c+j//n73Gk/jV+uZ7mEQJytYy1FAtrARlldwA+mVwJ/cNsA==" saltValue="RntkhD45sxysjDOpv308Pg==" spinCount="100000" sheet="1" objects="1" scenarios="1"/>
  <mergeCells count="76">
    <mergeCell ref="Q5:R5"/>
    <mergeCell ref="B6:E6"/>
    <mergeCell ref="B4:G4"/>
    <mergeCell ref="H4:N4"/>
    <mergeCell ref="O4:P4"/>
    <mergeCell ref="Q4:R4"/>
    <mergeCell ref="B5:E5"/>
    <mergeCell ref="F5:G5"/>
    <mergeCell ref="H5:L5"/>
    <mergeCell ref="M5:N5"/>
    <mergeCell ref="O5:P5"/>
    <mergeCell ref="C31:F31"/>
    <mergeCell ref="C32:F32"/>
    <mergeCell ref="BP3:BU4"/>
    <mergeCell ref="F6:G6"/>
    <mergeCell ref="H6:L6"/>
    <mergeCell ref="M6:N6"/>
    <mergeCell ref="O6:P6"/>
    <mergeCell ref="Q6:R6"/>
    <mergeCell ref="B3:G3"/>
    <mergeCell ref="H3:N3"/>
    <mergeCell ref="O3:P3"/>
    <mergeCell ref="Q3:R3"/>
    <mergeCell ref="B7:F7"/>
    <mergeCell ref="L7:R7"/>
    <mergeCell ref="BH4:BK6"/>
    <mergeCell ref="BL4:BN6"/>
    <mergeCell ref="C33:F33"/>
    <mergeCell ref="C34:F34"/>
    <mergeCell ref="BO34:BU37"/>
    <mergeCell ref="C8:F8"/>
    <mergeCell ref="L8:R39"/>
    <mergeCell ref="C9:F9"/>
    <mergeCell ref="C10:F10"/>
    <mergeCell ref="C11:F11"/>
    <mergeCell ref="C12:F12"/>
    <mergeCell ref="C13:F13"/>
    <mergeCell ref="C14:F14"/>
    <mergeCell ref="C15:F15"/>
    <mergeCell ref="C16:F16"/>
    <mergeCell ref="C30:F30"/>
    <mergeCell ref="C17:F17"/>
    <mergeCell ref="C18:F18"/>
    <mergeCell ref="BQ19:BU19"/>
    <mergeCell ref="C20:F20"/>
    <mergeCell ref="C21:F21"/>
    <mergeCell ref="BO21:BO29"/>
    <mergeCell ref="C22:F22"/>
    <mergeCell ref="C23:F23"/>
    <mergeCell ref="C24:F24"/>
    <mergeCell ref="C25:F25"/>
    <mergeCell ref="C26:F26"/>
    <mergeCell ref="C27:F27"/>
    <mergeCell ref="C28:F28"/>
    <mergeCell ref="C29:F29"/>
    <mergeCell ref="C19:F19"/>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s>
  <conditionalFormatting sqref="B8:F39">
    <cfRule type="expression" dxfId="395" priority="8" stopIfTrue="1">
      <formula>IF($Z8=1,TRUE,FALSE)</formula>
    </cfRule>
    <cfRule type="expression" dxfId="394" priority="9">
      <formula>IF($Z8=2,TRUE,FALSE)</formula>
    </cfRule>
  </conditionalFormatting>
  <conditionalFormatting sqref="C8:F39">
    <cfRule type="expression" dxfId="393" priority="1" stopIfTrue="1">
      <formula>IF($AF8=FALSE,TRUE,FALSE)</formula>
    </cfRule>
  </conditionalFormatting>
  <conditionalFormatting sqref="F5:G6 M5:P6">
    <cfRule type="expression" dxfId="392" priority="4" stopIfTrue="1">
      <formula>NOT($AU$4)</formula>
    </cfRule>
  </conditionalFormatting>
  <conditionalFormatting sqref="F6:G6">
    <cfRule type="cellIs" dxfId="391" priority="3" operator="equal">
      <formula>""</formula>
    </cfRule>
  </conditionalFormatting>
  <conditionalFormatting sqref="G8:K39">
    <cfRule type="expression" dxfId="390" priority="6" stopIfTrue="1">
      <formula>IF($Z8=1,TRUE,FALSE)</formula>
    </cfRule>
    <cfRule type="expression" dxfId="389" priority="7" stopIfTrue="1">
      <formula>IF($Z8=2,TRUE,FALSE)</formula>
    </cfRule>
  </conditionalFormatting>
  <conditionalFormatting sqref="H8:H39">
    <cfRule type="expression" dxfId="388" priority="10" stopIfTrue="1">
      <formula>IF($AB8=0,TRUE,FALSE)</formula>
    </cfRule>
  </conditionalFormatting>
  <conditionalFormatting sqref="H40:I41">
    <cfRule type="expression" dxfId="387" priority="2" stopIfTrue="1">
      <formula>IF($H$41="N/A",TRUE,FALSE)</formula>
    </cfRule>
  </conditionalFormatting>
  <conditionalFormatting sqref="H6:P6 O4:R4 B6 L8 L41 O41:R41">
    <cfRule type="containsBlanks" dxfId="386" priority="5">
      <formula>LEN(TRIM(B4))=0</formula>
    </cfRule>
  </conditionalFormatting>
  <conditionalFormatting sqref="J8:J39">
    <cfRule type="expression" dxfId="385" priority="14">
      <formula>IF($Z8=1,FALSE,OR($BE8,$BD8))</formula>
    </cfRule>
  </conditionalFormatting>
  <conditionalFormatting sqref="J8:K39 C8:F39">
    <cfRule type="expression" dxfId="384" priority="13">
      <formula>IF($Z8=1,FALSE,OR($AW8,$AX8,$AY8,$AZ8))</formula>
    </cfRule>
  </conditionalFormatting>
  <conditionalFormatting sqref="J8:K39">
    <cfRule type="expression" dxfId="383" priority="11" stopIfTrue="1">
      <formula>IF(ISNA($Z8),TRUE,FALSE)</formula>
    </cfRule>
  </conditionalFormatting>
  <conditionalFormatting sqref="K8:K39">
    <cfRule type="expression" dxfId="382" priority="12">
      <formula>IF(OR($Z8=1,$Z8=2),FALSE,OR($BC8,$BE8,$BF8))</formula>
    </cfRule>
  </conditionalFormatting>
  <dataValidations count="6">
    <dataValidation type="list" allowBlank="1" showInputMessage="1" showErrorMessage="1" sqref="F6:G6" xr:uid="{66730D4F-C17C-469C-BA1A-54027379E14B}">
      <formula1>"No,Yes"</formula1>
    </dataValidation>
    <dataValidation type="list" allowBlank="1" showInputMessage="1" showErrorMessage="1" sqref="J8:J39" xr:uid="{01027FC5-03E4-418F-9207-1CA2FBEA7426}">
      <formula1>"NA,0,1,2,3,4,5,6,7,8,9,10,11,12,13,14,15"</formula1>
    </dataValidation>
    <dataValidation type="list" allowBlank="1" showInputMessage="1" showErrorMessage="1" sqref="K8:K39" xr:uid="{E54617F2-2FF1-41E6-A7AB-A1414A938ABC}">
      <formula1>"D,0,1,2,3,4"</formula1>
    </dataValidation>
    <dataValidation showInputMessage="1" showErrorMessage="1" sqref="O41:R41" xr:uid="{C9F48808-0477-4972-B398-CAD9B9A99A9E}"/>
    <dataValidation type="decimal" allowBlank="1" showInputMessage="1" showErrorMessage="1" sqref="O6:P6" xr:uid="{8AD2AF92-C75C-4219-B171-12CDC6194410}">
      <formula1>0</formula1>
      <formula2>10</formula2>
    </dataValidation>
    <dataValidation type="date" allowBlank="1" showInputMessage="1" showErrorMessage="1" sqref="Q4:R4" xr:uid="{BA7D4DA0-7103-4A37-9384-C0A711B72626}">
      <formula1>41151</formula1>
      <formula2>77433</formula2>
    </dataValidation>
  </dataValidations>
  <hyperlinks>
    <hyperlink ref="BP3" location="PF!A1" display="PF phase Summary Page" xr:uid="{5217F24B-65D0-463C-9251-E1A18060F3C3}"/>
  </hyperlinks>
  <pageMargins left="0.5" right="0.5" top="0.75" bottom="0.5" header="0.5" footer="0.5"/>
  <pageSetup orientation="landscape" verticalDpi="599"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DCF57-E4A6-4884-95F8-738A35135176}">
  <sheetPr codeName="Sheet62">
    <tabColor rgb="FF00B0F0"/>
    <pageSetUpPr fitToPage="1"/>
  </sheetPr>
  <dimension ref="A1:U157"/>
  <sheetViews>
    <sheetView topLeftCell="A19" workbookViewId="0">
      <selection activeCell="E40" sqref="E40"/>
    </sheetView>
  </sheetViews>
  <sheetFormatPr defaultRowHeight="12.75" x14ac:dyDescent="0.2"/>
  <cols>
    <col min="1" max="2" width="2.7109375" style="87" customWidth="1"/>
    <col min="3" max="3" width="9.7109375" style="882" customWidth="1"/>
    <col min="4" max="4" width="4.7109375" style="285" customWidth="1"/>
    <col min="5" max="5" width="9.7109375" style="285" customWidth="1"/>
    <col min="6" max="6" width="0.7109375" style="286" customWidth="1"/>
    <col min="7" max="12" width="8.7109375" style="87" customWidth="1"/>
    <col min="13" max="14" width="2.7109375" style="87" customWidth="1"/>
    <col min="15" max="256" width="9.140625" style="87"/>
    <col min="257" max="258" width="2.7109375" style="87" customWidth="1"/>
    <col min="259" max="259" width="9.7109375" style="87" customWidth="1"/>
    <col min="260" max="260" width="4.7109375" style="87" customWidth="1"/>
    <col min="261" max="261" width="9.7109375" style="87" customWidth="1"/>
    <col min="262" max="262" width="0.7109375" style="87" customWidth="1"/>
    <col min="263" max="268" width="8.7109375" style="87" customWidth="1"/>
    <col min="269" max="270" width="2.7109375" style="87" customWidth="1"/>
    <col min="271" max="512" width="9.140625" style="87"/>
    <col min="513" max="514" width="2.7109375" style="87" customWidth="1"/>
    <col min="515" max="515" width="9.7109375" style="87" customWidth="1"/>
    <col min="516" max="516" width="4.7109375" style="87" customWidth="1"/>
    <col min="517" max="517" width="9.7109375" style="87" customWidth="1"/>
    <col min="518" max="518" width="0.7109375" style="87" customWidth="1"/>
    <col min="519" max="524" width="8.7109375" style="87" customWidth="1"/>
    <col min="525" max="526" width="2.7109375" style="87" customWidth="1"/>
    <col min="527" max="768" width="9.140625" style="87"/>
    <col min="769" max="770" width="2.7109375" style="87" customWidth="1"/>
    <col min="771" max="771" width="9.7109375" style="87" customWidth="1"/>
    <col min="772" max="772" width="4.7109375" style="87" customWidth="1"/>
    <col min="773" max="773" width="9.7109375" style="87" customWidth="1"/>
    <col min="774" max="774" width="0.7109375" style="87" customWidth="1"/>
    <col min="775" max="780" width="8.7109375" style="87" customWidth="1"/>
    <col min="781" max="782" width="2.7109375" style="87" customWidth="1"/>
    <col min="783" max="1024" width="9.140625" style="87"/>
    <col min="1025" max="1026" width="2.7109375" style="87" customWidth="1"/>
    <col min="1027" max="1027" width="9.7109375" style="87" customWidth="1"/>
    <col min="1028" max="1028" width="4.7109375" style="87" customWidth="1"/>
    <col min="1029" max="1029" width="9.7109375" style="87" customWidth="1"/>
    <col min="1030" max="1030" width="0.7109375" style="87" customWidth="1"/>
    <col min="1031" max="1036" width="8.7109375" style="87" customWidth="1"/>
    <col min="1037" max="1038" width="2.7109375" style="87" customWidth="1"/>
    <col min="1039" max="1280" width="9.140625" style="87"/>
    <col min="1281" max="1282" width="2.7109375" style="87" customWidth="1"/>
    <col min="1283" max="1283" width="9.7109375" style="87" customWidth="1"/>
    <col min="1284" max="1284" width="4.7109375" style="87" customWidth="1"/>
    <col min="1285" max="1285" width="9.7109375" style="87" customWidth="1"/>
    <col min="1286" max="1286" width="0.7109375" style="87" customWidth="1"/>
    <col min="1287" max="1292" width="8.7109375" style="87" customWidth="1"/>
    <col min="1293" max="1294" width="2.7109375" style="87" customWidth="1"/>
    <col min="1295" max="1536" width="9.140625" style="87"/>
    <col min="1537" max="1538" width="2.7109375" style="87" customWidth="1"/>
    <col min="1539" max="1539" width="9.7109375" style="87" customWidth="1"/>
    <col min="1540" max="1540" width="4.7109375" style="87" customWidth="1"/>
    <col min="1541" max="1541" width="9.7109375" style="87" customWidth="1"/>
    <col min="1542" max="1542" width="0.7109375" style="87" customWidth="1"/>
    <col min="1543" max="1548" width="8.7109375" style="87" customWidth="1"/>
    <col min="1549" max="1550" width="2.7109375" style="87" customWidth="1"/>
    <col min="1551" max="1792" width="9.140625" style="87"/>
    <col min="1793" max="1794" width="2.7109375" style="87" customWidth="1"/>
    <col min="1795" max="1795" width="9.7109375" style="87" customWidth="1"/>
    <col min="1796" max="1796" width="4.7109375" style="87" customWidth="1"/>
    <col min="1797" max="1797" width="9.7109375" style="87" customWidth="1"/>
    <col min="1798" max="1798" width="0.7109375" style="87" customWidth="1"/>
    <col min="1799" max="1804" width="8.7109375" style="87" customWidth="1"/>
    <col min="1805" max="1806" width="2.7109375" style="87" customWidth="1"/>
    <col min="1807" max="2048" width="9.140625" style="87"/>
    <col min="2049" max="2050" width="2.7109375" style="87" customWidth="1"/>
    <col min="2051" max="2051" width="9.7109375" style="87" customWidth="1"/>
    <col min="2052" max="2052" width="4.7109375" style="87" customWidth="1"/>
    <col min="2053" max="2053" width="9.7109375" style="87" customWidth="1"/>
    <col min="2054" max="2054" width="0.7109375" style="87" customWidth="1"/>
    <col min="2055" max="2060" width="8.7109375" style="87" customWidth="1"/>
    <col min="2061" max="2062" width="2.7109375" style="87" customWidth="1"/>
    <col min="2063" max="2304" width="9.140625" style="87"/>
    <col min="2305" max="2306" width="2.7109375" style="87" customWidth="1"/>
    <col min="2307" max="2307" width="9.7109375" style="87" customWidth="1"/>
    <col min="2308" max="2308" width="4.7109375" style="87" customWidth="1"/>
    <col min="2309" max="2309" width="9.7109375" style="87" customWidth="1"/>
    <col min="2310" max="2310" width="0.7109375" style="87" customWidth="1"/>
    <col min="2311" max="2316" width="8.7109375" style="87" customWidth="1"/>
    <col min="2317" max="2318" width="2.7109375" style="87" customWidth="1"/>
    <col min="2319" max="2560" width="9.140625" style="87"/>
    <col min="2561" max="2562" width="2.7109375" style="87" customWidth="1"/>
    <col min="2563" max="2563" width="9.7109375" style="87" customWidth="1"/>
    <col min="2564" max="2564" width="4.7109375" style="87" customWidth="1"/>
    <col min="2565" max="2565" width="9.7109375" style="87" customWidth="1"/>
    <col min="2566" max="2566" width="0.7109375" style="87" customWidth="1"/>
    <col min="2567" max="2572" width="8.7109375" style="87" customWidth="1"/>
    <col min="2573" max="2574" width="2.7109375" style="87" customWidth="1"/>
    <col min="2575" max="2816" width="9.140625" style="87"/>
    <col min="2817" max="2818" width="2.7109375" style="87" customWidth="1"/>
    <col min="2819" max="2819" width="9.7109375" style="87" customWidth="1"/>
    <col min="2820" max="2820" width="4.7109375" style="87" customWidth="1"/>
    <col min="2821" max="2821" width="9.7109375" style="87" customWidth="1"/>
    <col min="2822" max="2822" width="0.7109375" style="87" customWidth="1"/>
    <col min="2823" max="2828" width="8.7109375" style="87" customWidth="1"/>
    <col min="2829" max="2830" width="2.7109375" style="87" customWidth="1"/>
    <col min="2831" max="3072" width="9.140625" style="87"/>
    <col min="3073" max="3074" width="2.7109375" style="87" customWidth="1"/>
    <col min="3075" max="3075" width="9.7109375" style="87" customWidth="1"/>
    <col min="3076" max="3076" width="4.7109375" style="87" customWidth="1"/>
    <col min="3077" max="3077" width="9.7109375" style="87" customWidth="1"/>
    <col min="3078" max="3078" width="0.7109375" style="87" customWidth="1"/>
    <col min="3079" max="3084" width="8.7109375" style="87" customWidth="1"/>
    <col min="3085" max="3086" width="2.7109375" style="87" customWidth="1"/>
    <col min="3087" max="3328" width="9.140625" style="87"/>
    <col min="3329" max="3330" width="2.7109375" style="87" customWidth="1"/>
    <col min="3331" max="3331" width="9.7109375" style="87" customWidth="1"/>
    <col min="3332" max="3332" width="4.7109375" style="87" customWidth="1"/>
    <col min="3333" max="3333" width="9.7109375" style="87" customWidth="1"/>
    <col min="3334" max="3334" width="0.7109375" style="87" customWidth="1"/>
    <col min="3335" max="3340" width="8.7109375" style="87" customWidth="1"/>
    <col min="3341" max="3342" width="2.7109375" style="87" customWidth="1"/>
    <col min="3343" max="3584" width="9.140625" style="87"/>
    <col min="3585" max="3586" width="2.7109375" style="87" customWidth="1"/>
    <col min="3587" max="3587" width="9.7109375" style="87" customWidth="1"/>
    <col min="3588" max="3588" width="4.7109375" style="87" customWidth="1"/>
    <col min="3589" max="3589" width="9.7109375" style="87" customWidth="1"/>
    <col min="3590" max="3590" width="0.7109375" style="87" customWidth="1"/>
    <col min="3591" max="3596" width="8.7109375" style="87" customWidth="1"/>
    <col min="3597" max="3598" width="2.7109375" style="87" customWidth="1"/>
    <col min="3599" max="3840" width="9.140625" style="87"/>
    <col min="3841" max="3842" width="2.7109375" style="87" customWidth="1"/>
    <col min="3843" max="3843" width="9.7109375" style="87" customWidth="1"/>
    <col min="3844" max="3844" width="4.7109375" style="87" customWidth="1"/>
    <col min="3845" max="3845" width="9.7109375" style="87" customWidth="1"/>
    <col min="3846" max="3846" width="0.7109375" style="87" customWidth="1"/>
    <col min="3847" max="3852" width="8.7109375" style="87" customWidth="1"/>
    <col min="3853" max="3854" width="2.7109375" style="87" customWidth="1"/>
    <col min="3855" max="4096" width="9.140625" style="87"/>
    <col min="4097" max="4098" width="2.7109375" style="87" customWidth="1"/>
    <col min="4099" max="4099" width="9.7109375" style="87" customWidth="1"/>
    <col min="4100" max="4100" width="4.7109375" style="87" customWidth="1"/>
    <col min="4101" max="4101" width="9.7109375" style="87" customWidth="1"/>
    <col min="4102" max="4102" width="0.7109375" style="87" customWidth="1"/>
    <col min="4103" max="4108" width="8.7109375" style="87" customWidth="1"/>
    <col min="4109" max="4110" width="2.7109375" style="87" customWidth="1"/>
    <col min="4111" max="4352" width="9.140625" style="87"/>
    <col min="4353" max="4354" width="2.7109375" style="87" customWidth="1"/>
    <col min="4355" max="4355" width="9.7109375" style="87" customWidth="1"/>
    <col min="4356" max="4356" width="4.7109375" style="87" customWidth="1"/>
    <col min="4357" max="4357" width="9.7109375" style="87" customWidth="1"/>
    <col min="4358" max="4358" width="0.7109375" style="87" customWidth="1"/>
    <col min="4359" max="4364" width="8.7109375" style="87" customWidth="1"/>
    <col min="4365" max="4366" width="2.7109375" style="87" customWidth="1"/>
    <col min="4367" max="4608" width="9.140625" style="87"/>
    <col min="4609" max="4610" width="2.7109375" style="87" customWidth="1"/>
    <col min="4611" max="4611" width="9.7109375" style="87" customWidth="1"/>
    <col min="4612" max="4612" width="4.7109375" style="87" customWidth="1"/>
    <col min="4613" max="4613" width="9.7109375" style="87" customWidth="1"/>
    <col min="4614" max="4614" width="0.7109375" style="87" customWidth="1"/>
    <col min="4615" max="4620" width="8.7109375" style="87" customWidth="1"/>
    <col min="4621" max="4622" width="2.7109375" style="87" customWidth="1"/>
    <col min="4623" max="4864" width="9.140625" style="87"/>
    <col min="4865" max="4866" width="2.7109375" style="87" customWidth="1"/>
    <col min="4867" max="4867" width="9.7109375" style="87" customWidth="1"/>
    <col min="4868" max="4868" width="4.7109375" style="87" customWidth="1"/>
    <col min="4869" max="4869" width="9.7109375" style="87" customWidth="1"/>
    <col min="4870" max="4870" width="0.7109375" style="87" customWidth="1"/>
    <col min="4871" max="4876" width="8.7109375" style="87" customWidth="1"/>
    <col min="4877" max="4878" width="2.7109375" style="87" customWidth="1"/>
    <col min="4879" max="5120" width="9.140625" style="87"/>
    <col min="5121" max="5122" width="2.7109375" style="87" customWidth="1"/>
    <col min="5123" max="5123" width="9.7109375" style="87" customWidth="1"/>
    <col min="5124" max="5124" width="4.7109375" style="87" customWidth="1"/>
    <col min="5125" max="5125" width="9.7109375" style="87" customWidth="1"/>
    <col min="5126" max="5126" width="0.7109375" style="87" customWidth="1"/>
    <col min="5127" max="5132" width="8.7109375" style="87" customWidth="1"/>
    <col min="5133" max="5134" width="2.7109375" style="87" customWidth="1"/>
    <col min="5135" max="5376" width="9.140625" style="87"/>
    <col min="5377" max="5378" width="2.7109375" style="87" customWidth="1"/>
    <col min="5379" max="5379" width="9.7109375" style="87" customWidth="1"/>
    <col min="5380" max="5380" width="4.7109375" style="87" customWidth="1"/>
    <col min="5381" max="5381" width="9.7109375" style="87" customWidth="1"/>
    <col min="5382" max="5382" width="0.7109375" style="87" customWidth="1"/>
    <col min="5383" max="5388" width="8.7109375" style="87" customWidth="1"/>
    <col min="5389" max="5390" width="2.7109375" style="87" customWidth="1"/>
    <col min="5391" max="5632" width="9.140625" style="87"/>
    <col min="5633" max="5634" width="2.7109375" style="87" customWidth="1"/>
    <col min="5635" max="5635" width="9.7109375" style="87" customWidth="1"/>
    <col min="5636" max="5636" width="4.7109375" style="87" customWidth="1"/>
    <col min="5637" max="5637" width="9.7109375" style="87" customWidth="1"/>
    <col min="5638" max="5638" width="0.7109375" style="87" customWidth="1"/>
    <col min="5639" max="5644" width="8.7109375" style="87" customWidth="1"/>
    <col min="5645" max="5646" width="2.7109375" style="87" customWidth="1"/>
    <col min="5647" max="5888" width="9.140625" style="87"/>
    <col min="5889" max="5890" width="2.7109375" style="87" customWidth="1"/>
    <col min="5891" max="5891" width="9.7109375" style="87" customWidth="1"/>
    <col min="5892" max="5892" width="4.7109375" style="87" customWidth="1"/>
    <col min="5893" max="5893" width="9.7109375" style="87" customWidth="1"/>
    <col min="5894" max="5894" width="0.7109375" style="87" customWidth="1"/>
    <col min="5895" max="5900" width="8.7109375" style="87" customWidth="1"/>
    <col min="5901" max="5902" width="2.7109375" style="87" customWidth="1"/>
    <col min="5903" max="6144" width="9.140625" style="87"/>
    <col min="6145" max="6146" width="2.7109375" style="87" customWidth="1"/>
    <col min="6147" max="6147" width="9.7109375" style="87" customWidth="1"/>
    <col min="6148" max="6148" width="4.7109375" style="87" customWidth="1"/>
    <col min="6149" max="6149" width="9.7109375" style="87" customWidth="1"/>
    <col min="6150" max="6150" width="0.7109375" style="87" customWidth="1"/>
    <col min="6151" max="6156" width="8.7109375" style="87" customWidth="1"/>
    <col min="6157" max="6158" width="2.7109375" style="87" customWidth="1"/>
    <col min="6159" max="6400" width="9.140625" style="87"/>
    <col min="6401" max="6402" width="2.7109375" style="87" customWidth="1"/>
    <col min="6403" max="6403" width="9.7109375" style="87" customWidth="1"/>
    <col min="6404" max="6404" width="4.7109375" style="87" customWidth="1"/>
    <col min="6405" max="6405" width="9.7109375" style="87" customWidth="1"/>
    <col min="6406" max="6406" width="0.7109375" style="87" customWidth="1"/>
    <col min="6407" max="6412" width="8.7109375" style="87" customWidth="1"/>
    <col min="6413" max="6414" width="2.7109375" style="87" customWidth="1"/>
    <col min="6415" max="6656" width="9.140625" style="87"/>
    <col min="6657" max="6658" width="2.7109375" style="87" customWidth="1"/>
    <col min="6659" max="6659" width="9.7109375" style="87" customWidth="1"/>
    <col min="6660" max="6660" width="4.7109375" style="87" customWidth="1"/>
    <col min="6661" max="6661" width="9.7109375" style="87" customWidth="1"/>
    <col min="6662" max="6662" width="0.7109375" style="87" customWidth="1"/>
    <col min="6663" max="6668" width="8.7109375" style="87" customWidth="1"/>
    <col min="6669" max="6670" width="2.7109375" style="87" customWidth="1"/>
    <col min="6671" max="6912" width="9.140625" style="87"/>
    <col min="6913" max="6914" width="2.7109375" style="87" customWidth="1"/>
    <col min="6915" max="6915" width="9.7109375" style="87" customWidth="1"/>
    <col min="6916" max="6916" width="4.7109375" style="87" customWidth="1"/>
    <col min="6917" max="6917" width="9.7109375" style="87" customWidth="1"/>
    <col min="6918" max="6918" width="0.7109375" style="87" customWidth="1"/>
    <col min="6919" max="6924" width="8.7109375" style="87" customWidth="1"/>
    <col min="6925" max="6926" width="2.7109375" style="87" customWidth="1"/>
    <col min="6927" max="7168" width="9.140625" style="87"/>
    <col min="7169" max="7170" width="2.7109375" style="87" customWidth="1"/>
    <col min="7171" max="7171" width="9.7109375" style="87" customWidth="1"/>
    <col min="7172" max="7172" width="4.7109375" style="87" customWidth="1"/>
    <col min="7173" max="7173" width="9.7109375" style="87" customWidth="1"/>
    <col min="7174" max="7174" width="0.7109375" style="87" customWidth="1"/>
    <col min="7175" max="7180" width="8.7109375" style="87" customWidth="1"/>
    <col min="7181" max="7182" width="2.7109375" style="87" customWidth="1"/>
    <col min="7183" max="7424" width="9.140625" style="87"/>
    <col min="7425" max="7426" width="2.7109375" style="87" customWidth="1"/>
    <col min="7427" max="7427" width="9.7109375" style="87" customWidth="1"/>
    <col min="7428" max="7428" width="4.7109375" style="87" customWidth="1"/>
    <col min="7429" max="7429" width="9.7109375" style="87" customWidth="1"/>
    <col min="7430" max="7430" width="0.7109375" style="87" customWidth="1"/>
    <col min="7431" max="7436" width="8.7109375" style="87" customWidth="1"/>
    <col min="7437" max="7438" width="2.7109375" style="87" customWidth="1"/>
    <col min="7439" max="7680" width="9.140625" style="87"/>
    <col min="7681" max="7682" width="2.7109375" style="87" customWidth="1"/>
    <col min="7683" max="7683" width="9.7109375" style="87" customWidth="1"/>
    <col min="7684" max="7684" width="4.7109375" style="87" customWidth="1"/>
    <col min="7685" max="7685" width="9.7109375" style="87" customWidth="1"/>
    <col min="7686" max="7686" width="0.7109375" style="87" customWidth="1"/>
    <col min="7687" max="7692" width="8.7109375" style="87" customWidth="1"/>
    <col min="7693" max="7694" width="2.7109375" style="87" customWidth="1"/>
    <col min="7695" max="7936" width="9.140625" style="87"/>
    <col min="7937" max="7938" width="2.7109375" style="87" customWidth="1"/>
    <col min="7939" max="7939" width="9.7109375" style="87" customWidth="1"/>
    <col min="7940" max="7940" width="4.7109375" style="87" customWidth="1"/>
    <col min="7941" max="7941" width="9.7109375" style="87" customWidth="1"/>
    <col min="7942" max="7942" width="0.7109375" style="87" customWidth="1"/>
    <col min="7943" max="7948" width="8.7109375" style="87" customWidth="1"/>
    <col min="7949" max="7950" width="2.7109375" style="87" customWidth="1"/>
    <col min="7951" max="8192" width="9.140625" style="87"/>
    <col min="8193" max="8194" width="2.7109375" style="87" customWidth="1"/>
    <col min="8195" max="8195" width="9.7109375" style="87" customWidth="1"/>
    <col min="8196" max="8196" width="4.7109375" style="87" customWidth="1"/>
    <col min="8197" max="8197" width="9.7109375" style="87" customWidth="1"/>
    <col min="8198" max="8198" width="0.7109375" style="87" customWidth="1"/>
    <col min="8199" max="8204" width="8.7109375" style="87" customWidth="1"/>
    <col min="8205" max="8206" width="2.7109375" style="87" customWidth="1"/>
    <col min="8207" max="8448" width="9.140625" style="87"/>
    <col min="8449" max="8450" width="2.7109375" style="87" customWidth="1"/>
    <col min="8451" max="8451" width="9.7109375" style="87" customWidth="1"/>
    <col min="8452" max="8452" width="4.7109375" style="87" customWidth="1"/>
    <col min="8453" max="8453" width="9.7109375" style="87" customWidth="1"/>
    <col min="8454" max="8454" width="0.7109375" style="87" customWidth="1"/>
    <col min="8455" max="8460" width="8.7109375" style="87" customWidth="1"/>
    <col min="8461" max="8462" width="2.7109375" style="87" customWidth="1"/>
    <col min="8463" max="8704" width="9.140625" style="87"/>
    <col min="8705" max="8706" width="2.7109375" style="87" customWidth="1"/>
    <col min="8707" max="8707" width="9.7109375" style="87" customWidth="1"/>
    <col min="8708" max="8708" width="4.7109375" style="87" customWidth="1"/>
    <col min="8709" max="8709" width="9.7109375" style="87" customWidth="1"/>
    <col min="8710" max="8710" width="0.7109375" style="87" customWidth="1"/>
    <col min="8711" max="8716" width="8.7109375" style="87" customWidth="1"/>
    <col min="8717" max="8718" width="2.7109375" style="87" customWidth="1"/>
    <col min="8719" max="8960" width="9.140625" style="87"/>
    <col min="8961" max="8962" width="2.7109375" style="87" customWidth="1"/>
    <col min="8963" max="8963" width="9.7109375" style="87" customWidth="1"/>
    <col min="8964" max="8964" width="4.7109375" style="87" customWidth="1"/>
    <col min="8965" max="8965" width="9.7109375" style="87" customWidth="1"/>
    <col min="8966" max="8966" width="0.7109375" style="87" customWidth="1"/>
    <col min="8967" max="8972" width="8.7109375" style="87" customWidth="1"/>
    <col min="8973" max="8974" width="2.7109375" style="87" customWidth="1"/>
    <col min="8975" max="9216" width="9.140625" style="87"/>
    <col min="9217" max="9218" width="2.7109375" style="87" customWidth="1"/>
    <col min="9219" max="9219" width="9.7109375" style="87" customWidth="1"/>
    <col min="9220" max="9220" width="4.7109375" style="87" customWidth="1"/>
    <col min="9221" max="9221" width="9.7109375" style="87" customWidth="1"/>
    <col min="9222" max="9222" width="0.7109375" style="87" customWidth="1"/>
    <col min="9223" max="9228" width="8.7109375" style="87" customWidth="1"/>
    <col min="9229" max="9230" width="2.7109375" style="87" customWidth="1"/>
    <col min="9231" max="9472" width="9.140625" style="87"/>
    <col min="9473" max="9474" width="2.7109375" style="87" customWidth="1"/>
    <col min="9475" max="9475" width="9.7109375" style="87" customWidth="1"/>
    <col min="9476" max="9476" width="4.7109375" style="87" customWidth="1"/>
    <col min="9477" max="9477" width="9.7109375" style="87" customWidth="1"/>
    <col min="9478" max="9478" width="0.7109375" style="87" customWidth="1"/>
    <col min="9479" max="9484" width="8.7109375" style="87" customWidth="1"/>
    <col min="9485" max="9486" width="2.7109375" style="87" customWidth="1"/>
    <col min="9487" max="9728" width="9.140625" style="87"/>
    <col min="9729" max="9730" width="2.7109375" style="87" customWidth="1"/>
    <col min="9731" max="9731" width="9.7109375" style="87" customWidth="1"/>
    <col min="9732" max="9732" width="4.7109375" style="87" customWidth="1"/>
    <col min="9733" max="9733" width="9.7109375" style="87" customWidth="1"/>
    <col min="9734" max="9734" width="0.7109375" style="87" customWidth="1"/>
    <col min="9735" max="9740" width="8.7109375" style="87" customWidth="1"/>
    <col min="9741" max="9742" width="2.7109375" style="87" customWidth="1"/>
    <col min="9743" max="9984" width="9.140625" style="87"/>
    <col min="9985" max="9986" width="2.7109375" style="87" customWidth="1"/>
    <col min="9987" max="9987" width="9.7109375" style="87" customWidth="1"/>
    <col min="9988" max="9988" width="4.7109375" style="87" customWidth="1"/>
    <col min="9989" max="9989" width="9.7109375" style="87" customWidth="1"/>
    <col min="9990" max="9990" width="0.7109375" style="87" customWidth="1"/>
    <col min="9991" max="9996" width="8.7109375" style="87" customWidth="1"/>
    <col min="9997" max="9998" width="2.7109375" style="87" customWidth="1"/>
    <col min="9999" max="10240" width="9.140625" style="87"/>
    <col min="10241" max="10242" width="2.7109375" style="87" customWidth="1"/>
    <col min="10243" max="10243" width="9.7109375" style="87" customWidth="1"/>
    <col min="10244" max="10244" width="4.7109375" style="87" customWidth="1"/>
    <col min="10245" max="10245" width="9.7109375" style="87" customWidth="1"/>
    <col min="10246" max="10246" width="0.7109375" style="87" customWidth="1"/>
    <col min="10247" max="10252" width="8.7109375" style="87" customWidth="1"/>
    <col min="10253" max="10254" width="2.7109375" style="87" customWidth="1"/>
    <col min="10255" max="10496" width="9.140625" style="87"/>
    <col min="10497" max="10498" width="2.7109375" style="87" customWidth="1"/>
    <col min="10499" max="10499" width="9.7109375" style="87" customWidth="1"/>
    <col min="10500" max="10500" width="4.7109375" style="87" customWidth="1"/>
    <col min="10501" max="10501" width="9.7109375" style="87" customWidth="1"/>
    <col min="10502" max="10502" width="0.7109375" style="87" customWidth="1"/>
    <col min="10503" max="10508" width="8.7109375" style="87" customWidth="1"/>
    <col min="10509" max="10510" width="2.7109375" style="87" customWidth="1"/>
    <col min="10511" max="10752" width="9.140625" style="87"/>
    <col min="10753" max="10754" width="2.7109375" style="87" customWidth="1"/>
    <col min="10755" max="10755" width="9.7109375" style="87" customWidth="1"/>
    <col min="10756" max="10756" width="4.7109375" style="87" customWidth="1"/>
    <col min="10757" max="10757" width="9.7109375" style="87" customWidth="1"/>
    <col min="10758" max="10758" width="0.7109375" style="87" customWidth="1"/>
    <col min="10759" max="10764" width="8.7109375" style="87" customWidth="1"/>
    <col min="10765" max="10766" width="2.7109375" style="87" customWidth="1"/>
    <col min="10767" max="11008" width="9.140625" style="87"/>
    <col min="11009" max="11010" width="2.7109375" style="87" customWidth="1"/>
    <col min="11011" max="11011" width="9.7109375" style="87" customWidth="1"/>
    <col min="11012" max="11012" width="4.7109375" style="87" customWidth="1"/>
    <col min="11013" max="11013" width="9.7109375" style="87" customWidth="1"/>
    <col min="11014" max="11014" width="0.7109375" style="87" customWidth="1"/>
    <col min="11015" max="11020" width="8.7109375" style="87" customWidth="1"/>
    <col min="11021" max="11022" width="2.7109375" style="87" customWidth="1"/>
    <col min="11023" max="11264" width="9.140625" style="87"/>
    <col min="11265" max="11266" width="2.7109375" style="87" customWidth="1"/>
    <col min="11267" max="11267" width="9.7109375" style="87" customWidth="1"/>
    <col min="11268" max="11268" width="4.7109375" style="87" customWidth="1"/>
    <col min="11269" max="11269" width="9.7109375" style="87" customWidth="1"/>
    <col min="11270" max="11270" width="0.7109375" style="87" customWidth="1"/>
    <col min="11271" max="11276" width="8.7109375" style="87" customWidth="1"/>
    <col min="11277" max="11278" width="2.7109375" style="87" customWidth="1"/>
    <col min="11279" max="11520" width="9.140625" style="87"/>
    <col min="11521" max="11522" width="2.7109375" style="87" customWidth="1"/>
    <col min="11523" max="11523" width="9.7109375" style="87" customWidth="1"/>
    <col min="11524" max="11524" width="4.7109375" style="87" customWidth="1"/>
    <col min="11525" max="11525" width="9.7109375" style="87" customWidth="1"/>
    <col min="11526" max="11526" width="0.7109375" style="87" customWidth="1"/>
    <col min="11527" max="11532" width="8.7109375" style="87" customWidth="1"/>
    <col min="11533" max="11534" width="2.7109375" style="87" customWidth="1"/>
    <col min="11535" max="11776" width="9.140625" style="87"/>
    <col min="11777" max="11778" width="2.7109375" style="87" customWidth="1"/>
    <col min="11779" max="11779" width="9.7109375" style="87" customWidth="1"/>
    <col min="11780" max="11780" width="4.7109375" style="87" customWidth="1"/>
    <col min="11781" max="11781" width="9.7109375" style="87" customWidth="1"/>
    <col min="11782" max="11782" width="0.7109375" style="87" customWidth="1"/>
    <col min="11783" max="11788" width="8.7109375" style="87" customWidth="1"/>
    <col min="11789" max="11790" width="2.7109375" style="87" customWidth="1"/>
    <col min="11791" max="12032" width="9.140625" style="87"/>
    <col min="12033" max="12034" width="2.7109375" style="87" customWidth="1"/>
    <col min="12035" max="12035" width="9.7109375" style="87" customWidth="1"/>
    <col min="12036" max="12036" width="4.7109375" style="87" customWidth="1"/>
    <col min="12037" max="12037" width="9.7109375" style="87" customWidth="1"/>
    <col min="12038" max="12038" width="0.7109375" style="87" customWidth="1"/>
    <col min="12039" max="12044" width="8.7109375" style="87" customWidth="1"/>
    <col min="12045" max="12046" width="2.7109375" style="87" customWidth="1"/>
    <col min="12047" max="12288" width="9.140625" style="87"/>
    <col min="12289" max="12290" width="2.7109375" style="87" customWidth="1"/>
    <col min="12291" max="12291" width="9.7109375" style="87" customWidth="1"/>
    <col min="12292" max="12292" width="4.7109375" style="87" customWidth="1"/>
    <col min="12293" max="12293" width="9.7109375" style="87" customWidth="1"/>
    <col min="12294" max="12294" width="0.7109375" style="87" customWidth="1"/>
    <col min="12295" max="12300" width="8.7109375" style="87" customWidth="1"/>
    <col min="12301" max="12302" width="2.7109375" style="87" customWidth="1"/>
    <col min="12303" max="12544" width="9.140625" style="87"/>
    <col min="12545" max="12546" width="2.7109375" style="87" customWidth="1"/>
    <col min="12547" max="12547" width="9.7109375" style="87" customWidth="1"/>
    <col min="12548" max="12548" width="4.7109375" style="87" customWidth="1"/>
    <col min="12549" max="12549" width="9.7109375" style="87" customWidth="1"/>
    <col min="12550" max="12550" width="0.7109375" style="87" customWidth="1"/>
    <col min="12551" max="12556" width="8.7109375" style="87" customWidth="1"/>
    <col min="12557" max="12558" width="2.7109375" style="87" customWidth="1"/>
    <col min="12559" max="12800" width="9.140625" style="87"/>
    <col min="12801" max="12802" width="2.7109375" style="87" customWidth="1"/>
    <col min="12803" max="12803" width="9.7109375" style="87" customWidth="1"/>
    <col min="12804" max="12804" width="4.7109375" style="87" customWidth="1"/>
    <col min="12805" max="12805" width="9.7109375" style="87" customWidth="1"/>
    <col min="12806" max="12806" width="0.7109375" style="87" customWidth="1"/>
    <col min="12807" max="12812" width="8.7109375" style="87" customWidth="1"/>
    <col min="12813" max="12814" width="2.7109375" style="87" customWidth="1"/>
    <col min="12815" max="13056" width="9.140625" style="87"/>
    <col min="13057" max="13058" width="2.7109375" style="87" customWidth="1"/>
    <col min="13059" max="13059" width="9.7109375" style="87" customWidth="1"/>
    <col min="13060" max="13060" width="4.7109375" style="87" customWidth="1"/>
    <col min="13061" max="13061" width="9.7109375" style="87" customWidth="1"/>
    <col min="13062" max="13062" width="0.7109375" style="87" customWidth="1"/>
    <col min="13063" max="13068" width="8.7109375" style="87" customWidth="1"/>
    <col min="13069" max="13070" width="2.7109375" style="87" customWidth="1"/>
    <col min="13071" max="13312" width="9.140625" style="87"/>
    <col min="13313" max="13314" width="2.7109375" style="87" customWidth="1"/>
    <col min="13315" max="13315" width="9.7109375" style="87" customWidth="1"/>
    <col min="13316" max="13316" width="4.7109375" style="87" customWidth="1"/>
    <col min="13317" max="13317" width="9.7109375" style="87" customWidth="1"/>
    <col min="13318" max="13318" width="0.7109375" style="87" customWidth="1"/>
    <col min="13319" max="13324" width="8.7109375" style="87" customWidth="1"/>
    <col min="13325" max="13326" width="2.7109375" style="87" customWidth="1"/>
    <col min="13327" max="13568" width="9.140625" style="87"/>
    <col min="13569" max="13570" width="2.7109375" style="87" customWidth="1"/>
    <col min="13571" max="13571" width="9.7109375" style="87" customWidth="1"/>
    <col min="13572" max="13572" width="4.7109375" style="87" customWidth="1"/>
    <col min="13573" max="13573" width="9.7109375" style="87" customWidth="1"/>
    <col min="13574" max="13574" width="0.7109375" style="87" customWidth="1"/>
    <col min="13575" max="13580" width="8.7109375" style="87" customWidth="1"/>
    <col min="13581" max="13582" width="2.7109375" style="87" customWidth="1"/>
    <col min="13583" max="13824" width="9.140625" style="87"/>
    <col min="13825" max="13826" width="2.7109375" style="87" customWidth="1"/>
    <col min="13827" max="13827" width="9.7109375" style="87" customWidth="1"/>
    <col min="13828" max="13828" width="4.7109375" style="87" customWidth="1"/>
    <col min="13829" max="13829" width="9.7109375" style="87" customWidth="1"/>
    <col min="13830" max="13830" width="0.7109375" style="87" customWidth="1"/>
    <col min="13831" max="13836" width="8.7109375" style="87" customWidth="1"/>
    <col min="13837" max="13838" width="2.7109375" style="87" customWidth="1"/>
    <col min="13839" max="14080" width="9.140625" style="87"/>
    <col min="14081" max="14082" width="2.7109375" style="87" customWidth="1"/>
    <col min="14083" max="14083" width="9.7109375" style="87" customWidth="1"/>
    <col min="14084" max="14084" width="4.7109375" style="87" customWidth="1"/>
    <col min="14085" max="14085" width="9.7109375" style="87" customWidth="1"/>
    <col min="14086" max="14086" width="0.7109375" style="87" customWidth="1"/>
    <col min="14087" max="14092" width="8.7109375" style="87" customWidth="1"/>
    <col min="14093" max="14094" width="2.7109375" style="87" customWidth="1"/>
    <col min="14095" max="14336" width="9.140625" style="87"/>
    <col min="14337" max="14338" width="2.7109375" style="87" customWidth="1"/>
    <col min="14339" max="14339" width="9.7109375" style="87" customWidth="1"/>
    <col min="14340" max="14340" width="4.7109375" style="87" customWidth="1"/>
    <col min="14341" max="14341" width="9.7109375" style="87" customWidth="1"/>
    <col min="14342" max="14342" width="0.7109375" style="87" customWidth="1"/>
    <col min="14343" max="14348" width="8.7109375" style="87" customWidth="1"/>
    <col min="14349" max="14350" width="2.7109375" style="87" customWidth="1"/>
    <col min="14351" max="14592" width="9.140625" style="87"/>
    <col min="14593" max="14594" width="2.7109375" style="87" customWidth="1"/>
    <col min="14595" max="14595" width="9.7109375" style="87" customWidth="1"/>
    <col min="14596" max="14596" width="4.7109375" style="87" customWidth="1"/>
    <col min="14597" max="14597" width="9.7109375" style="87" customWidth="1"/>
    <col min="14598" max="14598" width="0.7109375" style="87" customWidth="1"/>
    <col min="14599" max="14604" width="8.7109375" style="87" customWidth="1"/>
    <col min="14605" max="14606" width="2.7109375" style="87" customWidth="1"/>
    <col min="14607" max="14848" width="9.140625" style="87"/>
    <col min="14849" max="14850" width="2.7109375" style="87" customWidth="1"/>
    <col min="14851" max="14851" width="9.7109375" style="87" customWidth="1"/>
    <col min="14852" max="14852" width="4.7109375" style="87" customWidth="1"/>
    <col min="14853" max="14853" width="9.7109375" style="87" customWidth="1"/>
    <col min="14854" max="14854" width="0.7109375" style="87" customWidth="1"/>
    <col min="14855" max="14860" width="8.7109375" style="87" customWidth="1"/>
    <col min="14861" max="14862" width="2.7109375" style="87" customWidth="1"/>
    <col min="14863" max="15104" width="9.140625" style="87"/>
    <col min="15105" max="15106" width="2.7109375" style="87" customWidth="1"/>
    <col min="15107" max="15107" width="9.7109375" style="87" customWidth="1"/>
    <col min="15108" max="15108" width="4.7109375" style="87" customWidth="1"/>
    <col min="15109" max="15109" width="9.7109375" style="87" customWidth="1"/>
    <col min="15110" max="15110" width="0.7109375" style="87" customWidth="1"/>
    <col min="15111" max="15116" width="8.7109375" style="87" customWidth="1"/>
    <col min="15117" max="15118" width="2.7109375" style="87" customWidth="1"/>
    <col min="15119" max="15360" width="9.140625" style="87"/>
    <col min="15361" max="15362" width="2.7109375" style="87" customWidth="1"/>
    <col min="15363" max="15363" width="9.7109375" style="87" customWidth="1"/>
    <col min="15364" max="15364" width="4.7109375" style="87" customWidth="1"/>
    <col min="15365" max="15365" width="9.7109375" style="87" customWidth="1"/>
    <col min="15366" max="15366" width="0.7109375" style="87" customWidth="1"/>
    <col min="15367" max="15372" width="8.7109375" style="87" customWidth="1"/>
    <col min="15373" max="15374" width="2.7109375" style="87" customWidth="1"/>
    <col min="15375" max="15616" width="9.140625" style="87"/>
    <col min="15617" max="15618" width="2.7109375" style="87" customWidth="1"/>
    <col min="15619" max="15619" width="9.7109375" style="87" customWidth="1"/>
    <col min="15620" max="15620" width="4.7109375" style="87" customWidth="1"/>
    <col min="15621" max="15621" width="9.7109375" style="87" customWidth="1"/>
    <col min="15622" max="15622" width="0.7109375" style="87" customWidth="1"/>
    <col min="15623" max="15628" width="8.7109375" style="87" customWidth="1"/>
    <col min="15629" max="15630" width="2.7109375" style="87" customWidth="1"/>
    <col min="15631" max="15872" width="9.140625" style="87"/>
    <col min="15873" max="15874" width="2.7109375" style="87" customWidth="1"/>
    <col min="15875" max="15875" width="9.7109375" style="87" customWidth="1"/>
    <col min="15876" max="15876" width="4.7109375" style="87" customWidth="1"/>
    <col min="15877" max="15877" width="9.7109375" style="87" customWidth="1"/>
    <col min="15878" max="15878" width="0.7109375" style="87" customWidth="1"/>
    <col min="15879" max="15884" width="8.7109375" style="87" customWidth="1"/>
    <col min="15885" max="15886" width="2.7109375" style="87" customWidth="1"/>
    <col min="15887" max="16128" width="9.140625" style="87"/>
    <col min="16129" max="16130" width="2.7109375" style="87" customWidth="1"/>
    <col min="16131" max="16131" width="9.7109375" style="87" customWidth="1"/>
    <col min="16132" max="16132" width="4.7109375" style="87" customWidth="1"/>
    <col min="16133" max="16133" width="9.7109375" style="87" customWidth="1"/>
    <col min="16134" max="16134" width="0.7109375" style="87" customWidth="1"/>
    <col min="16135" max="16140" width="8.7109375" style="87" customWidth="1"/>
    <col min="16141" max="16142" width="2.7109375" style="87" customWidth="1"/>
    <col min="16143" max="16384" width="9.140625" style="87"/>
  </cols>
  <sheetData>
    <row r="1" spans="1:21" ht="12.95" customHeight="1" x14ac:dyDescent="0.2">
      <c r="A1" s="270"/>
      <c r="B1" s="270"/>
      <c r="C1" s="270"/>
      <c r="D1" s="270"/>
      <c r="E1" s="270"/>
      <c r="F1" s="271"/>
      <c r="G1" s="270"/>
      <c r="H1" s="270"/>
      <c r="I1" s="270"/>
      <c r="J1" s="270"/>
      <c r="K1" s="270"/>
      <c r="L1" s="270"/>
      <c r="M1" s="270"/>
      <c r="N1" s="270"/>
    </row>
    <row r="2" spans="1:21" s="274" customFormat="1" ht="16.5" customHeight="1" x14ac:dyDescent="0.3">
      <c r="A2" s="273"/>
      <c r="C2" s="275" t="s">
        <v>430</v>
      </c>
      <c r="D2" s="275"/>
      <c r="E2" s="275"/>
      <c r="F2" s="276"/>
      <c r="G2" s="275"/>
      <c r="H2" s="275"/>
      <c r="I2" s="275"/>
      <c r="J2" s="275"/>
      <c r="K2" s="275"/>
      <c r="L2" s="275"/>
      <c r="M2" s="277" t="s">
        <v>402</v>
      </c>
      <c r="N2" s="273"/>
      <c r="P2" s="445"/>
      <c r="Q2" s="445"/>
      <c r="R2" s="445"/>
      <c r="S2" s="445"/>
      <c r="T2" s="445"/>
      <c r="U2" s="445"/>
    </row>
    <row r="3" spans="1:21" s="274" customFormat="1" ht="16.5" customHeight="1" x14ac:dyDescent="0.25">
      <c r="A3" s="273"/>
      <c r="C3" s="275"/>
      <c r="D3" s="275"/>
      <c r="E3" s="275"/>
      <c r="F3" s="276"/>
      <c r="G3" s="275"/>
      <c r="H3" s="275"/>
      <c r="I3" s="275"/>
      <c r="J3" s="275"/>
      <c r="K3" s="275"/>
      <c r="L3" s="275"/>
      <c r="M3" s="277"/>
      <c r="N3" s="273"/>
      <c r="P3" s="1056" t="s">
        <v>842</v>
      </c>
      <c r="Q3" s="1056"/>
      <c r="R3" s="1056"/>
      <c r="S3" s="1056"/>
      <c r="T3" s="1056"/>
      <c r="U3" s="1056"/>
    </row>
    <row r="4" spans="1:21" s="274" customFormat="1" ht="16.5" customHeight="1" x14ac:dyDescent="0.25">
      <c r="A4" s="273"/>
      <c r="C4" s="1048" t="s">
        <v>403</v>
      </c>
      <c r="D4" s="1049"/>
      <c r="E4" s="1058" t="s">
        <v>1047</v>
      </c>
      <c r="F4" s="1059"/>
      <c r="G4" s="1059"/>
      <c r="H4" s="1060"/>
      <c r="I4" s="208"/>
      <c r="J4" s="213" t="s">
        <v>404</v>
      </c>
      <c r="K4" s="1061">
        <v>46160</v>
      </c>
      <c r="L4" s="1062"/>
      <c r="M4" s="277"/>
      <c r="N4" s="273"/>
      <c r="P4" s="1056"/>
      <c r="Q4" s="1056"/>
      <c r="R4" s="1056"/>
      <c r="S4" s="1056"/>
      <c r="T4" s="1056"/>
      <c r="U4" s="1056"/>
    </row>
    <row r="5" spans="1:21" s="274" customFormat="1" ht="16.5" customHeight="1" x14ac:dyDescent="0.25">
      <c r="A5" s="273"/>
      <c r="C5" s="275"/>
      <c r="D5" s="275"/>
      <c r="E5" s="275"/>
      <c r="F5" s="276"/>
      <c r="G5" s="275"/>
      <c r="H5" s="275"/>
      <c r="I5" s="275"/>
      <c r="J5" s="275"/>
      <c r="K5" s="275"/>
      <c r="L5" s="275"/>
      <c r="M5" s="277"/>
      <c r="N5" s="273"/>
    </row>
    <row r="6" spans="1:21" s="274" customFormat="1" ht="16.5" customHeight="1" x14ac:dyDescent="0.25">
      <c r="A6" s="273"/>
      <c r="C6" s="214" t="s">
        <v>405</v>
      </c>
      <c r="D6" s="215"/>
      <c r="E6" s="208"/>
      <c r="F6" s="209"/>
      <c r="G6" s="1058" t="s">
        <v>1048</v>
      </c>
      <c r="H6" s="1059"/>
      <c r="I6" s="1060"/>
      <c r="J6" s="275"/>
      <c r="K6" s="275"/>
      <c r="L6" s="275"/>
      <c r="M6" s="277"/>
      <c r="N6" s="273"/>
    </row>
    <row r="7" spans="1:21" ht="12.95" customHeight="1" x14ac:dyDescent="0.2">
      <c r="A7" s="270"/>
      <c r="C7" s="275"/>
      <c r="D7" s="275"/>
      <c r="E7" s="275"/>
      <c r="F7" s="276"/>
      <c r="G7" s="275"/>
      <c r="H7" s="275"/>
      <c r="I7" s="275"/>
      <c r="J7" s="275"/>
      <c r="K7" s="275"/>
      <c r="L7" s="275"/>
      <c r="M7" s="279"/>
      <c r="N7" s="270"/>
    </row>
    <row r="8" spans="1:21" ht="12.95" customHeight="1" x14ac:dyDescent="0.2">
      <c r="A8" s="270"/>
      <c r="C8" s="869" t="s">
        <v>406</v>
      </c>
      <c r="D8" s="280"/>
      <c r="E8" s="870" t="s">
        <v>407</v>
      </c>
      <c r="F8" s="281"/>
      <c r="G8" s="282"/>
      <c r="H8" s="282"/>
      <c r="I8" s="282"/>
      <c r="J8" s="282"/>
      <c r="K8" s="282"/>
      <c r="L8" s="282"/>
      <c r="N8" s="270"/>
    </row>
    <row r="9" spans="1:21" ht="12.95" customHeight="1" thickBot="1" x14ac:dyDescent="0.25">
      <c r="A9" s="270"/>
      <c r="C9" s="283"/>
      <c r="D9" s="284"/>
      <c r="G9" s="282"/>
      <c r="H9" s="282"/>
      <c r="I9" s="282"/>
      <c r="J9" s="282"/>
      <c r="K9" s="282"/>
      <c r="L9" s="282"/>
      <c r="N9" s="270"/>
    </row>
    <row r="10" spans="1:21" s="288" customFormat="1" ht="16.5" customHeight="1" thickBot="1" x14ac:dyDescent="0.25">
      <c r="A10" s="287"/>
      <c r="C10" s="289">
        <f>SUM(C11:C13)</f>
        <v>10</v>
      </c>
      <c r="D10" s="290"/>
      <c r="E10" s="291">
        <f>SUM(C11*E11,C12*E12,C13*E13)/C10</f>
        <v>85</v>
      </c>
      <c r="F10" s="292">
        <v>1</v>
      </c>
      <c r="G10" s="293" t="s">
        <v>431</v>
      </c>
      <c r="H10" s="294"/>
      <c r="I10" s="294"/>
      <c r="J10" s="1057"/>
      <c r="K10" s="1057"/>
      <c r="L10" s="1057"/>
      <c r="N10" s="287"/>
    </row>
    <row r="11" spans="1:21" ht="12.95" customHeight="1" x14ac:dyDescent="0.2">
      <c r="A11" s="270"/>
      <c r="C11" s="296">
        <v>2</v>
      </c>
      <c r="D11" s="284"/>
      <c r="E11" s="871">
        <v>80</v>
      </c>
      <c r="F11" s="298">
        <v>1.1000000000000001</v>
      </c>
      <c r="G11" s="299" t="s">
        <v>432</v>
      </c>
      <c r="I11" s="282"/>
      <c r="J11" s="1063"/>
      <c r="K11" s="1063"/>
      <c r="L11" s="1063"/>
      <c r="N11" s="270"/>
    </row>
    <row r="12" spans="1:21" ht="12.95" customHeight="1" x14ac:dyDescent="0.2">
      <c r="A12" s="270"/>
      <c r="C12" s="301">
        <v>3</v>
      </c>
      <c r="D12" s="284"/>
      <c r="E12" s="872">
        <v>80</v>
      </c>
      <c r="F12" s="298">
        <v>1.2</v>
      </c>
      <c r="G12" s="299" t="s">
        <v>433</v>
      </c>
      <c r="I12" s="282"/>
      <c r="J12" s="282"/>
      <c r="K12" s="282"/>
      <c r="L12" s="282"/>
      <c r="N12" s="270"/>
    </row>
    <row r="13" spans="1:21" ht="12.95" customHeight="1" x14ac:dyDescent="0.2">
      <c r="A13" s="270"/>
      <c r="C13" s="301">
        <v>5</v>
      </c>
      <c r="D13" s="284"/>
      <c r="E13" s="872">
        <v>90</v>
      </c>
      <c r="F13" s="298">
        <v>1.3</v>
      </c>
      <c r="G13" s="299" t="s">
        <v>434</v>
      </c>
      <c r="I13" s="282"/>
      <c r="J13" s="282"/>
      <c r="K13" s="282"/>
      <c r="L13" s="282"/>
      <c r="N13" s="270"/>
    </row>
    <row r="14" spans="1:21" ht="12.95" customHeight="1" thickBot="1" x14ac:dyDescent="0.25">
      <c r="A14" s="270"/>
      <c r="C14" s="303"/>
      <c r="E14" s="90"/>
      <c r="F14" s="298"/>
      <c r="G14" s="94"/>
      <c r="H14" s="94"/>
      <c r="I14" s="94"/>
      <c r="J14" s="94"/>
      <c r="K14" s="94"/>
      <c r="L14" s="94"/>
      <c r="N14" s="270"/>
    </row>
    <row r="15" spans="1:21" s="288" customFormat="1" ht="16.5" customHeight="1" thickBot="1" x14ac:dyDescent="0.25">
      <c r="A15" s="287"/>
      <c r="C15" s="289">
        <f>SUM(C16:C19)</f>
        <v>65</v>
      </c>
      <c r="D15" s="304"/>
      <c r="E15" s="291">
        <f>SUM(C16*E16+C17*E17+C18*E18+C19*E19)/C15</f>
        <v>89.84615384615384</v>
      </c>
      <c r="F15" s="292">
        <v>2</v>
      </c>
      <c r="G15" s="293" t="s">
        <v>408</v>
      </c>
      <c r="H15" s="305"/>
      <c r="I15" s="305"/>
      <c r="J15" s="305"/>
      <c r="K15" s="305"/>
      <c r="L15" s="305"/>
      <c r="N15" s="287"/>
    </row>
    <row r="16" spans="1:21" ht="12.95" customHeight="1" x14ac:dyDescent="0.2">
      <c r="A16" s="270"/>
      <c r="C16" s="873">
        <v>5</v>
      </c>
      <c r="E16" s="874">
        <v>90</v>
      </c>
      <c r="F16" s="298">
        <v>2.1</v>
      </c>
      <c r="G16" s="299" t="s">
        <v>409</v>
      </c>
      <c r="I16" s="94"/>
      <c r="J16" s="94"/>
      <c r="K16" s="94"/>
      <c r="L16" s="94"/>
      <c r="N16" s="270"/>
    </row>
    <row r="17" spans="1:14" ht="12.95" customHeight="1" x14ac:dyDescent="0.2">
      <c r="A17" s="270"/>
      <c r="C17" s="875">
        <v>35</v>
      </c>
      <c r="E17" s="876">
        <v>90</v>
      </c>
      <c r="F17" s="298"/>
      <c r="G17" s="299" t="s">
        <v>410</v>
      </c>
      <c r="I17" s="94"/>
      <c r="J17" s="94"/>
      <c r="K17" s="94"/>
      <c r="L17" s="94"/>
      <c r="N17" s="270"/>
    </row>
    <row r="18" spans="1:14" ht="12.95" customHeight="1" x14ac:dyDescent="0.2">
      <c r="A18" s="270"/>
      <c r="C18" s="875">
        <v>10</v>
      </c>
      <c r="E18" s="876">
        <v>90</v>
      </c>
      <c r="F18" s="298">
        <v>2.2000000000000002</v>
      </c>
      <c r="G18" s="299" t="s">
        <v>435</v>
      </c>
      <c r="I18" s="94"/>
      <c r="J18" s="94"/>
      <c r="K18" s="94"/>
      <c r="L18" s="94"/>
      <c r="N18" s="270"/>
    </row>
    <row r="19" spans="1:14" ht="12.95" customHeight="1" x14ac:dyDescent="0.2">
      <c r="A19" s="270"/>
      <c r="C19" s="877">
        <f>SUM(C20:C27)</f>
        <v>15</v>
      </c>
      <c r="E19" s="878">
        <f>SUM(C20*E20+C21*E21+C22*E22+C23*E23+C24*E24+C25*E25+C26*E26+C27*E27)/C19</f>
        <v>89.333333333333329</v>
      </c>
      <c r="F19" s="879">
        <v>2.2999999999999998</v>
      </c>
      <c r="G19" s="299" t="s">
        <v>436</v>
      </c>
      <c r="I19" s="94"/>
      <c r="J19" s="94"/>
      <c r="K19" s="94"/>
      <c r="L19" s="94"/>
      <c r="N19" s="270"/>
    </row>
    <row r="20" spans="1:14" ht="12.95" customHeight="1" x14ac:dyDescent="0.2">
      <c r="A20" s="270"/>
      <c r="C20" s="306">
        <v>1</v>
      </c>
      <c r="E20" s="872">
        <v>80</v>
      </c>
      <c r="F20" s="298" t="s">
        <v>412</v>
      </c>
      <c r="G20" s="94" t="s">
        <v>413</v>
      </c>
      <c r="J20" s="94"/>
      <c r="K20" s="94"/>
      <c r="L20" s="94"/>
      <c r="N20" s="270"/>
    </row>
    <row r="21" spans="1:14" ht="12.95" customHeight="1" x14ac:dyDescent="0.2">
      <c r="A21" s="270"/>
      <c r="C21" s="306">
        <v>2</v>
      </c>
      <c r="E21" s="872">
        <v>95</v>
      </c>
      <c r="F21" s="298" t="s">
        <v>437</v>
      </c>
      <c r="G21" s="94" t="s">
        <v>438</v>
      </c>
      <c r="J21" s="94"/>
      <c r="K21" s="94"/>
      <c r="L21" s="94"/>
      <c r="N21" s="270"/>
    </row>
    <row r="22" spans="1:14" ht="12.95" customHeight="1" x14ac:dyDescent="0.2">
      <c r="A22" s="270"/>
      <c r="C22" s="306">
        <v>2</v>
      </c>
      <c r="E22" s="872">
        <v>100</v>
      </c>
      <c r="F22" s="298" t="s">
        <v>439</v>
      </c>
      <c r="G22" s="94" t="s">
        <v>440</v>
      </c>
      <c r="J22" s="94"/>
      <c r="K22" s="94"/>
      <c r="L22" s="94"/>
      <c r="N22" s="270"/>
    </row>
    <row r="23" spans="1:14" ht="12.95" customHeight="1" x14ac:dyDescent="0.2">
      <c r="A23" s="270"/>
      <c r="C23" s="306">
        <v>2</v>
      </c>
      <c r="E23" s="872">
        <v>75</v>
      </c>
      <c r="F23" s="298" t="s">
        <v>441</v>
      </c>
      <c r="G23" s="94" t="s">
        <v>442</v>
      </c>
      <c r="J23" s="94"/>
      <c r="K23" s="94"/>
      <c r="L23" s="94"/>
      <c r="N23" s="270"/>
    </row>
    <row r="24" spans="1:14" ht="12.95" customHeight="1" x14ac:dyDescent="0.2">
      <c r="A24" s="270"/>
      <c r="C24" s="306">
        <v>2</v>
      </c>
      <c r="E24" s="872">
        <v>75</v>
      </c>
      <c r="F24" s="298" t="s">
        <v>443</v>
      </c>
      <c r="G24" s="94" t="s">
        <v>444</v>
      </c>
      <c r="J24" s="94"/>
      <c r="K24" s="94"/>
      <c r="L24" s="94"/>
      <c r="N24" s="270"/>
    </row>
    <row r="25" spans="1:14" ht="12.95" customHeight="1" x14ac:dyDescent="0.2">
      <c r="A25" s="270"/>
      <c r="C25" s="306">
        <v>2</v>
      </c>
      <c r="E25" s="872">
        <v>95</v>
      </c>
      <c r="F25" s="298" t="s">
        <v>445</v>
      </c>
      <c r="G25" s="94" t="s">
        <v>446</v>
      </c>
      <c r="J25" s="94"/>
      <c r="K25" s="94"/>
      <c r="L25" s="94"/>
      <c r="N25" s="270"/>
    </row>
    <row r="26" spans="1:14" ht="12.95" customHeight="1" x14ac:dyDescent="0.2">
      <c r="A26" s="270"/>
      <c r="C26" s="306">
        <v>2</v>
      </c>
      <c r="E26" s="872">
        <v>100</v>
      </c>
      <c r="F26" s="298" t="s">
        <v>414</v>
      </c>
      <c r="G26" s="94" t="s">
        <v>447</v>
      </c>
      <c r="J26" s="94"/>
      <c r="K26" s="94"/>
      <c r="L26" s="94"/>
      <c r="N26" s="270"/>
    </row>
    <row r="27" spans="1:14" ht="12.95" customHeight="1" x14ac:dyDescent="0.2">
      <c r="A27" s="270"/>
      <c r="C27" s="306">
        <v>2</v>
      </c>
      <c r="E27" s="872">
        <v>90</v>
      </c>
      <c r="F27" s="298" t="s">
        <v>416</v>
      </c>
      <c r="G27" s="94" t="s">
        <v>448</v>
      </c>
      <c r="J27" s="94"/>
      <c r="K27" s="94"/>
      <c r="L27" s="94"/>
      <c r="N27" s="270"/>
    </row>
    <row r="28" spans="1:14" ht="12.95" customHeight="1" thickBot="1" x14ac:dyDescent="0.25">
      <c r="A28" s="270"/>
      <c r="C28" s="303"/>
      <c r="E28" s="90"/>
      <c r="F28" s="298"/>
      <c r="G28" s="94"/>
      <c r="H28" s="94"/>
      <c r="I28" s="94"/>
      <c r="J28" s="94"/>
      <c r="K28" s="94"/>
      <c r="L28" s="94"/>
      <c r="N28" s="270"/>
    </row>
    <row r="29" spans="1:14" s="288" customFormat="1" ht="16.5" customHeight="1" thickBot="1" x14ac:dyDescent="0.25">
      <c r="A29" s="287"/>
      <c r="C29" s="289">
        <f>SUM(C30:C33)</f>
        <v>10</v>
      </c>
      <c r="D29" s="304"/>
      <c r="E29" s="291">
        <f>SUM(C30*E30,C31*E31,C32*E32,C33*E33)/C29</f>
        <v>91</v>
      </c>
      <c r="F29" s="292">
        <v>4</v>
      </c>
      <c r="G29" s="293" t="s">
        <v>449</v>
      </c>
      <c r="H29" s="305"/>
      <c r="I29" s="305"/>
      <c r="J29" s="305"/>
      <c r="K29" s="305"/>
      <c r="L29" s="305"/>
      <c r="N29" s="287"/>
    </row>
    <row r="30" spans="1:14" ht="12.95" customHeight="1" x14ac:dyDescent="0.2">
      <c r="A30" s="270"/>
      <c r="C30" s="307">
        <v>2</v>
      </c>
      <c r="E30" s="871">
        <v>100</v>
      </c>
      <c r="F30" s="298">
        <v>4.0999999999999996</v>
      </c>
      <c r="G30" s="299" t="s">
        <v>450</v>
      </c>
      <c r="I30" s="94"/>
      <c r="J30" s="94"/>
      <c r="K30" s="94"/>
      <c r="L30" s="94"/>
      <c r="N30" s="270"/>
    </row>
    <row r="31" spans="1:14" ht="12.95" customHeight="1" x14ac:dyDescent="0.2">
      <c r="A31" s="270"/>
      <c r="C31" s="306">
        <v>2</v>
      </c>
      <c r="E31" s="872">
        <v>100</v>
      </c>
      <c r="F31" s="298">
        <v>4.2</v>
      </c>
      <c r="G31" s="299" t="s">
        <v>451</v>
      </c>
      <c r="I31" s="94"/>
      <c r="J31" s="94"/>
      <c r="K31" s="94"/>
      <c r="L31" s="94"/>
      <c r="N31" s="270"/>
    </row>
    <row r="32" spans="1:14" ht="12.95" customHeight="1" x14ac:dyDescent="0.2">
      <c r="A32" s="270"/>
      <c r="C32" s="306">
        <v>3</v>
      </c>
      <c r="E32" s="872">
        <v>100</v>
      </c>
      <c r="F32" s="298">
        <v>4.5</v>
      </c>
      <c r="G32" s="299" t="s">
        <v>452</v>
      </c>
      <c r="I32" s="94"/>
      <c r="J32" s="94"/>
      <c r="K32" s="94"/>
      <c r="L32" s="94"/>
      <c r="N32" s="270"/>
    </row>
    <row r="33" spans="1:14" ht="12.95" customHeight="1" x14ac:dyDescent="0.2">
      <c r="A33" s="270"/>
      <c r="C33" s="306">
        <v>3</v>
      </c>
      <c r="E33" s="872">
        <v>70</v>
      </c>
      <c r="F33" s="298">
        <v>4.7</v>
      </c>
      <c r="G33" s="299" t="s">
        <v>453</v>
      </c>
      <c r="I33" s="94"/>
      <c r="J33" s="94"/>
      <c r="K33" s="94"/>
      <c r="L33" s="94"/>
      <c r="N33" s="270"/>
    </row>
    <row r="34" spans="1:14" ht="12.95" customHeight="1" thickBot="1" x14ac:dyDescent="0.25">
      <c r="A34" s="270"/>
      <c r="C34" s="303"/>
      <c r="E34" s="90"/>
      <c r="F34" s="298"/>
      <c r="G34" s="94"/>
      <c r="H34" s="94"/>
      <c r="I34" s="94"/>
      <c r="J34" s="94"/>
      <c r="K34" s="94"/>
      <c r="L34" s="94"/>
      <c r="N34" s="270"/>
    </row>
    <row r="35" spans="1:14" s="288" customFormat="1" ht="16.5" customHeight="1" thickBot="1" x14ac:dyDescent="0.25">
      <c r="A35" s="287"/>
      <c r="C35" s="289">
        <f>SUM(C36:C37)</f>
        <v>15</v>
      </c>
      <c r="D35" s="304"/>
      <c r="E35" s="291">
        <f>SUM(C36*E36,C37*E37)/C35</f>
        <v>91.666666666666671</v>
      </c>
      <c r="F35" s="292">
        <v>5</v>
      </c>
      <c r="G35" s="293" t="s">
        <v>454</v>
      </c>
      <c r="H35" s="305"/>
      <c r="I35" s="305"/>
      <c r="J35" s="305"/>
      <c r="K35" s="305"/>
      <c r="L35" s="305"/>
      <c r="N35" s="287"/>
    </row>
    <row r="36" spans="1:14" ht="12.95" customHeight="1" x14ac:dyDescent="0.2">
      <c r="A36" s="270"/>
      <c r="C36" s="307">
        <v>10</v>
      </c>
      <c r="E36" s="871">
        <v>90</v>
      </c>
      <c r="F36" s="298">
        <v>5.0999999999999996</v>
      </c>
      <c r="G36" s="299" t="s">
        <v>455</v>
      </c>
      <c r="I36" s="94"/>
      <c r="J36" s="94"/>
      <c r="K36" s="94"/>
      <c r="L36" s="94"/>
      <c r="N36" s="270"/>
    </row>
    <row r="37" spans="1:14" ht="12.95" customHeight="1" x14ac:dyDescent="0.2">
      <c r="A37" s="270"/>
      <c r="C37" s="306">
        <v>5</v>
      </c>
      <c r="E37" s="872">
        <v>95</v>
      </c>
      <c r="F37" s="298">
        <v>5.2</v>
      </c>
      <c r="G37" s="299" t="s">
        <v>456</v>
      </c>
      <c r="I37" s="94"/>
      <c r="J37" s="94"/>
      <c r="K37" s="94"/>
      <c r="L37" s="94"/>
      <c r="N37" s="270"/>
    </row>
    <row r="38" spans="1:14" ht="12.95" customHeight="1" thickBot="1" x14ac:dyDescent="0.25">
      <c r="A38" s="270"/>
      <c r="C38" s="303"/>
      <c r="E38" s="90"/>
      <c r="F38" s="298"/>
      <c r="G38" s="94"/>
      <c r="H38" s="94"/>
      <c r="I38" s="94"/>
      <c r="J38" s="94"/>
      <c r="K38" s="94"/>
      <c r="L38" s="94"/>
      <c r="N38" s="270"/>
    </row>
    <row r="39" spans="1:14" s="288" customFormat="1" ht="16.5" customHeight="1" thickBot="1" x14ac:dyDescent="0.25">
      <c r="A39" s="287"/>
      <c r="C39" s="289">
        <f>SUM(C35,C29,C15,C10)</f>
        <v>100</v>
      </c>
      <c r="D39" s="304"/>
      <c r="E39" s="308">
        <f>SUM(C35*E35,C29*E29,C15*E15,C10*E10)/C39/100</f>
        <v>0.89749999999999996</v>
      </c>
      <c r="F39" s="309"/>
      <c r="G39" s="310" t="s">
        <v>423</v>
      </c>
      <c r="H39" s="310"/>
      <c r="I39" s="310"/>
      <c r="J39" s="305"/>
      <c r="K39" s="305"/>
      <c r="L39" s="305"/>
      <c r="N39" s="287"/>
    </row>
    <row r="40" spans="1:14" ht="12.95" customHeight="1" x14ac:dyDescent="0.2">
      <c r="A40" s="270"/>
      <c r="C40" s="87"/>
      <c r="D40" s="311"/>
      <c r="E40" s="880">
        <v>0</v>
      </c>
      <c r="F40" s="298"/>
      <c r="G40" s="313" t="s">
        <v>424</v>
      </c>
      <c r="H40" s="314"/>
      <c r="I40" s="314"/>
      <c r="J40" s="94"/>
      <c r="K40" s="94"/>
      <c r="L40" s="94"/>
      <c r="N40" s="270"/>
    </row>
    <row r="41" spans="1:14" ht="12.95" customHeight="1" thickBot="1" x14ac:dyDescent="0.25">
      <c r="A41" s="270"/>
      <c r="C41" s="87"/>
      <c r="D41" s="87"/>
      <c r="E41" s="881">
        <v>0</v>
      </c>
      <c r="F41" s="298"/>
      <c r="G41" s="313" t="s">
        <v>425</v>
      </c>
      <c r="J41" s="94"/>
      <c r="K41" s="94"/>
      <c r="L41" s="94"/>
      <c r="N41" s="270"/>
    </row>
    <row r="42" spans="1:14" s="288" customFormat="1" ht="16.5" customHeight="1" thickTop="1" thickBot="1" x14ac:dyDescent="0.25">
      <c r="A42" s="287"/>
      <c r="E42" s="316">
        <f>E39+E40-E41</f>
        <v>0.89749999999999996</v>
      </c>
      <c r="F42" s="317"/>
      <c r="G42" s="1064" t="s">
        <v>426</v>
      </c>
      <c r="H42" s="1064"/>
      <c r="I42" s="1064"/>
      <c r="J42" s="305"/>
      <c r="K42" s="305"/>
      <c r="L42" s="305"/>
      <c r="N42" s="287"/>
    </row>
    <row r="43" spans="1:14" s="288" customFormat="1" ht="16.5" customHeight="1" thickTop="1" thickBot="1" x14ac:dyDescent="0.25">
      <c r="A43" s="287"/>
      <c r="C43" s="318">
        <v>100</v>
      </c>
      <c r="E43" s="319">
        <f>E42*C43</f>
        <v>89.75</v>
      </c>
      <c r="F43" s="320"/>
      <c r="G43" s="1064"/>
      <c r="H43" s="1064"/>
      <c r="I43" s="1064"/>
      <c r="J43" s="305"/>
      <c r="K43" s="305"/>
      <c r="L43" s="305"/>
      <c r="N43" s="287"/>
    </row>
    <row r="44" spans="1:14" s="288" customFormat="1" ht="16.5" customHeight="1" x14ac:dyDescent="0.2">
      <c r="A44" s="287"/>
      <c r="C44" s="321"/>
      <c r="E44" s="322"/>
      <c r="F44" s="323"/>
      <c r="G44" s="310"/>
      <c r="H44" s="310"/>
      <c r="I44" s="310"/>
      <c r="J44" s="1043" t="s">
        <v>428</v>
      </c>
      <c r="K44" s="1043"/>
      <c r="L44" s="1043"/>
      <c r="N44" s="287"/>
    </row>
    <row r="45" spans="1:14" s="288" customFormat="1" ht="16.5" customHeight="1" x14ac:dyDescent="0.2">
      <c r="A45" s="287"/>
      <c r="C45" s="324" t="s">
        <v>427</v>
      </c>
      <c r="E45" s="1065"/>
      <c r="F45" s="1066"/>
      <c r="G45" s="1066"/>
      <c r="H45" s="1066"/>
      <c r="I45" s="1067"/>
      <c r="J45" s="1074" t="s">
        <v>1049</v>
      </c>
      <c r="K45" s="1074"/>
      <c r="L45" s="1075"/>
      <c r="N45" s="287"/>
    </row>
    <row r="46" spans="1:14" s="288" customFormat="1" ht="16.5" customHeight="1" x14ac:dyDescent="0.2">
      <c r="A46" s="287"/>
      <c r="C46" s="325"/>
      <c r="E46" s="1068"/>
      <c r="F46" s="1069"/>
      <c r="G46" s="1069"/>
      <c r="H46" s="1069"/>
      <c r="I46" s="1070"/>
      <c r="J46" s="1076"/>
      <c r="K46" s="1076"/>
      <c r="L46" s="1077"/>
      <c r="N46" s="287"/>
    </row>
    <row r="47" spans="1:14" s="288" customFormat="1" ht="16.5" customHeight="1" x14ac:dyDescent="0.2">
      <c r="A47" s="287"/>
      <c r="C47" s="325"/>
      <c r="E47" s="1068"/>
      <c r="F47" s="1069"/>
      <c r="G47" s="1069"/>
      <c r="H47" s="1069"/>
      <c r="I47" s="1070"/>
      <c r="J47" s="305"/>
      <c r="K47" s="305"/>
      <c r="L47" s="305"/>
      <c r="N47" s="287"/>
    </row>
    <row r="48" spans="1:14" s="288" customFormat="1" ht="16.5" customHeight="1" x14ac:dyDescent="0.2">
      <c r="A48" s="287"/>
      <c r="C48" s="325"/>
      <c r="E48" s="1071"/>
      <c r="F48" s="1072"/>
      <c r="G48" s="1072"/>
      <c r="H48" s="1072"/>
      <c r="I48" s="1073"/>
      <c r="J48" s="305"/>
      <c r="K48" s="305"/>
      <c r="L48" s="305"/>
      <c r="N48" s="287"/>
    </row>
    <row r="49" spans="1:14" s="288" customFormat="1" ht="16.5" customHeight="1" x14ac:dyDescent="0.2">
      <c r="A49" s="287"/>
      <c r="C49" s="321"/>
      <c r="E49" s="322"/>
      <c r="F49" s="323"/>
      <c r="G49" s="310"/>
      <c r="H49" s="310"/>
      <c r="I49" s="310"/>
      <c r="J49" s="305"/>
      <c r="K49" s="305"/>
      <c r="L49" s="305"/>
      <c r="N49" s="287"/>
    </row>
    <row r="50" spans="1:14" ht="12.95" customHeight="1" x14ac:dyDescent="0.25">
      <c r="A50" s="270"/>
      <c r="B50" s="326" t="s">
        <v>429</v>
      </c>
      <c r="C50" s="87"/>
      <c r="D50" s="87"/>
      <c r="E50" s="87"/>
      <c r="F50" s="327"/>
      <c r="N50" s="270"/>
    </row>
    <row r="51" spans="1:14" ht="12.95" customHeight="1" x14ac:dyDescent="0.2">
      <c r="A51" s="270"/>
      <c r="B51" s="270"/>
      <c r="C51" s="270"/>
      <c r="D51" s="270"/>
      <c r="E51" s="270"/>
      <c r="F51" s="271"/>
      <c r="G51" s="270"/>
      <c r="H51" s="270"/>
      <c r="I51" s="270"/>
      <c r="J51" s="270"/>
      <c r="K51" s="270"/>
      <c r="L51" s="270"/>
      <c r="M51" s="270"/>
      <c r="N51" s="270"/>
    </row>
    <row r="52" spans="1:14" x14ac:dyDescent="0.2">
      <c r="C52" s="87"/>
      <c r="D52" s="87"/>
      <c r="E52" s="87"/>
      <c r="F52" s="327"/>
    </row>
    <row r="53" spans="1:14" ht="12.75" customHeight="1" x14ac:dyDescent="0.2">
      <c r="C53" s="87"/>
      <c r="D53" s="87"/>
      <c r="E53" s="87"/>
      <c r="F53" s="327"/>
    </row>
    <row r="54" spans="1:14" x14ac:dyDescent="0.2">
      <c r="C54" s="87"/>
      <c r="D54" s="87"/>
      <c r="E54" s="87"/>
      <c r="F54" s="327"/>
    </row>
    <row r="55" spans="1:14" x14ac:dyDescent="0.2">
      <c r="C55" s="87"/>
      <c r="D55" s="87"/>
      <c r="E55" s="87"/>
      <c r="F55" s="327"/>
    </row>
    <row r="56" spans="1:14" x14ac:dyDescent="0.2">
      <c r="C56" s="87"/>
      <c r="D56" s="87"/>
      <c r="E56" s="87"/>
      <c r="F56" s="327"/>
    </row>
    <row r="57" spans="1:14" x14ac:dyDescent="0.2">
      <c r="C57" s="87"/>
      <c r="D57" s="87"/>
      <c r="E57" s="87"/>
      <c r="F57" s="327"/>
    </row>
    <row r="58" spans="1:14" x14ac:dyDescent="0.2">
      <c r="C58" s="87"/>
      <c r="D58" s="87"/>
      <c r="E58" s="87"/>
      <c r="F58" s="327"/>
    </row>
    <row r="59" spans="1:14" x14ac:dyDescent="0.2">
      <c r="C59" s="87"/>
      <c r="D59" s="87"/>
      <c r="E59" s="87"/>
      <c r="F59" s="327"/>
    </row>
    <row r="60" spans="1:14" x14ac:dyDescent="0.2">
      <c r="C60" s="87"/>
      <c r="D60" s="87"/>
      <c r="E60" s="87"/>
      <c r="F60" s="327"/>
    </row>
    <row r="61" spans="1:14" x14ac:dyDescent="0.2">
      <c r="C61" s="87"/>
      <c r="D61" s="87"/>
      <c r="E61" s="87"/>
      <c r="F61" s="327"/>
    </row>
    <row r="62" spans="1:14" x14ac:dyDescent="0.2">
      <c r="C62" s="87"/>
      <c r="D62" s="87"/>
      <c r="E62" s="87"/>
      <c r="F62" s="327"/>
    </row>
    <row r="63" spans="1:14" x14ac:dyDescent="0.2">
      <c r="C63" s="87"/>
      <c r="D63" s="87"/>
      <c r="E63" s="87"/>
      <c r="F63" s="327"/>
    </row>
    <row r="64" spans="1:14" x14ac:dyDescent="0.2">
      <c r="C64" s="87"/>
      <c r="D64" s="87"/>
      <c r="E64" s="87"/>
      <c r="F64" s="327"/>
    </row>
    <row r="65" spans="3:6" x14ac:dyDescent="0.2">
      <c r="C65" s="87"/>
      <c r="D65" s="87"/>
      <c r="E65" s="87"/>
      <c r="F65" s="327"/>
    </row>
    <row r="66" spans="3:6" x14ac:dyDescent="0.2">
      <c r="C66" s="87"/>
      <c r="D66" s="87"/>
      <c r="E66" s="87"/>
      <c r="F66" s="327"/>
    </row>
    <row r="67" spans="3:6" x14ac:dyDescent="0.2">
      <c r="C67" s="87"/>
      <c r="D67" s="87"/>
      <c r="E67" s="87"/>
      <c r="F67" s="327"/>
    </row>
    <row r="68" spans="3:6" x14ac:dyDescent="0.2">
      <c r="C68" s="87"/>
      <c r="D68" s="87"/>
      <c r="E68" s="87"/>
      <c r="F68" s="327"/>
    </row>
    <row r="69" spans="3:6" x14ac:dyDescent="0.2">
      <c r="C69" s="87"/>
      <c r="D69" s="87"/>
      <c r="E69" s="87"/>
      <c r="F69" s="327"/>
    </row>
    <row r="70" spans="3:6" x14ac:dyDescent="0.2">
      <c r="C70" s="87"/>
      <c r="D70" s="87"/>
      <c r="E70" s="87"/>
      <c r="F70" s="327"/>
    </row>
    <row r="71" spans="3:6" x14ac:dyDescent="0.2">
      <c r="C71" s="87"/>
      <c r="D71" s="87"/>
      <c r="E71" s="87"/>
      <c r="F71" s="327"/>
    </row>
    <row r="72" spans="3:6" x14ac:dyDescent="0.2">
      <c r="C72" s="87"/>
      <c r="D72" s="87"/>
      <c r="E72" s="87"/>
      <c r="F72" s="327"/>
    </row>
    <row r="73" spans="3:6" x14ac:dyDescent="0.2">
      <c r="C73" s="87"/>
      <c r="D73" s="87"/>
      <c r="E73" s="87"/>
      <c r="F73" s="327"/>
    </row>
    <row r="74" spans="3:6" x14ac:dyDescent="0.2">
      <c r="C74" s="87"/>
      <c r="D74" s="87"/>
      <c r="E74" s="87"/>
      <c r="F74" s="327"/>
    </row>
    <row r="75" spans="3:6" x14ac:dyDescent="0.2">
      <c r="C75" s="87"/>
      <c r="D75" s="87"/>
      <c r="E75" s="87"/>
      <c r="F75" s="327"/>
    </row>
    <row r="76" spans="3:6" x14ac:dyDescent="0.2">
      <c r="C76" s="87"/>
      <c r="D76" s="87"/>
      <c r="E76" s="87"/>
      <c r="F76" s="327"/>
    </row>
    <row r="77" spans="3:6" x14ac:dyDescent="0.2">
      <c r="C77" s="87"/>
      <c r="D77" s="87"/>
      <c r="E77" s="87"/>
      <c r="F77" s="327"/>
    </row>
    <row r="78" spans="3:6" x14ac:dyDescent="0.2">
      <c r="C78" s="87"/>
      <c r="D78" s="87"/>
      <c r="E78" s="87"/>
      <c r="F78" s="327"/>
    </row>
    <row r="79" spans="3:6" x14ac:dyDescent="0.2">
      <c r="C79" s="87"/>
      <c r="D79" s="87"/>
      <c r="E79" s="87"/>
      <c r="F79" s="327"/>
    </row>
    <row r="80" spans="3:6" x14ac:dyDescent="0.2">
      <c r="C80" s="87"/>
      <c r="D80" s="87"/>
      <c r="E80" s="87"/>
      <c r="F80" s="327"/>
    </row>
    <row r="81" spans="3:6" x14ac:dyDescent="0.2">
      <c r="C81" s="87"/>
      <c r="D81" s="87"/>
      <c r="E81" s="87"/>
      <c r="F81" s="327"/>
    </row>
    <row r="82" spans="3:6" x14ac:dyDescent="0.2">
      <c r="C82" s="87"/>
      <c r="D82" s="87"/>
      <c r="E82" s="87"/>
      <c r="F82" s="327"/>
    </row>
    <row r="83" spans="3:6" x14ac:dyDescent="0.2">
      <c r="C83" s="87"/>
      <c r="D83" s="87"/>
      <c r="E83" s="87"/>
      <c r="F83" s="327"/>
    </row>
    <row r="84" spans="3:6" x14ac:dyDescent="0.2">
      <c r="C84" s="87"/>
      <c r="D84" s="87"/>
      <c r="E84" s="87"/>
      <c r="F84" s="327"/>
    </row>
    <row r="85" spans="3:6" x14ac:dyDescent="0.2">
      <c r="C85" s="87"/>
      <c r="D85" s="87"/>
      <c r="E85" s="87"/>
      <c r="F85" s="327"/>
    </row>
    <row r="86" spans="3:6" x14ac:dyDescent="0.2">
      <c r="C86" s="87"/>
      <c r="D86" s="87"/>
      <c r="E86" s="87"/>
      <c r="F86" s="327"/>
    </row>
    <row r="87" spans="3:6" x14ac:dyDescent="0.2">
      <c r="C87" s="87"/>
      <c r="D87" s="87"/>
      <c r="E87" s="87"/>
      <c r="F87" s="327"/>
    </row>
    <row r="88" spans="3:6" x14ac:dyDescent="0.2">
      <c r="C88" s="87"/>
      <c r="D88" s="87"/>
      <c r="E88" s="87"/>
      <c r="F88" s="327"/>
    </row>
    <row r="89" spans="3:6" x14ac:dyDescent="0.2">
      <c r="C89" s="87"/>
      <c r="D89" s="87"/>
      <c r="E89" s="87"/>
      <c r="F89" s="327"/>
    </row>
    <row r="90" spans="3:6" x14ac:dyDescent="0.2">
      <c r="C90" s="87"/>
      <c r="D90" s="87"/>
      <c r="E90" s="87"/>
      <c r="F90" s="327"/>
    </row>
    <row r="91" spans="3:6" x14ac:dyDescent="0.2">
      <c r="C91" s="87"/>
      <c r="D91" s="87"/>
      <c r="E91" s="87"/>
      <c r="F91" s="327"/>
    </row>
    <row r="92" spans="3:6" x14ac:dyDescent="0.2">
      <c r="C92" s="87"/>
      <c r="D92" s="87"/>
      <c r="E92" s="87"/>
      <c r="F92" s="327"/>
    </row>
    <row r="93" spans="3:6" x14ac:dyDescent="0.2">
      <c r="C93" s="87"/>
      <c r="D93" s="87"/>
      <c r="E93" s="87"/>
      <c r="F93" s="327"/>
    </row>
    <row r="94" spans="3:6" x14ac:dyDescent="0.2">
      <c r="C94" s="87"/>
      <c r="D94" s="87"/>
      <c r="E94" s="87"/>
      <c r="F94" s="327"/>
    </row>
    <row r="95" spans="3:6" x14ac:dyDescent="0.2">
      <c r="C95" s="87"/>
      <c r="D95" s="87"/>
      <c r="E95" s="87"/>
      <c r="F95" s="327"/>
    </row>
    <row r="96" spans="3:6" x14ac:dyDescent="0.2">
      <c r="C96" s="87"/>
      <c r="D96" s="87"/>
      <c r="E96" s="87"/>
      <c r="F96" s="327"/>
    </row>
    <row r="97" spans="3:6" x14ac:dyDescent="0.2">
      <c r="C97" s="87"/>
      <c r="D97" s="87"/>
      <c r="E97" s="87"/>
      <c r="F97" s="327"/>
    </row>
    <row r="98" spans="3:6" x14ac:dyDescent="0.2">
      <c r="C98" s="87"/>
      <c r="D98" s="87"/>
      <c r="E98" s="87"/>
      <c r="F98" s="327"/>
    </row>
    <row r="99" spans="3:6" x14ac:dyDescent="0.2">
      <c r="C99" s="87"/>
      <c r="D99" s="87"/>
      <c r="E99" s="87"/>
      <c r="F99" s="327"/>
    </row>
    <row r="100" spans="3:6" x14ac:dyDescent="0.2">
      <c r="C100" s="87"/>
      <c r="D100" s="87"/>
      <c r="E100" s="87"/>
      <c r="F100" s="327"/>
    </row>
    <row r="101" spans="3:6" x14ac:dyDescent="0.2">
      <c r="C101" s="87"/>
      <c r="D101" s="87"/>
      <c r="E101" s="87"/>
      <c r="F101" s="327"/>
    </row>
    <row r="102" spans="3:6" x14ac:dyDescent="0.2">
      <c r="C102" s="87"/>
      <c r="D102" s="87"/>
      <c r="E102" s="87"/>
      <c r="F102" s="327"/>
    </row>
    <row r="103" spans="3:6" x14ac:dyDescent="0.2">
      <c r="C103" s="87"/>
      <c r="D103" s="87"/>
      <c r="E103" s="87"/>
      <c r="F103" s="327"/>
    </row>
    <row r="104" spans="3:6" x14ac:dyDescent="0.2">
      <c r="C104" s="87"/>
      <c r="D104" s="87"/>
      <c r="E104" s="87"/>
      <c r="F104" s="327"/>
    </row>
    <row r="105" spans="3:6" x14ac:dyDescent="0.2">
      <c r="C105" s="87"/>
      <c r="D105" s="87"/>
      <c r="E105" s="87"/>
      <c r="F105" s="327"/>
    </row>
    <row r="106" spans="3:6" x14ac:dyDescent="0.2">
      <c r="C106" s="87"/>
      <c r="D106" s="87"/>
      <c r="E106" s="87"/>
      <c r="F106" s="327"/>
    </row>
    <row r="107" spans="3:6" x14ac:dyDescent="0.2">
      <c r="C107" s="87"/>
      <c r="D107" s="87"/>
      <c r="E107" s="87"/>
      <c r="F107" s="327"/>
    </row>
    <row r="108" spans="3:6" x14ac:dyDescent="0.2">
      <c r="C108" s="87"/>
      <c r="D108" s="87"/>
      <c r="E108" s="87"/>
      <c r="F108" s="327"/>
    </row>
    <row r="109" spans="3:6" x14ac:dyDescent="0.2">
      <c r="C109" s="87"/>
      <c r="D109" s="87"/>
      <c r="E109" s="87"/>
      <c r="F109" s="327"/>
    </row>
    <row r="110" spans="3:6" x14ac:dyDescent="0.2">
      <c r="C110" s="87"/>
      <c r="D110" s="87"/>
      <c r="E110" s="87"/>
      <c r="F110" s="327"/>
    </row>
    <row r="111" spans="3:6" x14ac:dyDescent="0.2">
      <c r="C111" s="87"/>
      <c r="D111" s="87"/>
      <c r="E111" s="87"/>
      <c r="F111" s="327"/>
    </row>
    <row r="112" spans="3:6" x14ac:dyDescent="0.2">
      <c r="C112" s="87"/>
      <c r="D112" s="87"/>
      <c r="E112" s="87"/>
      <c r="F112" s="327"/>
    </row>
    <row r="113" spans="3:6" x14ac:dyDescent="0.2">
      <c r="C113" s="87"/>
      <c r="D113" s="87"/>
      <c r="E113" s="87"/>
      <c r="F113" s="327"/>
    </row>
    <row r="114" spans="3:6" x14ac:dyDescent="0.2">
      <c r="C114" s="87"/>
      <c r="D114" s="87"/>
      <c r="E114" s="87"/>
      <c r="F114" s="327"/>
    </row>
    <row r="115" spans="3:6" x14ac:dyDescent="0.2">
      <c r="C115" s="87"/>
      <c r="D115" s="87"/>
      <c r="E115" s="87"/>
      <c r="F115" s="327"/>
    </row>
    <row r="116" spans="3:6" x14ac:dyDescent="0.2">
      <c r="C116" s="87"/>
      <c r="D116" s="87"/>
      <c r="E116" s="87"/>
      <c r="F116" s="327"/>
    </row>
    <row r="117" spans="3:6" x14ac:dyDescent="0.2">
      <c r="C117" s="87"/>
      <c r="D117" s="87"/>
      <c r="E117" s="87"/>
      <c r="F117" s="327"/>
    </row>
    <row r="118" spans="3:6" x14ac:dyDescent="0.2">
      <c r="C118" s="87"/>
      <c r="D118" s="87"/>
      <c r="E118" s="87"/>
      <c r="F118" s="327"/>
    </row>
    <row r="119" spans="3:6" x14ac:dyDescent="0.2">
      <c r="C119" s="87"/>
      <c r="D119" s="87"/>
      <c r="E119" s="87"/>
      <c r="F119" s="327"/>
    </row>
    <row r="120" spans="3:6" x14ac:dyDescent="0.2">
      <c r="C120" s="87"/>
      <c r="D120" s="87"/>
      <c r="E120" s="87"/>
      <c r="F120" s="327"/>
    </row>
    <row r="121" spans="3:6" x14ac:dyDescent="0.2">
      <c r="C121" s="87"/>
      <c r="D121" s="87"/>
      <c r="E121" s="87"/>
      <c r="F121" s="327"/>
    </row>
    <row r="122" spans="3:6" x14ac:dyDescent="0.2">
      <c r="C122" s="87"/>
      <c r="D122" s="87"/>
      <c r="E122" s="87"/>
      <c r="F122" s="327"/>
    </row>
    <row r="123" spans="3:6" x14ac:dyDescent="0.2">
      <c r="C123" s="87"/>
      <c r="D123" s="87"/>
      <c r="E123" s="87"/>
      <c r="F123" s="327"/>
    </row>
    <row r="124" spans="3:6" x14ac:dyDescent="0.2">
      <c r="C124" s="87"/>
      <c r="D124" s="87"/>
      <c r="E124" s="87"/>
      <c r="F124" s="327"/>
    </row>
    <row r="125" spans="3:6" x14ac:dyDescent="0.2">
      <c r="C125" s="87"/>
      <c r="D125" s="87"/>
      <c r="E125" s="87"/>
      <c r="F125" s="327"/>
    </row>
    <row r="126" spans="3:6" x14ac:dyDescent="0.2">
      <c r="C126" s="87"/>
      <c r="D126" s="87"/>
      <c r="E126" s="87"/>
      <c r="F126" s="327"/>
    </row>
    <row r="127" spans="3:6" x14ac:dyDescent="0.2">
      <c r="C127" s="87"/>
      <c r="D127" s="87"/>
      <c r="E127" s="87"/>
      <c r="F127" s="327"/>
    </row>
    <row r="128" spans="3:6" x14ac:dyDescent="0.2">
      <c r="C128" s="87"/>
      <c r="D128" s="87"/>
      <c r="E128" s="87"/>
      <c r="F128" s="327"/>
    </row>
    <row r="129" spans="3:6" x14ac:dyDescent="0.2">
      <c r="C129" s="87"/>
      <c r="D129" s="87"/>
      <c r="E129" s="87"/>
      <c r="F129" s="327"/>
    </row>
    <row r="130" spans="3:6" x14ac:dyDescent="0.2">
      <c r="C130" s="87"/>
      <c r="D130" s="87"/>
      <c r="E130" s="87"/>
      <c r="F130" s="327"/>
    </row>
    <row r="131" spans="3:6" x14ac:dyDescent="0.2">
      <c r="C131" s="87"/>
      <c r="D131" s="87"/>
      <c r="E131" s="87"/>
      <c r="F131" s="327"/>
    </row>
    <row r="132" spans="3:6" x14ac:dyDescent="0.2">
      <c r="C132" s="87"/>
      <c r="D132" s="87"/>
      <c r="E132" s="87"/>
      <c r="F132" s="327"/>
    </row>
    <row r="133" spans="3:6" x14ac:dyDescent="0.2">
      <c r="C133" s="87"/>
      <c r="D133" s="87"/>
      <c r="E133" s="87"/>
      <c r="F133" s="327"/>
    </row>
    <row r="134" spans="3:6" x14ac:dyDescent="0.2">
      <c r="C134" s="87"/>
      <c r="D134" s="87"/>
      <c r="E134" s="87"/>
      <c r="F134" s="327"/>
    </row>
    <row r="135" spans="3:6" x14ac:dyDescent="0.2">
      <c r="C135" s="87"/>
      <c r="D135" s="87"/>
      <c r="E135" s="87"/>
      <c r="F135" s="327"/>
    </row>
    <row r="136" spans="3:6" x14ac:dyDescent="0.2">
      <c r="C136" s="87"/>
      <c r="D136" s="87"/>
      <c r="E136" s="87"/>
      <c r="F136" s="327"/>
    </row>
    <row r="137" spans="3:6" x14ac:dyDescent="0.2">
      <c r="C137" s="87"/>
      <c r="D137" s="87"/>
      <c r="E137" s="87"/>
      <c r="F137" s="327"/>
    </row>
    <row r="138" spans="3:6" x14ac:dyDescent="0.2">
      <c r="C138" s="87"/>
      <c r="D138" s="87"/>
      <c r="E138" s="87"/>
      <c r="F138" s="327"/>
    </row>
    <row r="139" spans="3:6" x14ac:dyDescent="0.2">
      <c r="C139" s="87"/>
      <c r="D139" s="87"/>
      <c r="E139" s="87"/>
      <c r="F139" s="327"/>
    </row>
    <row r="140" spans="3:6" x14ac:dyDescent="0.2">
      <c r="C140" s="87"/>
      <c r="D140" s="87"/>
      <c r="E140" s="87"/>
      <c r="F140" s="327"/>
    </row>
    <row r="141" spans="3:6" x14ac:dyDescent="0.2">
      <c r="C141" s="87"/>
      <c r="D141" s="87"/>
      <c r="E141" s="87"/>
      <c r="F141" s="327"/>
    </row>
    <row r="142" spans="3:6" x14ac:dyDescent="0.2">
      <c r="C142" s="87"/>
      <c r="D142" s="87"/>
      <c r="E142" s="87"/>
      <c r="F142" s="327"/>
    </row>
    <row r="143" spans="3:6" x14ac:dyDescent="0.2">
      <c r="C143" s="87"/>
      <c r="D143" s="87"/>
      <c r="E143" s="87"/>
      <c r="F143" s="327"/>
    </row>
    <row r="144" spans="3:6" x14ac:dyDescent="0.2">
      <c r="C144" s="87"/>
      <c r="D144" s="87"/>
      <c r="E144" s="87"/>
      <c r="F144" s="327"/>
    </row>
    <row r="145" spans="3:6" x14ac:dyDescent="0.2">
      <c r="C145" s="87"/>
      <c r="D145" s="87"/>
      <c r="E145" s="87"/>
      <c r="F145" s="327"/>
    </row>
    <row r="146" spans="3:6" x14ac:dyDescent="0.2">
      <c r="C146" s="87"/>
      <c r="D146" s="87"/>
      <c r="E146" s="87"/>
      <c r="F146" s="327"/>
    </row>
    <row r="147" spans="3:6" x14ac:dyDescent="0.2">
      <c r="C147" s="87"/>
      <c r="D147" s="87"/>
      <c r="E147" s="87"/>
      <c r="F147" s="327"/>
    </row>
    <row r="148" spans="3:6" x14ac:dyDescent="0.2">
      <c r="C148" s="87"/>
      <c r="D148" s="87"/>
      <c r="E148" s="87"/>
      <c r="F148" s="327"/>
    </row>
    <row r="149" spans="3:6" x14ac:dyDescent="0.2">
      <c r="C149" s="87"/>
      <c r="D149" s="87"/>
      <c r="E149" s="87"/>
      <c r="F149" s="327"/>
    </row>
    <row r="150" spans="3:6" x14ac:dyDescent="0.2">
      <c r="C150" s="87"/>
      <c r="D150" s="87"/>
      <c r="E150" s="87"/>
      <c r="F150" s="327"/>
    </row>
    <row r="151" spans="3:6" x14ac:dyDescent="0.2">
      <c r="C151" s="87"/>
      <c r="D151" s="87"/>
      <c r="E151" s="87"/>
      <c r="F151" s="327"/>
    </row>
    <row r="152" spans="3:6" x14ac:dyDescent="0.2">
      <c r="C152" s="87"/>
      <c r="D152" s="87"/>
      <c r="E152" s="87"/>
      <c r="F152" s="327"/>
    </row>
    <row r="153" spans="3:6" x14ac:dyDescent="0.2">
      <c r="C153" s="87"/>
      <c r="D153" s="87"/>
      <c r="E153" s="87"/>
      <c r="F153" s="327"/>
    </row>
    <row r="154" spans="3:6" x14ac:dyDescent="0.2">
      <c r="C154" s="87"/>
      <c r="D154" s="87"/>
      <c r="E154" s="87"/>
      <c r="F154" s="327"/>
    </row>
    <row r="155" spans="3:6" x14ac:dyDescent="0.2">
      <c r="C155" s="87"/>
      <c r="D155" s="87"/>
      <c r="E155" s="87"/>
      <c r="F155" s="327"/>
    </row>
    <row r="156" spans="3:6" x14ac:dyDescent="0.2">
      <c r="C156" s="87"/>
      <c r="D156" s="87"/>
      <c r="E156" s="87"/>
      <c r="F156" s="327"/>
    </row>
    <row r="157" spans="3:6" x14ac:dyDescent="0.2">
      <c r="C157" s="87"/>
      <c r="D157" s="87"/>
      <c r="E157" s="87"/>
      <c r="F157" s="327"/>
    </row>
  </sheetData>
  <sheetProtection algorithmName="SHA-512" hashValue="gYFBTFQ6DtrlPpNAlHCeBgS5JtZPU0cFdZlcW0qVeqIkOiUVlJ8GcRYGGkS4G7hCyDdV2VVr3lzJMZxjkQ9siw==" saltValue="KgFmwCLg7w1VwjJMNRDFAg==" spinCount="100000" sheet="1" objects="1" scenarios="1"/>
  <mergeCells count="11">
    <mergeCell ref="J11:L11"/>
    <mergeCell ref="G42:I43"/>
    <mergeCell ref="J44:L44"/>
    <mergeCell ref="E45:I48"/>
    <mergeCell ref="J45:L46"/>
    <mergeCell ref="P3:U4"/>
    <mergeCell ref="J10:L10"/>
    <mergeCell ref="C4:D4"/>
    <mergeCell ref="E4:H4"/>
    <mergeCell ref="K4:L4"/>
    <mergeCell ref="G6:I6"/>
  </mergeCells>
  <conditionalFormatting sqref="E4 K4">
    <cfRule type="containsBlanks" dxfId="381" priority="3">
      <formula>LEN(TRIM(E4))=0</formula>
    </cfRule>
  </conditionalFormatting>
  <conditionalFormatting sqref="G6">
    <cfRule type="containsBlanks" dxfId="380" priority="2">
      <formula>LEN(TRIM(G6))=0</formula>
    </cfRule>
  </conditionalFormatting>
  <conditionalFormatting sqref="J45">
    <cfRule type="containsBlanks" dxfId="379" priority="1">
      <formula>LEN(TRIM(J45))=0</formula>
    </cfRule>
  </conditionalFormatting>
  <hyperlinks>
    <hyperlink ref="P3" location="PF!A1" display="PF phase Summary Page" xr:uid="{4E15228F-6BE9-47BA-9607-54E7254ACF72}"/>
  </hyperlinks>
  <printOptions horizontalCentered="1" verticalCentered="1"/>
  <pageMargins left="0.5" right="0.5" top="0.5" bottom="0.5" header="0.25" footer="0.25"/>
  <pageSetup orientation="portrait" horizontalDpi="300" verticalDpi="300" r:id="rId1"/>
  <headerFooter alignWithMargins="0">
    <oddFooter xml:space="preserve">&amp;L&amp;D&amp;R&amp;F </odd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100EE-330E-4653-AF95-AFF78C908DF8}">
  <sheetPr>
    <tabColor rgb="FF00B0F0"/>
    <pageSetUpPr autoPageBreaks="0"/>
  </sheetPr>
  <dimension ref="B1:BU66"/>
  <sheetViews>
    <sheetView showGridLines="0" showRowColHeaders="0" topLeftCell="A2" zoomScaleNormal="100" zoomScaleSheetLayoutView="100" workbookViewId="0">
      <selection activeCell="L8" sqref="L8:R39"/>
    </sheetView>
  </sheetViews>
  <sheetFormatPr defaultColWidth="9.140625" defaultRowHeight="12.75" x14ac:dyDescent="0.2"/>
  <cols>
    <col min="1" max="1" width="1.5703125" style="87" customWidth="1"/>
    <col min="2" max="2" width="3.5703125" style="87" customWidth="1"/>
    <col min="3" max="3" width="5.5703125" style="87" customWidth="1"/>
    <col min="4" max="4" width="9.140625" style="87" customWidth="1"/>
    <col min="5" max="5" width="14" style="87" customWidth="1"/>
    <col min="6" max="6" width="7.85546875" style="87" customWidth="1"/>
    <col min="7" max="11" width="5.140625" style="87" customWidth="1"/>
    <col min="12" max="12" width="21.5703125" style="87" customWidth="1"/>
    <col min="13" max="13" width="6.5703125" style="87" customWidth="1"/>
    <col min="14" max="14" width="12.5703125" style="87" customWidth="1"/>
    <col min="15" max="15" width="7.85546875" style="87" customWidth="1"/>
    <col min="16" max="16" width="2.7109375" style="87" customWidth="1"/>
    <col min="17" max="17" width="4.85546875" style="87" customWidth="1"/>
    <col min="18" max="19" width="8.85546875" style="87" customWidth="1"/>
    <col min="20" max="20" width="19.140625" style="88" hidden="1" customWidth="1"/>
    <col min="21" max="21" width="36" style="88" hidden="1" customWidth="1"/>
    <col min="22" max="22" width="5.140625" style="88" hidden="1" customWidth="1"/>
    <col min="23" max="24" width="6.28515625" style="88" hidden="1" customWidth="1"/>
    <col min="25" max="25" width="8.42578125" style="88" hidden="1" customWidth="1"/>
    <col min="26" max="26" width="7.85546875" style="88" hidden="1" customWidth="1"/>
    <col min="27" max="27" width="10.7109375" style="88" hidden="1" customWidth="1"/>
    <col min="28" max="28" width="8" style="88" hidden="1" customWidth="1"/>
    <col min="29" max="31" width="5.140625" style="88" hidden="1" customWidth="1"/>
    <col min="32" max="34" width="5.85546875" style="88" hidden="1" customWidth="1"/>
    <col min="35" max="35" width="7.28515625" style="89" hidden="1" customWidth="1"/>
    <col min="36" max="36" width="5.5703125" style="88" hidden="1" customWidth="1"/>
    <col min="37" max="38" width="5.28515625" style="88" hidden="1" customWidth="1"/>
    <col min="39" max="40" width="7" style="88" hidden="1" customWidth="1"/>
    <col min="41" max="41" width="5.140625" style="88" hidden="1" customWidth="1"/>
    <col min="42" max="42" width="11.28515625" style="88" hidden="1" customWidth="1"/>
    <col min="43" max="43" width="6.42578125" style="88" hidden="1" customWidth="1"/>
    <col min="44" max="44" width="6.28515625" style="88" hidden="1" customWidth="1"/>
    <col min="45" max="45" width="8.85546875" style="88" hidden="1" customWidth="1"/>
    <col min="46" max="46" width="10.7109375" style="88" hidden="1" customWidth="1"/>
    <col min="47" max="47" width="8.85546875" style="88" hidden="1" customWidth="1"/>
    <col min="48" max="48" width="7.28515625" style="88" hidden="1" customWidth="1"/>
    <col min="49" max="49" width="10" style="88" hidden="1" customWidth="1"/>
    <col min="50" max="50" width="7.5703125" style="88" hidden="1" customWidth="1"/>
    <col min="51" max="51" width="7" style="88" hidden="1" customWidth="1"/>
    <col min="52" max="52" width="8.140625" style="88" hidden="1" customWidth="1"/>
    <col min="53" max="53" width="12.5703125" style="88" hidden="1" customWidth="1"/>
    <col min="54" max="54" width="7.7109375" style="88" hidden="1" customWidth="1"/>
    <col min="55" max="55" width="17.42578125" style="88" hidden="1" customWidth="1"/>
    <col min="56" max="56" width="7" style="88" hidden="1" customWidth="1"/>
    <col min="57" max="57" width="14.140625" style="88" hidden="1" customWidth="1"/>
    <col min="58" max="58" width="8.42578125" style="88" hidden="1" customWidth="1"/>
    <col min="59" max="59" width="10" style="88" hidden="1" customWidth="1"/>
    <col min="60" max="60" width="5.28515625" style="88" hidden="1" customWidth="1"/>
    <col min="61" max="61" width="4" style="88" hidden="1" customWidth="1"/>
    <col min="62" max="62" width="4.7109375" style="88" hidden="1" customWidth="1"/>
    <col min="63" max="63" width="5.5703125" style="88" hidden="1" customWidth="1"/>
    <col min="64" max="64" width="5.28515625" style="88" hidden="1" customWidth="1"/>
    <col min="65" max="65" width="4" style="88" hidden="1" customWidth="1"/>
    <col min="66" max="66" width="5.5703125" style="88" hidden="1" customWidth="1"/>
    <col min="67" max="67" width="5.140625" style="90" customWidth="1"/>
    <col min="68" max="73" width="5.140625" style="87" customWidth="1"/>
    <col min="74" max="16384" width="9.140625" style="87"/>
  </cols>
  <sheetData>
    <row r="1" spans="2:72" s="84" customFormat="1" ht="12" hidden="1" x14ac:dyDescent="0.2">
      <c r="T1" s="85"/>
      <c r="U1" s="85"/>
      <c r="V1" s="85"/>
      <c r="W1" s="85"/>
      <c r="X1" s="85"/>
      <c r="Y1" s="85"/>
      <c r="Z1" s="85"/>
      <c r="AA1" s="85"/>
      <c r="AB1" s="85"/>
      <c r="AC1" s="85"/>
      <c r="AD1" s="85"/>
      <c r="AE1" s="85"/>
      <c r="AF1" s="85"/>
      <c r="AG1" s="85"/>
      <c r="AH1" s="85"/>
      <c r="AI1" s="86"/>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row>
    <row r="2" spans="2:72" ht="13.5" thickBot="1" x14ac:dyDescent="0.25"/>
    <row r="3" spans="2:72" ht="13.5" customHeight="1" thickTop="1" x14ac:dyDescent="0.2">
      <c r="B3" s="967" t="s">
        <v>267</v>
      </c>
      <c r="C3" s="968"/>
      <c r="D3" s="968"/>
      <c r="E3" s="968"/>
      <c r="F3" s="968"/>
      <c r="G3" s="969"/>
      <c r="H3" s="970" t="s">
        <v>928</v>
      </c>
      <c r="I3" s="971"/>
      <c r="J3" s="971"/>
      <c r="K3" s="971"/>
      <c r="L3" s="971"/>
      <c r="M3" s="971"/>
      <c r="N3" s="972"/>
      <c r="O3" s="973" t="s">
        <v>269</v>
      </c>
      <c r="P3" s="974"/>
      <c r="Q3" s="973" t="s">
        <v>270</v>
      </c>
      <c r="R3" s="975"/>
      <c r="S3" s="91"/>
      <c r="T3" s="92"/>
      <c r="U3" s="92"/>
      <c r="V3" s="92"/>
      <c r="W3" s="92"/>
      <c r="X3" s="92"/>
      <c r="Y3" s="92"/>
      <c r="Z3" s="92"/>
      <c r="AA3" s="92"/>
      <c r="AB3" s="92"/>
      <c r="AC3" s="92"/>
      <c r="AD3" s="92"/>
      <c r="AE3" s="92"/>
      <c r="AF3" s="92"/>
      <c r="AG3" s="92"/>
      <c r="AH3" s="92"/>
      <c r="AI3" s="93"/>
      <c r="AJ3" s="92"/>
      <c r="AK3" s="92"/>
      <c r="AL3" s="92"/>
      <c r="AM3" s="92"/>
      <c r="AN3" s="92"/>
      <c r="AO3" s="92"/>
      <c r="AP3" s="92"/>
      <c r="AQ3" s="85"/>
      <c r="AR3" s="85"/>
      <c r="AW3" s="88" t="s">
        <v>271</v>
      </c>
      <c r="AX3" s="88" t="s">
        <v>272</v>
      </c>
      <c r="AY3" s="88" t="s">
        <v>273</v>
      </c>
      <c r="AZ3" s="88" t="s">
        <v>274</v>
      </c>
      <c r="BA3" s="88" t="s">
        <v>275</v>
      </c>
      <c r="BB3" s="88" t="s">
        <v>276</v>
      </c>
      <c r="BO3" s="976" t="s">
        <v>842</v>
      </c>
      <c r="BP3" s="976"/>
      <c r="BQ3" s="976"/>
      <c r="BR3" s="976"/>
      <c r="BS3" s="976"/>
      <c r="BT3" s="976"/>
    </row>
    <row r="4" spans="2:72" s="94" customFormat="1" ht="15.75" customHeight="1" x14ac:dyDescent="0.2">
      <c r="B4" s="994" t="s">
        <v>277</v>
      </c>
      <c r="C4" s="995"/>
      <c r="D4" s="995"/>
      <c r="E4" s="995"/>
      <c r="F4" s="995"/>
      <c r="G4" s="996"/>
      <c r="H4" s="937" t="s">
        <v>929</v>
      </c>
      <c r="I4" s="938"/>
      <c r="J4" s="938"/>
      <c r="K4" s="938"/>
      <c r="L4" s="938"/>
      <c r="M4" s="938"/>
      <c r="N4" s="939"/>
      <c r="O4" s="997" t="s">
        <v>1029</v>
      </c>
      <c r="P4" s="998"/>
      <c r="Q4" s="999">
        <v>46125</v>
      </c>
      <c r="R4" s="1000"/>
      <c r="S4" s="95"/>
      <c r="T4" s="96"/>
      <c r="U4" s="96"/>
      <c r="V4" s="96"/>
      <c r="W4" s="96"/>
      <c r="X4" s="96"/>
      <c r="Y4" s="96"/>
      <c r="Z4" s="96"/>
      <c r="AA4" s="96"/>
      <c r="AB4" s="96"/>
      <c r="AC4" s="96"/>
      <c r="AD4" s="96"/>
      <c r="AE4" s="96"/>
      <c r="AF4" s="96"/>
      <c r="AG4" s="96"/>
      <c r="AH4" s="96"/>
      <c r="AI4" s="97"/>
      <c r="AJ4" s="96"/>
      <c r="AK4" s="96"/>
      <c r="AL4" s="96"/>
      <c r="AM4" s="96"/>
      <c r="AN4" s="96"/>
      <c r="AO4" s="96"/>
      <c r="AP4" s="96"/>
      <c r="AQ4" s="98"/>
      <c r="AR4" s="98"/>
      <c r="AS4" s="99"/>
      <c r="AT4" s="100" t="s">
        <v>278</v>
      </c>
      <c r="AU4" s="101" t="b">
        <v>1</v>
      </c>
      <c r="AV4" s="99">
        <v>5</v>
      </c>
      <c r="AW4" s="99" t="b">
        <f>IF(ISERR(OR(AW8:AW39)),"UNK",IF(AND(graded_aca_events&gt;=1,input_test),FALSE,OR(AW8:AW39)))</f>
        <v>0</v>
      </c>
      <c r="AX4" s="99" t="b">
        <f>IF(ISERR(OR(AX8:AX39)),"UNK",IF(AND(graded_aca_events&gt;=1,input_test),FALSE,OR(AX8:AX39)))</f>
        <v>0</v>
      </c>
      <c r="AY4" s="99" t="b">
        <f>IF(ISERR(OR(AY8:AY39)),"UNK",OR(AY8:AY39))</f>
        <v>0</v>
      </c>
      <c r="AZ4" s="99" t="b">
        <f>IF(ISERR(OR(AZ8:AZ39)),"UNK",OR(AZ8:AZ39))</f>
        <v>0</v>
      </c>
      <c r="BA4" s="99" t="b">
        <f>IF(ISERR(OR(BA8:BA39)),"UNK",OR(BA8:BA39))</f>
        <v>0</v>
      </c>
      <c r="BB4" s="99" t="b">
        <f>IF(ISERR(OR(BB8:BB39)),"UNK",OR(BB8:BB39))</f>
        <v>0</v>
      </c>
      <c r="BC4" s="102" t="b">
        <f>OR(BC8:BC39)</f>
        <v>0</v>
      </c>
      <c r="BD4" s="102" t="b">
        <f>OR(BD8:BD39)</f>
        <v>0</v>
      </c>
      <c r="BE4" s="102" t="b">
        <f>OR(BE8:BE39)</f>
        <v>0</v>
      </c>
      <c r="BF4" s="102"/>
      <c r="BG4" s="99"/>
      <c r="BH4" s="944" t="s">
        <v>279</v>
      </c>
      <c r="BI4" s="944"/>
      <c r="BJ4" s="944"/>
      <c r="BK4" s="944"/>
      <c r="BL4" s="977" t="s">
        <v>280</v>
      </c>
      <c r="BM4" s="977"/>
      <c r="BN4" s="977"/>
      <c r="BO4" s="976"/>
      <c r="BP4" s="976"/>
      <c r="BQ4" s="976"/>
      <c r="BR4" s="976"/>
      <c r="BS4" s="976"/>
      <c r="BT4" s="976"/>
    </row>
    <row r="5" spans="2:72" s="91" customFormat="1" ht="7.5" customHeight="1" x14ac:dyDescent="0.25">
      <c r="B5" s="978" t="s">
        <v>281</v>
      </c>
      <c r="C5" s="979"/>
      <c r="D5" s="979"/>
      <c r="E5" s="980"/>
      <c r="F5" s="981" t="s">
        <v>282</v>
      </c>
      <c r="G5" s="980"/>
      <c r="H5" s="981" t="s">
        <v>283</v>
      </c>
      <c r="I5" s="979"/>
      <c r="J5" s="979"/>
      <c r="K5" s="979"/>
      <c r="L5" s="980"/>
      <c r="M5" s="982" t="s">
        <v>284</v>
      </c>
      <c r="N5" s="983"/>
      <c r="O5" s="984" t="s">
        <v>285</v>
      </c>
      <c r="P5" s="985"/>
      <c r="Q5" s="981" t="str">
        <f>IF(AU41=0,"GRADE","GRADE (inc. bonus)")</f>
        <v>GRADE (inc. bonus)</v>
      </c>
      <c r="R5" s="986"/>
      <c r="T5" s="92"/>
      <c r="U5" s="92"/>
      <c r="V5" s="92"/>
      <c r="W5" s="92"/>
      <c r="X5" s="92"/>
      <c r="Y5" s="92"/>
      <c r="Z5" s="92"/>
      <c r="AA5" s="92"/>
      <c r="AB5" s="92"/>
      <c r="AC5" s="92"/>
      <c r="AD5" s="92"/>
      <c r="AE5" s="92"/>
      <c r="AF5" s="92"/>
      <c r="AG5" s="92"/>
      <c r="AH5" s="92"/>
      <c r="AI5" s="93"/>
      <c r="AJ5" s="92"/>
      <c r="AK5" s="92"/>
      <c r="AL5" s="92"/>
      <c r="AM5" s="92"/>
      <c r="AN5" s="92"/>
      <c r="AO5" s="92"/>
      <c r="AP5" s="92"/>
      <c r="AQ5" s="92"/>
      <c r="AR5" s="92"/>
      <c r="AS5" s="92"/>
      <c r="AT5" s="92"/>
      <c r="AU5" s="92"/>
      <c r="AV5" s="92"/>
      <c r="AW5" s="92"/>
      <c r="AX5" s="92"/>
      <c r="AY5" s="92"/>
      <c r="AZ5" s="92"/>
      <c r="BA5" s="92"/>
      <c r="BB5" s="92"/>
      <c r="BC5" s="92"/>
      <c r="BD5" s="92"/>
      <c r="BE5" s="92"/>
      <c r="BF5" s="92"/>
      <c r="BG5" s="92"/>
      <c r="BH5" s="944"/>
      <c r="BI5" s="944"/>
      <c r="BJ5" s="944"/>
      <c r="BK5" s="944"/>
      <c r="BL5" s="977"/>
      <c r="BM5" s="977"/>
      <c r="BN5" s="977"/>
      <c r="BO5" s="103"/>
    </row>
    <row r="6" spans="2:72" s="94" customFormat="1" ht="15.75" customHeight="1" thickBot="1" x14ac:dyDescent="0.25">
      <c r="B6" s="1001" t="s">
        <v>1026</v>
      </c>
      <c r="C6" s="1002"/>
      <c r="D6" s="1002"/>
      <c r="E6" s="1003"/>
      <c r="F6" s="1004" t="s">
        <v>286</v>
      </c>
      <c r="G6" s="1005"/>
      <c r="H6" s="1006" t="s">
        <v>1042</v>
      </c>
      <c r="I6" s="1007"/>
      <c r="J6" s="1007"/>
      <c r="K6" s="1007"/>
      <c r="L6" s="1005"/>
      <c r="M6" s="1008" t="s">
        <v>1043</v>
      </c>
      <c r="N6" s="1009"/>
      <c r="O6" s="1010">
        <v>1.1000000000000001</v>
      </c>
      <c r="P6" s="1011"/>
      <c r="Q6" s="949">
        <f>IF((graded_aca_events+graded_amn_events)&lt;1,"0",IF(ISERROR(AR46),"",IF(F41&lt;&gt;"COMPLETE","INCOMPLETE",AR46)))</f>
        <v>0.94313461538461552</v>
      </c>
      <c r="R6" s="950"/>
      <c r="S6" s="87"/>
      <c r="T6" s="99"/>
      <c r="U6" s="99">
        <v>2</v>
      </c>
      <c r="V6" s="99">
        <v>3</v>
      </c>
      <c r="W6" s="99">
        <v>6</v>
      </c>
      <c r="X6" s="99">
        <v>7</v>
      </c>
      <c r="Y6" s="99">
        <v>11</v>
      </c>
      <c r="Z6" s="99">
        <v>8</v>
      </c>
      <c r="AA6" s="99">
        <v>9</v>
      </c>
      <c r="AB6" s="99">
        <v>10</v>
      </c>
      <c r="AC6" s="99">
        <v>5</v>
      </c>
      <c r="AD6" s="99">
        <v>4</v>
      </c>
      <c r="AE6" s="99">
        <v>12</v>
      </c>
      <c r="AF6" s="99">
        <v>13</v>
      </c>
      <c r="AG6" s="99"/>
      <c r="AH6" s="99"/>
      <c r="AI6" s="104"/>
      <c r="AJ6" s="105"/>
      <c r="AK6" s="105"/>
      <c r="AL6" s="105"/>
      <c r="AM6" s="105" t="b">
        <f>IF(COUNT(AM8:AM39)&gt;0,TRUE,FALSE)</f>
        <v>1</v>
      </c>
      <c r="AN6" s="105" t="b">
        <f>IF(COUNT(AN8:AN39)&gt;0,TRUE,FALSE)</f>
        <v>1</v>
      </c>
      <c r="AO6" s="99"/>
      <c r="AP6" s="99"/>
      <c r="AQ6" s="98"/>
      <c r="AR6" s="98"/>
      <c r="AS6" s="99"/>
      <c r="AT6" s="106">
        <v>0.2</v>
      </c>
      <c r="AU6" s="99"/>
      <c r="AV6" s="107">
        <f>0.01*input_maxb</f>
        <v>0.05</v>
      </c>
      <c r="AW6" s="108" t="s">
        <v>287</v>
      </c>
      <c r="AX6" s="109"/>
      <c r="AY6" s="108" t="s">
        <v>288</v>
      </c>
      <c r="AZ6" s="109"/>
      <c r="BA6" s="110" t="s">
        <v>289</v>
      </c>
      <c r="BB6" s="110"/>
      <c r="BC6" s="108" t="s">
        <v>290</v>
      </c>
      <c r="BD6" s="110"/>
      <c r="BE6" s="111"/>
      <c r="BF6" s="112"/>
      <c r="BG6" s="99" t="s">
        <v>291</v>
      </c>
      <c r="BH6" s="944"/>
      <c r="BI6" s="944"/>
      <c r="BJ6" s="944"/>
      <c r="BK6" s="944"/>
      <c r="BL6" s="977"/>
      <c r="BM6" s="977"/>
      <c r="BN6" s="977"/>
      <c r="BO6" s="90"/>
    </row>
    <row r="7" spans="2:72" ht="27" customHeight="1" thickBot="1" x14ac:dyDescent="0.25">
      <c r="B7" s="951" t="s">
        <v>292</v>
      </c>
      <c r="C7" s="952"/>
      <c r="D7" s="952"/>
      <c r="E7" s="952"/>
      <c r="F7" s="953"/>
      <c r="G7" s="113" t="s">
        <v>293</v>
      </c>
      <c r="H7" s="114" t="s">
        <v>294</v>
      </c>
      <c r="I7" s="115" t="s">
        <v>295</v>
      </c>
      <c r="J7" s="116" t="s">
        <v>296</v>
      </c>
      <c r="K7" s="117" t="s">
        <v>297</v>
      </c>
      <c r="L7" s="954" t="s">
        <v>298</v>
      </c>
      <c r="M7" s="952"/>
      <c r="N7" s="952"/>
      <c r="O7" s="952"/>
      <c r="P7" s="952"/>
      <c r="Q7" s="952"/>
      <c r="R7" s="955"/>
      <c r="T7" s="118" t="s">
        <v>299</v>
      </c>
      <c r="U7" s="118"/>
      <c r="V7" s="118" t="s">
        <v>300</v>
      </c>
      <c r="W7" s="118" t="s">
        <v>301</v>
      </c>
      <c r="X7" s="118" t="s">
        <v>302</v>
      </c>
      <c r="Y7" s="118" t="s">
        <v>303</v>
      </c>
      <c r="Z7" s="118" t="s">
        <v>304</v>
      </c>
      <c r="AA7" s="118" t="s">
        <v>305</v>
      </c>
      <c r="AB7" s="118" t="s">
        <v>306</v>
      </c>
      <c r="AC7" s="118" t="s">
        <v>307</v>
      </c>
      <c r="AD7" s="118" t="s">
        <v>308</v>
      </c>
      <c r="AE7" s="118" t="s">
        <v>309</v>
      </c>
      <c r="AF7" s="118" t="s">
        <v>310</v>
      </c>
      <c r="AG7" s="118" t="s">
        <v>311</v>
      </c>
      <c r="AH7" s="118" t="s">
        <v>312</v>
      </c>
      <c r="AI7" s="119" t="s">
        <v>313</v>
      </c>
      <c r="AJ7" s="120" t="s">
        <v>314</v>
      </c>
      <c r="AK7" s="121" t="s">
        <v>315</v>
      </c>
      <c r="AL7" s="121" t="s">
        <v>316</v>
      </c>
      <c r="AM7" s="121" t="s">
        <v>317</v>
      </c>
      <c r="AN7" s="121" t="s">
        <v>318</v>
      </c>
      <c r="AO7" s="120" t="s">
        <v>319</v>
      </c>
      <c r="AP7" s="120" t="s">
        <v>320</v>
      </c>
      <c r="AQ7" s="122" t="s">
        <v>321</v>
      </c>
      <c r="AR7" s="123" t="s">
        <v>1</v>
      </c>
      <c r="AS7" s="122" t="s">
        <v>322</v>
      </c>
      <c r="AT7" s="123" t="s">
        <v>1</v>
      </c>
      <c r="AU7" s="122" t="s">
        <v>323</v>
      </c>
      <c r="AV7" s="124" t="s">
        <v>324</v>
      </c>
      <c r="AW7" s="125" t="s">
        <v>325</v>
      </c>
      <c r="AX7" s="126" t="s">
        <v>326</v>
      </c>
      <c r="AY7" s="125" t="s">
        <v>327</v>
      </c>
      <c r="AZ7" s="126" t="s">
        <v>328</v>
      </c>
      <c r="BA7" s="127" t="s">
        <v>329</v>
      </c>
      <c r="BB7" s="127" t="s">
        <v>330</v>
      </c>
      <c r="BC7" s="128" t="s">
        <v>331</v>
      </c>
      <c r="BD7" s="129" t="s">
        <v>332</v>
      </c>
      <c r="BE7" s="130" t="s">
        <v>333</v>
      </c>
      <c r="BF7" s="131" t="s">
        <v>334</v>
      </c>
      <c r="BH7" s="88" t="s">
        <v>335</v>
      </c>
      <c r="BI7" s="88" t="s">
        <v>336</v>
      </c>
      <c r="BJ7" s="118" t="s">
        <v>337</v>
      </c>
      <c r="BK7" s="88" t="s">
        <v>338</v>
      </c>
      <c r="BL7" s="88" t="s">
        <v>335</v>
      </c>
      <c r="BM7" s="88" t="s">
        <v>336</v>
      </c>
      <c r="BN7" s="88" t="s">
        <v>338</v>
      </c>
    </row>
    <row r="8" spans="2:72" ht="12.95" customHeight="1" x14ac:dyDescent="0.2">
      <c r="B8" s="132" t="str">
        <f>IF(ISNA(Z8),"",IF(OR(Z8=1,Z8=2),"",1))</f>
        <v/>
      </c>
      <c r="C8" s="956" t="str">
        <f t="shared" ref="C8:C36" si="0">IF(ISNA(Z8),"",CONCATENATE($U8,IF(ISNUMBER(AI8),TEXT(ROUND($AI8,3)," (0.0%)"),""),IF(AU8&gt;0," Bonus","")))</f>
        <v>Airmanship Tasks (20.0%)</v>
      </c>
      <c r="D8" s="956"/>
      <c r="E8" s="956"/>
      <c r="F8" s="957"/>
      <c r="G8" s="133" t="str">
        <f t="shared" ref="G8:G39" si="1">BH8</f>
        <v/>
      </c>
      <c r="H8" s="134" t="str">
        <f t="shared" ref="H8:I39" si="2">BJ8</f>
        <v/>
      </c>
      <c r="I8" s="135" t="str">
        <f t="shared" si="2"/>
        <v/>
      </c>
      <c r="J8" s="136" t="s">
        <v>340</v>
      </c>
      <c r="K8" s="137" t="s">
        <v>340</v>
      </c>
      <c r="L8" s="1012" t="s">
        <v>1044</v>
      </c>
      <c r="M8" s="1013"/>
      <c r="N8" s="1013"/>
      <c r="O8" s="1013"/>
      <c r="P8" s="1013"/>
      <c r="Q8" s="1013"/>
      <c r="R8" s="1014"/>
      <c r="T8" s="88">
        <v>1</v>
      </c>
      <c r="U8" s="88" t="s">
        <v>339</v>
      </c>
      <c r="V8" s="453" t="s">
        <v>340</v>
      </c>
      <c r="W8" s="453" t="s">
        <v>340</v>
      </c>
      <c r="X8" s="453" t="s">
        <v>340</v>
      </c>
      <c r="Y8" s="453" t="s">
        <v>340</v>
      </c>
      <c r="Z8" s="453">
        <v>1</v>
      </c>
      <c r="AA8" s="453">
        <v>0</v>
      </c>
      <c r="AB8" s="453">
        <v>0</v>
      </c>
      <c r="AC8" s="453" t="s">
        <v>340</v>
      </c>
      <c r="AD8" s="453" t="s">
        <v>340</v>
      </c>
      <c r="AE8" s="453">
        <v>0</v>
      </c>
      <c r="AF8" s="453" t="s">
        <v>340</v>
      </c>
      <c r="AG8" s="453" t="str">
        <f t="shared" ref="AG8:AG39" si="3">IF(CrewSoloQual="Yes",$AC8,$AD8)</f>
        <v/>
      </c>
      <c r="AH8" s="453" t="str">
        <f t="shared" ref="AH8:AH39" si="4">IF(ISNUMBER(AC8),IF(CrewSoloQual="Yes",$AC8-1,$AD8-1),"")</f>
        <v/>
      </c>
      <c r="AI8" s="138">
        <f>IF(NOT(OR(Z8=1,Z8=2)),IF(AQ8&gt;0,$AR$44*AQ8/SUMIF($AQ$8:$AQ$39,"&gt;0"),IF(AU8&gt;0,$AV$44*AU8/SUMIF($AU$8:$AU$39,"&gt;0"),IF(AS8&gt;0,$AT$44*AS8/SUMIF($AS$8:$AS$39,"&gt;0"),""))),IF(SUMIF(AJ9:$AJ$39,"=" &amp; AJ8,AI9:$AI$39)=0,"",SUMIF(AJ9:$AJ$39,"=" &amp; AJ8,AI9:$AI$39)))</f>
        <v>0.2</v>
      </c>
      <c r="AJ8" s="139">
        <f>0</f>
        <v>0</v>
      </c>
      <c r="AK8" s="453" t="str">
        <f>BI8</f>
        <v/>
      </c>
      <c r="AL8" s="453" t="str">
        <f>IF(ISBLANK(K8),"",K8)</f>
        <v/>
      </c>
      <c r="AM8" s="453" t="str">
        <f>IF(ISNUMBER(AK8),IF(ISNUMBER(AL8),1,""),"")</f>
        <v/>
      </c>
      <c r="AN8" s="453" t="str">
        <f t="shared" ref="AN8:AN36" si="5">IF(ISNUMBER(AH8),IF(AND(AB8=0,ISNUMBER(AC8),ISNUMBER(AL8)),1,""),"")</f>
        <v/>
      </c>
      <c r="AO8" s="453" t="str">
        <f t="shared" ref="AO8:AO39" si="6">IF(AB8=0,IF(CrewSoloQual="No",BI8,BK8),"")</f>
        <v/>
      </c>
      <c r="AP8" s="453" t="str">
        <f t="shared" ref="AP8:AP39" si="7">IF(ISNA(Z8),"",IF(AND(ISNUMBER(B8),G8&gt;=1,H8&lt;&gt;"NG"),IF(K8&lt;BK8,TRUE,FALSE),IF(AND(G8&gt;=1,J8="NA"),TRUE,IF(AND(AM8=1,G8=0,AL8&lt;BI8),TRUE,""))))</f>
        <v/>
      </c>
      <c r="AQ8" s="140">
        <f>IF(ISNA(Z8),0,IF(OR(J8="NA",W8="",AB8=0),0,W8))</f>
        <v>0</v>
      </c>
      <c r="AR8" s="141" t="str">
        <f t="shared" ref="AR8:AR39" si="8">IF(ISNA(Z8),"",IF(AND(NOT(OR(Z8=1,Z8=2,AK8="NG",AB8=0)),IF(ISNUMBER(AL8),AL8&gt;=0,FALSE)),VLOOKUP((10*AD8+AC8),$AQ$50:$AV$58,2+AL8,FALSE),IF(AND(input_test=TRUE,ISNUMBER(AD8),V8&lt;&gt;0),VLOOKUP((10*AD8+AC8),$AQ$50:$AV$58,2,FALSE),"")))</f>
        <v/>
      </c>
      <c r="AS8" s="142">
        <f>IF(ISNA(Z8),0,IF(OR(J8="NA",X8="",AB8=1),0,X8))</f>
        <v>0</v>
      </c>
      <c r="AT8" s="141" t="str">
        <f t="shared" ref="AT8:AT39" si="9">IF(ISNA(Z8),"",IF(AND(NOT(OR(Z8=1,Z8=2,AK8="NG",AB8=1)),IF(ISNUMBER(AL8),AL8&gt;=0,FALSE)),VLOOKUP((10*AH8+AG8),$AQ$50:$AV$58,2+AL8,FALSE),IF(AND(input_test=TRUE,ISNUMBER(AD8),V8&lt;&gt;0),VLOOKUP((10*AH8+AG8),$AQ$50:$AV$58,2,FALSE),"")))</f>
        <v/>
      </c>
      <c r="AU8" s="143">
        <f t="shared" ref="AU8:AU39" si="10">IF(ISNA(Z8),0,IF(OR(J8="NA",Y8=""),0,Y8))</f>
        <v>0</v>
      </c>
      <c r="AV8" s="144" t="str">
        <f t="shared" ref="AV8:AV39" si="11">AR8</f>
        <v/>
      </c>
      <c r="AW8" s="143" t="b">
        <f t="shared" ref="AW8:AW39" si="12">IF(ISNA(Z8),FALSE,IF(OR(AB8=1,G8=0,Z8=1,Z8=2),FALSE,IF(OR(J8="NA",J8&gt;=G8),FALSE,TRUE)))</f>
        <v>0</v>
      </c>
      <c r="AX8" s="145" t="b">
        <f t="shared" ref="AX8:AX39" si="13">IF(ISNA(Z8),FALSE,IF(OR(AB8=0,G8=0,Z8=1,Z8=2,J8="NA"),FALSE,IF(AK8="NG",IF(NOT(ISBLANK(K8)),FALSE,TRUE),IF(J8&gt;=G8,FALSE,TRUE))))</f>
        <v>0</v>
      </c>
      <c r="AY8" s="143" t="b">
        <f t="shared" ref="AY8:AY39" si="14">IF(ISNA(Z8),FALSE,IF(OR(AB8=1,G8&lt;1,Z8=1,Z8=2,AE8=0,ISBLANK(K8)),FALSE,IF(OR(J8="NA",K8&gt;=BI8),FALSE,TRUE)))</f>
        <v>0</v>
      </c>
      <c r="AZ8" s="145" t="b">
        <f t="shared" ref="AZ8:AZ39" si="15">IF(ISNA(Z8),FALSE,IF(OR(AB8=0,G8=0,Z8=1,Z8=2,AE8=0,BI8="NG",K8="",ISBLANK(K8)),FALSE,IF(OR(J8="NA",K8&gt;=AK8),FALSE,TRUE)))</f>
        <v>0</v>
      </c>
      <c r="BA8" s="453" t="b">
        <f t="shared" ref="BA8:BA39" si="16">IF(ISNA(Z8),FALSE,IF(OR(AB8=1,G8&lt;1,Z8=1,Z8=2,AE8=0),FALSE,IF(J8="NA",TRUE,FALSE)))</f>
        <v>0</v>
      </c>
      <c r="BB8" s="453" t="b">
        <f t="shared" ref="BB8:BB39" si="17">IF(ISNA(Z8),FALSE,IF(OR(AB8=0,G8=0,Z8=1,Z8=2),FALSE,IF(J8="NA",TRUE,FALSE)))</f>
        <v>0</v>
      </c>
      <c r="BC8" s="143" t="b">
        <f t="shared" ref="BC8:BC39" si="18">IF(OR(ISNA($Z8),ISNUMBER($Z8),NOT(ISNUMBER($J8)),K8="D"),FALSE,IF(AND(NOT(ISNUMBER($K8)),J8&gt;0),TRUE,FALSE))</f>
        <v>0</v>
      </c>
      <c r="BD8" s="146" t="b">
        <f>IF(OR(ISNA($Z8),ISNUMBER($Z8),NOT(ISNUMBER(K8))),FALSE,OR(NOT(ISNUMBER(J8)),J8=0,AND(J8=0,K8&lt;&gt;0)))</f>
        <v>0</v>
      </c>
      <c r="BE8" s="145" t="b">
        <f t="shared" ref="BE8:BE21" si="19">IF(OR(ISNA($Z8),K8&lt;&gt;"D"),FALSE,IF(OR(AND(H8="NG",J8=0),AND(H8&lt;&gt;"NG",NOT(OR(J8="NA",J8=0)))),TRUE,FALSE))</f>
        <v>0</v>
      </c>
      <c r="BF8" s="147" t="b">
        <f t="shared" ref="BF8:BF30" si="20">IF(OR(ISNA($Z8),H8&lt;&gt;"NG"),FALSE,IF(AND(J8="NA",K8&lt;&gt;""),TRUE,FALSE))</f>
        <v>0</v>
      </c>
      <c r="BG8" s="453" t="b">
        <f t="shared" ref="BG8:BG21" si="21">IF(ISNA($Z8),"NA",IF(OR(AZ8,AY8,AX8,AW8,AP8,BA8,BB8),TRUE,FALSE))</f>
        <v>0</v>
      </c>
      <c r="BH8" s="148" t="str">
        <f>IF(ISNA($Z8),"",IF(OR($Z8=1,$Z8=2),"",$V8))</f>
        <v/>
      </c>
      <c r="BI8" s="453" t="str">
        <f t="shared" ref="BI8:BI39" si="22">IF(ISNA($Z8),"",IF(OR($Z8=1,$Z8=2,$G8=""),"",IF(AB8=0,AH8,$AD8)))</f>
        <v/>
      </c>
      <c r="BJ8" s="453" t="str">
        <f t="shared" ref="BJ8:BJ39" si="23">IF(ISNA(AE8),"",IF(OR(Z8=1,Z8=2),"",IF(OR(AE8=0,AD8="NG"),TEXT(BI8,"0"),CONCATENATE(TEXT(BI8,"0"),"*"))))</f>
        <v/>
      </c>
      <c r="BK8" s="453" t="str">
        <f t="shared" ref="BK8:BK39" si="24">IF(ISNA($Z8),"",IF(OR($Z8=1,$Z8=2,$G8=""),"",IF(AB8=0,AG8,$AC8)))</f>
        <v/>
      </c>
      <c r="BL8" s="148" t="str">
        <f>IF(ISBLANK(BH8),"",IF(BH8=0,"",BH8))</f>
        <v/>
      </c>
      <c r="BM8" s="453" t="str">
        <f t="shared" ref="BM8:BM39" si="25">IF($BH8=0,"",IF($BI8="NG","D",$BI8))</f>
        <v/>
      </c>
      <c r="BN8" s="453" t="str">
        <f t="shared" ref="BN8:BN39" si="26">IF(ISNA(U8),"",IF($BH8=0,"",IF($BI8="NG","D",BK8)))</f>
        <v/>
      </c>
      <c r="BO8" s="149" t="s">
        <v>341</v>
      </c>
      <c r="BP8" s="150"/>
    </row>
    <row r="9" spans="2:72" s="94" customFormat="1" ht="12.95" customHeight="1" x14ac:dyDescent="0.2">
      <c r="B9" s="151">
        <f>IF(ISNA(Z9),"",IF(OR(Z9=1,Z9=2),"    ",MAX($B$8:B8)+1))</f>
        <v>1</v>
      </c>
      <c r="C9" s="904" t="str">
        <f t="shared" si="0"/>
        <v>Basic Aircraft Procedures (4.0%)</v>
      </c>
      <c r="D9" s="904"/>
      <c r="E9" s="904"/>
      <c r="F9" s="905"/>
      <c r="G9" s="133">
        <f t="shared" si="1"/>
        <v>1</v>
      </c>
      <c r="H9" s="134" t="str">
        <f t="shared" si="2"/>
        <v>2*</v>
      </c>
      <c r="I9" s="152">
        <f t="shared" si="2"/>
        <v>3</v>
      </c>
      <c r="J9" s="153">
        <v>1</v>
      </c>
      <c r="K9" s="154">
        <v>3</v>
      </c>
      <c r="L9" s="1015"/>
      <c r="M9" s="1016"/>
      <c r="N9" s="1016"/>
      <c r="O9" s="1016"/>
      <c r="P9" s="1016"/>
      <c r="Q9" s="1016"/>
      <c r="R9" s="1017"/>
      <c r="T9" s="99">
        <v>2</v>
      </c>
      <c r="U9" s="88" t="s">
        <v>342</v>
      </c>
      <c r="V9" s="453">
        <v>1</v>
      </c>
      <c r="W9" s="453" t="s">
        <v>340</v>
      </c>
      <c r="X9" s="453">
        <v>1</v>
      </c>
      <c r="Y9" s="453" t="s">
        <v>340</v>
      </c>
      <c r="Z9" s="146" t="s">
        <v>340</v>
      </c>
      <c r="AA9" s="146">
        <v>1</v>
      </c>
      <c r="AB9" s="146">
        <v>0</v>
      </c>
      <c r="AC9" s="453">
        <v>3</v>
      </c>
      <c r="AD9" s="453">
        <v>2</v>
      </c>
      <c r="AE9" s="453">
        <v>1</v>
      </c>
      <c r="AF9" s="453" t="b">
        <v>1</v>
      </c>
      <c r="AG9" s="453">
        <f t="shared" si="3"/>
        <v>3</v>
      </c>
      <c r="AH9" s="453">
        <f t="shared" si="4"/>
        <v>2</v>
      </c>
      <c r="AI9" s="138">
        <f>IF(NOT(OR(Z9=1,Z9=2)),IF(AQ9&gt;0,$AR$44*AQ9/SUMIF($AQ$8:$AQ$39,"&gt;0"),IF(AU9&gt;0,$AV$44*AU9/SUMIF($AU$8:$AU$39,"&gt;0"),IF(AS9&gt;0,$AT$44*AS9/SUMIF($AS$8:$AS$39,"&gt;0"),""))),IF(SUMIF(AJ10:$AJ$39,"=" &amp; AJ9,AI10:$AI$39)=0,"",SUMIF(AJ10:$AJ$39,"=" &amp; AJ9,AI10:$AI$39)))</f>
        <v>0.04</v>
      </c>
      <c r="AJ9" s="139">
        <f>IF(OR(Z9=1,Z9=2,AA9&lt;AA8),AJ8+1,AJ8)</f>
        <v>0</v>
      </c>
      <c r="AK9" s="453">
        <f t="shared" ref="AK9:AK39" si="27">BI9</f>
        <v>2</v>
      </c>
      <c r="AL9" s="146">
        <f t="shared" ref="AL9:AL39" si="28">IF(ISBLANK(K9),"",K9)</f>
        <v>3</v>
      </c>
      <c r="AM9" s="146">
        <f>IF(ISNUMBER(AK9),IF(ISNUMBER(AL9),1,""),"")</f>
        <v>1</v>
      </c>
      <c r="AN9" s="146">
        <f t="shared" si="5"/>
        <v>1</v>
      </c>
      <c r="AO9" s="146">
        <f t="shared" si="6"/>
        <v>3</v>
      </c>
      <c r="AP9" s="453" t="b">
        <f>IF(ISNA(Z9),"",IF(AND(ISNUMBER(B9),G9&gt;=1,H9&lt;&gt;"NG"),IF(K9&lt;BK9,TRUE,FALSE),IF(AND(G9&gt;=1,J9="NA"),TRUE,IF(AND(AM9=1,G9=0,AL9&lt;BI9),TRUE,""))))</f>
        <v>0</v>
      </c>
      <c r="AQ9" s="140">
        <f t="shared" ref="AQ9:AQ39" si="29">IF(ISNA(Z9),0,IF(OR(J9="NA",W9="",AB9=0),0,W9))</f>
        <v>0</v>
      </c>
      <c r="AR9" s="141" t="str">
        <f>IF(ISNA(Z9),"",IF(AND(NOT(OR(Z9=1,Z9=2,AK9="NG",AB9=0)),IF(ISNUMBER(AL9),AL9&gt;=0,FALSE)),VLOOKUP((10*AD9+AC9),$AQ$50:$AV$58,2+AL9,FALSE),IF(AND(input_test=TRUE,ISNUMBER(AD9),V9&lt;&gt;0),VLOOKUP((10*AD9+AC9),$AQ$50:$AV$58,2,FALSE),"")))</f>
        <v/>
      </c>
      <c r="AS9" s="142">
        <f t="shared" ref="AS9:AS39" si="30">IF(ISNA(Z9),0,IF(OR(J9="NA",X9="",AB9=1),0,X9))</f>
        <v>1</v>
      </c>
      <c r="AT9" s="141">
        <f>IF(ISNA(Z9),"",IF(AND(NOT(OR(Z9=1,Z9=2,AK9="NG",AB9=1)),IF(ISNUMBER(AL9),AL9&gt;=0,FALSE)),VLOOKUP((10*AH9+AG9),$AQ$50:$AV$58,2+AL9,FALSE),IF(AND(input_test=TRUE,ISNUMBER(AD9),V9&lt;&gt;0),VLOOKUP((10*AH9+AG9),$AQ$50:$AV$58,2,FALSE),"")))</f>
        <v>0.9</v>
      </c>
      <c r="AU9" s="143">
        <f t="shared" si="10"/>
        <v>0</v>
      </c>
      <c r="AV9" s="144" t="str">
        <f t="shared" si="11"/>
        <v/>
      </c>
      <c r="AW9" s="143" t="b">
        <f t="shared" si="12"/>
        <v>0</v>
      </c>
      <c r="AX9" s="145" t="b">
        <f t="shared" si="13"/>
        <v>0</v>
      </c>
      <c r="AY9" s="143" t="b">
        <f t="shared" si="14"/>
        <v>0</v>
      </c>
      <c r="AZ9" s="145" t="b">
        <f t="shared" si="15"/>
        <v>0</v>
      </c>
      <c r="BA9" s="453" t="b">
        <f t="shared" si="16"/>
        <v>0</v>
      </c>
      <c r="BB9" s="453" t="b">
        <f t="shared" si="17"/>
        <v>0</v>
      </c>
      <c r="BC9" s="143" t="b">
        <f t="shared" si="18"/>
        <v>0</v>
      </c>
      <c r="BD9" s="146" t="b">
        <f t="shared" ref="BD9:BD39" si="31">IF(OR(ISNA($Z9),ISNUMBER($Z9),NOT(ISNUMBER(K9))),FALSE,OR(NOT(ISNUMBER(J9)),J9=0,AND(J9=0,K9&lt;&gt;0)))</f>
        <v>0</v>
      </c>
      <c r="BE9" s="145" t="b">
        <f t="shared" si="19"/>
        <v>0</v>
      </c>
      <c r="BF9" s="147" t="b">
        <f t="shared" si="20"/>
        <v>0</v>
      </c>
      <c r="BG9" s="453" t="b">
        <f t="shared" si="21"/>
        <v>0</v>
      </c>
      <c r="BH9" s="453">
        <f t="shared" ref="BH9:BH39" si="32">IF(ISNA($Z9),"",IF(OR($Z9=1,$Z9=2),"",$V9))</f>
        <v>1</v>
      </c>
      <c r="BI9" s="453">
        <f t="shared" si="22"/>
        <v>2</v>
      </c>
      <c r="BJ9" s="453" t="str">
        <f t="shared" si="23"/>
        <v>2*</v>
      </c>
      <c r="BK9" s="453">
        <f t="shared" si="24"/>
        <v>3</v>
      </c>
      <c r="BL9" s="148">
        <f t="shared" ref="BL9:BL39" si="33">IF(ISBLANK(BH9),"",IF(BH9=0,"",BH9))</f>
        <v>1</v>
      </c>
      <c r="BM9" s="453">
        <f t="shared" si="25"/>
        <v>2</v>
      </c>
      <c r="BN9" s="453">
        <f t="shared" si="26"/>
        <v>3</v>
      </c>
      <c r="BO9" s="155" t="s">
        <v>343</v>
      </c>
      <c r="BP9" s="156" t="s">
        <v>344</v>
      </c>
    </row>
    <row r="10" spans="2:72" s="94" customFormat="1" ht="12.95" customHeight="1" x14ac:dyDescent="0.2">
      <c r="B10" s="151">
        <f>IF(ISNA(Z10),"",IF(OR(Z10=1,Z10=2),"    ",MAX($B$8:B9)+1))</f>
        <v>2</v>
      </c>
      <c r="C10" s="904" t="str">
        <f t="shared" si="0"/>
        <v>Basic Aircraft Handling (4.0%)</v>
      </c>
      <c r="D10" s="904"/>
      <c r="E10" s="904"/>
      <c r="F10" s="905"/>
      <c r="G10" s="133">
        <f t="shared" si="1"/>
        <v>1</v>
      </c>
      <c r="H10" s="134" t="str">
        <f t="shared" si="2"/>
        <v>2*</v>
      </c>
      <c r="I10" s="152">
        <f t="shared" si="2"/>
        <v>3</v>
      </c>
      <c r="J10" s="157">
        <v>1</v>
      </c>
      <c r="K10" s="154">
        <v>3</v>
      </c>
      <c r="L10" s="1015"/>
      <c r="M10" s="1016"/>
      <c r="N10" s="1016"/>
      <c r="O10" s="1016"/>
      <c r="P10" s="1016"/>
      <c r="Q10" s="1016"/>
      <c r="R10" s="1017"/>
      <c r="T10" s="99">
        <v>3</v>
      </c>
      <c r="U10" s="88" t="s">
        <v>551</v>
      </c>
      <c r="V10" s="453">
        <v>1</v>
      </c>
      <c r="W10" s="453" t="s">
        <v>340</v>
      </c>
      <c r="X10" s="453">
        <v>1</v>
      </c>
      <c r="Y10" s="453" t="s">
        <v>340</v>
      </c>
      <c r="Z10" s="146" t="s">
        <v>340</v>
      </c>
      <c r="AA10" s="146">
        <v>1</v>
      </c>
      <c r="AB10" s="146">
        <v>0</v>
      </c>
      <c r="AC10" s="453">
        <v>3</v>
      </c>
      <c r="AD10" s="453">
        <v>2</v>
      </c>
      <c r="AE10" s="453">
        <v>1</v>
      </c>
      <c r="AF10" s="453" t="b">
        <v>1</v>
      </c>
      <c r="AG10" s="453">
        <f t="shared" si="3"/>
        <v>3</v>
      </c>
      <c r="AH10" s="453">
        <f t="shared" si="4"/>
        <v>2</v>
      </c>
      <c r="AI10" s="138">
        <f>IF(NOT(OR(Z10=1,Z10=2)),IF(AQ10&gt;0,$AR$44*AQ10/SUMIF($AQ$8:$AQ$39,"&gt;0"),IF(AU10&gt;0,$AV$44*AU10/SUMIF($AU$8:$AU$39,"&gt;0"),IF(AS10&gt;0,$AT$44*AS10/SUMIF($AS$8:$AS$39,"&gt;0"),""))),IF(SUMIF(AJ11:$AJ$39,"=" &amp; AJ10,AI11:$AI$39)=0,"",SUMIF(AJ11:$AJ$39,"=" &amp; AJ10,AI11:$AI$39)))</f>
        <v>0.04</v>
      </c>
      <c r="AJ10" s="139">
        <f t="shared" ref="AJ10:AJ39" si="34">IF(OR(Z10=1,Z10=2,AA10&lt;AA9),AJ9+1,AJ9)</f>
        <v>0</v>
      </c>
      <c r="AK10" s="453">
        <f t="shared" si="27"/>
        <v>2</v>
      </c>
      <c r="AL10" s="146">
        <f t="shared" si="28"/>
        <v>3</v>
      </c>
      <c r="AM10" s="146">
        <f t="shared" ref="AM10:AM39" si="35">IF(ISNUMBER(AK10),IF(ISNUMBER(AL10),1,""),"")</f>
        <v>1</v>
      </c>
      <c r="AN10" s="146">
        <f t="shared" si="5"/>
        <v>1</v>
      </c>
      <c r="AO10" s="146">
        <f t="shared" si="6"/>
        <v>3</v>
      </c>
      <c r="AP10" s="453" t="b">
        <f t="shared" si="7"/>
        <v>0</v>
      </c>
      <c r="AQ10" s="140">
        <f t="shared" si="29"/>
        <v>0</v>
      </c>
      <c r="AR10" s="141" t="str">
        <f t="shared" si="8"/>
        <v/>
      </c>
      <c r="AS10" s="142">
        <f t="shared" si="30"/>
        <v>1</v>
      </c>
      <c r="AT10" s="141">
        <f t="shared" si="9"/>
        <v>0.9</v>
      </c>
      <c r="AU10" s="143">
        <f t="shared" si="10"/>
        <v>0</v>
      </c>
      <c r="AV10" s="144" t="str">
        <f t="shared" si="11"/>
        <v/>
      </c>
      <c r="AW10" s="143" t="b">
        <f t="shared" si="12"/>
        <v>0</v>
      </c>
      <c r="AX10" s="145" t="b">
        <f t="shared" si="13"/>
        <v>0</v>
      </c>
      <c r="AY10" s="143" t="b">
        <f t="shared" si="14"/>
        <v>0</v>
      </c>
      <c r="AZ10" s="145" t="b">
        <f t="shared" si="15"/>
        <v>0</v>
      </c>
      <c r="BA10" s="453" t="b">
        <f t="shared" si="16"/>
        <v>0</v>
      </c>
      <c r="BB10" s="453" t="b">
        <f t="shared" si="17"/>
        <v>0</v>
      </c>
      <c r="BC10" s="143" t="b">
        <f t="shared" si="18"/>
        <v>0</v>
      </c>
      <c r="BD10" s="146" t="b">
        <f t="shared" si="31"/>
        <v>0</v>
      </c>
      <c r="BE10" s="145" t="b">
        <f t="shared" si="19"/>
        <v>0</v>
      </c>
      <c r="BF10" s="147" t="b">
        <f t="shared" si="20"/>
        <v>0</v>
      </c>
      <c r="BG10" s="453" t="b">
        <f t="shared" si="21"/>
        <v>0</v>
      </c>
      <c r="BH10" s="453">
        <f t="shared" si="32"/>
        <v>1</v>
      </c>
      <c r="BI10" s="453">
        <f t="shared" si="22"/>
        <v>2</v>
      </c>
      <c r="BJ10" s="453" t="str">
        <f t="shared" si="23"/>
        <v>2*</v>
      </c>
      <c r="BK10" s="453">
        <f t="shared" si="24"/>
        <v>3</v>
      </c>
      <c r="BL10" s="148">
        <f t="shared" si="33"/>
        <v>1</v>
      </c>
      <c r="BM10" s="453">
        <f t="shared" si="25"/>
        <v>2</v>
      </c>
      <c r="BN10" s="453">
        <f t="shared" si="26"/>
        <v>3</v>
      </c>
      <c r="BO10" s="155">
        <v>0</v>
      </c>
      <c r="BP10" s="156" t="s">
        <v>346</v>
      </c>
    </row>
    <row r="11" spans="2:72" s="94" customFormat="1" ht="12.95" customHeight="1" x14ac:dyDescent="0.2">
      <c r="B11" s="151">
        <f>IF(ISNA(Z11),"",IF(OR(Z11=1,Z11=2),"    ",MAX($B$8:B10)+1))</f>
        <v>3</v>
      </c>
      <c r="C11" s="904" t="str">
        <f t="shared" si="0"/>
        <v>Local Area Proc./Orientation/Comm (4.0%)</v>
      </c>
      <c r="D11" s="904"/>
      <c r="E11" s="904"/>
      <c r="F11" s="905"/>
      <c r="G11" s="133">
        <f t="shared" si="1"/>
        <v>1</v>
      </c>
      <c r="H11" s="134" t="str">
        <f t="shared" si="2"/>
        <v>2*</v>
      </c>
      <c r="I11" s="152">
        <f t="shared" si="2"/>
        <v>3</v>
      </c>
      <c r="J11" s="157">
        <v>1</v>
      </c>
      <c r="K11" s="154">
        <v>3</v>
      </c>
      <c r="L11" s="1015"/>
      <c r="M11" s="1016"/>
      <c r="N11" s="1016"/>
      <c r="O11" s="1016"/>
      <c r="P11" s="1016"/>
      <c r="Q11" s="1016"/>
      <c r="R11" s="1017"/>
      <c r="T11" s="99">
        <v>4</v>
      </c>
      <c r="U11" s="88" t="s">
        <v>345</v>
      </c>
      <c r="V11" s="453">
        <v>1</v>
      </c>
      <c r="W11" s="453" t="s">
        <v>340</v>
      </c>
      <c r="X11" s="453">
        <v>1</v>
      </c>
      <c r="Y11" s="453" t="s">
        <v>340</v>
      </c>
      <c r="Z11" s="146" t="s">
        <v>340</v>
      </c>
      <c r="AA11" s="146">
        <v>1</v>
      </c>
      <c r="AB11" s="146">
        <v>0</v>
      </c>
      <c r="AC11" s="453">
        <v>3</v>
      </c>
      <c r="AD11" s="453">
        <v>2</v>
      </c>
      <c r="AE11" s="453">
        <v>1</v>
      </c>
      <c r="AF11" s="453" t="b">
        <v>1</v>
      </c>
      <c r="AG11" s="453">
        <f t="shared" si="3"/>
        <v>3</v>
      </c>
      <c r="AH11" s="453">
        <f t="shared" si="4"/>
        <v>2</v>
      </c>
      <c r="AI11" s="138">
        <f>IF(NOT(OR(Z11=1,Z11=2)),IF(AQ11&gt;0,$AR$44*AQ11/SUMIF($AQ$8:$AQ$39,"&gt;0"),IF(AU11&gt;0,$AV$44*AU11/SUMIF($AU$8:$AU$39,"&gt;0"),IF(AS11&gt;0,$AT$44*AS11/SUMIF($AS$8:$AS$39,"&gt;0"),""))),IF(SUMIF(AJ12:$AJ$39,"=" &amp; AJ11,AI12:$AI$39)=0,"",SUMIF(AJ12:$AJ$39,"=" &amp; AJ11,AI12:$AI$39)))</f>
        <v>0.04</v>
      </c>
      <c r="AJ11" s="139">
        <f t="shared" si="34"/>
        <v>0</v>
      </c>
      <c r="AK11" s="453">
        <f t="shared" si="27"/>
        <v>2</v>
      </c>
      <c r="AL11" s="146">
        <f t="shared" si="28"/>
        <v>3</v>
      </c>
      <c r="AM11" s="146">
        <f t="shared" si="35"/>
        <v>1</v>
      </c>
      <c r="AN11" s="146">
        <f t="shared" si="5"/>
        <v>1</v>
      </c>
      <c r="AO11" s="146">
        <f t="shared" si="6"/>
        <v>3</v>
      </c>
      <c r="AP11" s="453" t="b">
        <f t="shared" si="7"/>
        <v>0</v>
      </c>
      <c r="AQ11" s="140">
        <f t="shared" si="29"/>
        <v>0</v>
      </c>
      <c r="AR11" s="141" t="str">
        <f t="shared" si="8"/>
        <v/>
      </c>
      <c r="AS11" s="142">
        <f t="shared" si="30"/>
        <v>1</v>
      </c>
      <c r="AT11" s="141">
        <f t="shared" si="9"/>
        <v>0.9</v>
      </c>
      <c r="AU11" s="143">
        <f t="shared" si="10"/>
        <v>0</v>
      </c>
      <c r="AV11" s="144" t="str">
        <f t="shared" si="11"/>
        <v/>
      </c>
      <c r="AW11" s="143" t="b">
        <f t="shared" si="12"/>
        <v>0</v>
      </c>
      <c r="AX11" s="145" t="b">
        <f t="shared" si="13"/>
        <v>0</v>
      </c>
      <c r="AY11" s="143" t="b">
        <f t="shared" si="14"/>
        <v>0</v>
      </c>
      <c r="AZ11" s="145" t="b">
        <f t="shared" si="15"/>
        <v>0</v>
      </c>
      <c r="BA11" s="453" t="b">
        <f t="shared" si="16"/>
        <v>0</v>
      </c>
      <c r="BB11" s="453" t="b">
        <f t="shared" si="17"/>
        <v>0</v>
      </c>
      <c r="BC11" s="143" t="b">
        <f t="shared" si="18"/>
        <v>0</v>
      </c>
      <c r="BD11" s="146" t="b">
        <f t="shared" si="31"/>
        <v>0</v>
      </c>
      <c r="BE11" s="145" t="b">
        <f t="shared" si="19"/>
        <v>0</v>
      </c>
      <c r="BF11" s="147" t="b">
        <f t="shared" si="20"/>
        <v>0</v>
      </c>
      <c r="BG11" s="453" t="b">
        <f t="shared" si="21"/>
        <v>0</v>
      </c>
      <c r="BH11" s="453">
        <f t="shared" si="32"/>
        <v>1</v>
      </c>
      <c r="BI11" s="453">
        <f t="shared" si="22"/>
        <v>2</v>
      </c>
      <c r="BJ11" s="453" t="str">
        <f t="shared" si="23"/>
        <v>2*</v>
      </c>
      <c r="BK11" s="453">
        <f t="shared" si="24"/>
        <v>3</v>
      </c>
      <c r="BL11" s="148">
        <f t="shared" si="33"/>
        <v>1</v>
      </c>
      <c r="BM11" s="453">
        <f t="shared" si="25"/>
        <v>2</v>
      </c>
      <c r="BN11" s="453">
        <f t="shared" si="26"/>
        <v>3</v>
      </c>
      <c r="BO11" s="155">
        <v>1</v>
      </c>
      <c r="BP11" s="156" t="s">
        <v>348</v>
      </c>
    </row>
    <row r="12" spans="2:72" s="94" customFormat="1" ht="12.95" customHeight="1" x14ac:dyDescent="0.2">
      <c r="B12" s="151">
        <f>IF(ISNA(Z12),"",IF(OR(Z12=1,Z12=2),"    ",MAX($B$8:B11)+1))</f>
        <v>4</v>
      </c>
      <c r="C12" s="904" t="str">
        <f t="shared" si="0"/>
        <v>Situational Awareness/Judgement (4.0%)</v>
      </c>
      <c r="D12" s="904"/>
      <c r="E12" s="904"/>
      <c r="F12" s="905"/>
      <c r="G12" s="133">
        <f t="shared" si="1"/>
        <v>1</v>
      </c>
      <c r="H12" s="134" t="str">
        <f t="shared" si="2"/>
        <v>2*</v>
      </c>
      <c r="I12" s="152">
        <f t="shared" si="2"/>
        <v>3</v>
      </c>
      <c r="J12" s="157">
        <v>1</v>
      </c>
      <c r="K12" s="154">
        <v>3</v>
      </c>
      <c r="L12" s="1015"/>
      <c r="M12" s="1016"/>
      <c r="N12" s="1016"/>
      <c r="O12" s="1016"/>
      <c r="P12" s="1016"/>
      <c r="Q12" s="1016"/>
      <c r="R12" s="1017"/>
      <c r="T12" s="99">
        <v>5</v>
      </c>
      <c r="U12" s="88" t="s">
        <v>347</v>
      </c>
      <c r="V12" s="453">
        <v>1</v>
      </c>
      <c r="W12" s="453" t="s">
        <v>340</v>
      </c>
      <c r="X12" s="453">
        <v>1</v>
      </c>
      <c r="Y12" s="453" t="s">
        <v>340</v>
      </c>
      <c r="Z12" s="146" t="s">
        <v>340</v>
      </c>
      <c r="AA12" s="146">
        <v>1</v>
      </c>
      <c r="AB12" s="146">
        <v>0</v>
      </c>
      <c r="AC12" s="453">
        <v>3</v>
      </c>
      <c r="AD12" s="453">
        <v>2</v>
      </c>
      <c r="AE12" s="453">
        <v>1</v>
      </c>
      <c r="AF12" s="453" t="b">
        <v>1</v>
      </c>
      <c r="AG12" s="453">
        <f t="shared" si="3"/>
        <v>3</v>
      </c>
      <c r="AH12" s="453">
        <f t="shared" si="4"/>
        <v>2</v>
      </c>
      <c r="AI12" s="138">
        <f>IF(NOT(OR(Z12=1,Z12=2)),IF(AQ12&gt;0,$AR$44*AQ12/SUMIF($AQ$8:$AQ$39,"&gt;0"),IF(AU12&gt;0,$AV$44*AU12/SUMIF($AU$8:$AU$39,"&gt;0"),IF(AS12&gt;0,$AT$44*AS12/SUMIF($AS$8:$AS$39,"&gt;0"),""))),IF(SUMIF(AJ13:$AJ$39,"=" &amp; AJ12,AI13:$AI$39)=0,"",SUMIF(AJ13:$AJ$39,"=" &amp; AJ12,AI13:$AI$39)))</f>
        <v>0.04</v>
      </c>
      <c r="AJ12" s="139">
        <f t="shared" si="34"/>
        <v>0</v>
      </c>
      <c r="AK12" s="453">
        <f t="shared" si="27"/>
        <v>2</v>
      </c>
      <c r="AL12" s="146">
        <f t="shared" si="28"/>
        <v>3</v>
      </c>
      <c r="AM12" s="146">
        <f t="shared" si="35"/>
        <v>1</v>
      </c>
      <c r="AN12" s="146">
        <f t="shared" si="5"/>
        <v>1</v>
      </c>
      <c r="AO12" s="146">
        <f t="shared" si="6"/>
        <v>3</v>
      </c>
      <c r="AP12" s="453" t="b">
        <f t="shared" si="7"/>
        <v>0</v>
      </c>
      <c r="AQ12" s="140">
        <f t="shared" si="29"/>
        <v>0</v>
      </c>
      <c r="AR12" s="141" t="str">
        <f t="shared" si="8"/>
        <v/>
      </c>
      <c r="AS12" s="142">
        <f t="shared" si="30"/>
        <v>1</v>
      </c>
      <c r="AT12" s="141">
        <f t="shared" si="9"/>
        <v>0.9</v>
      </c>
      <c r="AU12" s="143">
        <f t="shared" si="10"/>
        <v>0</v>
      </c>
      <c r="AV12" s="144" t="str">
        <f t="shared" si="11"/>
        <v/>
      </c>
      <c r="AW12" s="143" t="b">
        <f t="shared" si="12"/>
        <v>0</v>
      </c>
      <c r="AX12" s="145" t="b">
        <f t="shared" si="13"/>
        <v>0</v>
      </c>
      <c r="AY12" s="143" t="b">
        <f t="shared" si="14"/>
        <v>0</v>
      </c>
      <c r="AZ12" s="145" t="b">
        <f t="shared" si="15"/>
        <v>0</v>
      </c>
      <c r="BA12" s="453" t="b">
        <f t="shared" si="16"/>
        <v>0</v>
      </c>
      <c r="BB12" s="453" t="b">
        <f t="shared" si="17"/>
        <v>0</v>
      </c>
      <c r="BC12" s="143" t="b">
        <f t="shared" si="18"/>
        <v>0</v>
      </c>
      <c r="BD12" s="146" t="b">
        <f t="shared" si="31"/>
        <v>0</v>
      </c>
      <c r="BE12" s="145" t="b">
        <f t="shared" si="19"/>
        <v>0</v>
      </c>
      <c r="BF12" s="147" t="b">
        <f t="shared" si="20"/>
        <v>0</v>
      </c>
      <c r="BG12" s="453" t="b">
        <f t="shared" si="21"/>
        <v>0</v>
      </c>
      <c r="BH12" s="453">
        <f t="shared" si="32"/>
        <v>1</v>
      </c>
      <c r="BI12" s="453">
        <f t="shared" si="22"/>
        <v>2</v>
      </c>
      <c r="BJ12" s="453" t="str">
        <f t="shared" si="23"/>
        <v>2*</v>
      </c>
      <c r="BK12" s="453">
        <f t="shared" si="24"/>
        <v>3</v>
      </c>
      <c r="BL12" s="148">
        <f t="shared" si="33"/>
        <v>1</v>
      </c>
      <c r="BM12" s="453">
        <f t="shared" si="25"/>
        <v>2</v>
      </c>
      <c r="BN12" s="453">
        <f t="shared" si="26"/>
        <v>3</v>
      </c>
      <c r="BO12" s="155">
        <v>2</v>
      </c>
      <c r="BP12" s="156" t="s">
        <v>350</v>
      </c>
    </row>
    <row r="13" spans="2:72" s="94" customFormat="1" ht="12.95" customHeight="1" x14ac:dyDescent="0.2">
      <c r="B13" s="151">
        <f>IF(ISNA(Z13),"",IF(OR(Z13=1,Z13=2),"    ",MAX($B$8:B12)+1))</f>
        <v>5</v>
      </c>
      <c r="C13" s="904" t="str">
        <f t="shared" si="0"/>
        <v>Clearing/Visual Lookout (4.0%)</v>
      </c>
      <c r="D13" s="904"/>
      <c r="E13" s="904"/>
      <c r="F13" s="905"/>
      <c r="G13" s="133">
        <f t="shared" si="1"/>
        <v>1</v>
      </c>
      <c r="H13" s="134" t="str">
        <f t="shared" si="2"/>
        <v>2*</v>
      </c>
      <c r="I13" s="152">
        <f t="shared" si="2"/>
        <v>3</v>
      </c>
      <c r="J13" s="157">
        <v>1</v>
      </c>
      <c r="K13" s="154">
        <v>4</v>
      </c>
      <c r="L13" s="1015"/>
      <c r="M13" s="1016"/>
      <c r="N13" s="1016"/>
      <c r="O13" s="1016"/>
      <c r="P13" s="1016"/>
      <c r="Q13" s="1016"/>
      <c r="R13" s="1017"/>
      <c r="T13" s="99">
        <v>6</v>
      </c>
      <c r="U13" s="88" t="s">
        <v>349</v>
      </c>
      <c r="V13" s="453">
        <v>1</v>
      </c>
      <c r="W13" s="453" t="s">
        <v>340</v>
      </c>
      <c r="X13" s="453">
        <v>1</v>
      </c>
      <c r="Y13" s="453" t="s">
        <v>340</v>
      </c>
      <c r="Z13" s="146" t="s">
        <v>340</v>
      </c>
      <c r="AA13" s="146">
        <v>1</v>
      </c>
      <c r="AB13" s="146">
        <v>0</v>
      </c>
      <c r="AC13" s="453">
        <v>3</v>
      </c>
      <c r="AD13" s="453">
        <v>2</v>
      </c>
      <c r="AE13" s="453">
        <v>1</v>
      </c>
      <c r="AF13" s="453" t="b">
        <v>1</v>
      </c>
      <c r="AG13" s="453">
        <f t="shared" si="3"/>
        <v>3</v>
      </c>
      <c r="AH13" s="453">
        <f t="shared" si="4"/>
        <v>2</v>
      </c>
      <c r="AI13" s="138">
        <f>IF(NOT(OR(Z13=1,Z13=2)),IF(AQ13&gt;0,$AR$44*AQ13/SUMIF($AQ$8:$AQ$39,"&gt;0"),IF(AU13&gt;0,$AV$44*AU13/SUMIF($AU$8:$AU$39,"&gt;0"),IF(AS13&gt;0,$AT$44*AS13/SUMIF($AS$8:$AS$39,"&gt;0"),""))),IF(SUMIF(AJ14:$AJ$39,"=" &amp; AJ13,AI14:$AI$39)=0,"",SUMIF(AJ14:$AJ$39,"=" &amp; AJ13,AI14:$AI$39)))</f>
        <v>0.04</v>
      </c>
      <c r="AJ13" s="139">
        <f t="shared" si="34"/>
        <v>0</v>
      </c>
      <c r="AK13" s="453">
        <f t="shared" si="27"/>
        <v>2</v>
      </c>
      <c r="AL13" s="146">
        <f t="shared" si="28"/>
        <v>4</v>
      </c>
      <c r="AM13" s="146">
        <f t="shared" si="35"/>
        <v>1</v>
      </c>
      <c r="AN13" s="146">
        <f t="shared" si="5"/>
        <v>1</v>
      </c>
      <c r="AO13" s="146">
        <f t="shared" si="6"/>
        <v>3</v>
      </c>
      <c r="AP13" s="453" t="b">
        <f t="shared" si="7"/>
        <v>0</v>
      </c>
      <c r="AQ13" s="140">
        <f t="shared" si="29"/>
        <v>0</v>
      </c>
      <c r="AR13" s="141" t="str">
        <f t="shared" si="8"/>
        <v/>
      </c>
      <c r="AS13" s="142">
        <f t="shared" si="30"/>
        <v>1</v>
      </c>
      <c r="AT13" s="141">
        <f t="shared" si="9"/>
        <v>1</v>
      </c>
      <c r="AU13" s="143">
        <f t="shared" si="10"/>
        <v>0</v>
      </c>
      <c r="AV13" s="144" t="str">
        <f t="shared" si="11"/>
        <v/>
      </c>
      <c r="AW13" s="143" t="b">
        <f t="shared" si="12"/>
        <v>0</v>
      </c>
      <c r="AX13" s="145" t="b">
        <f t="shared" si="13"/>
        <v>0</v>
      </c>
      <c r="AY13" s="143" t="b">
        <f t="shared" si="14"/>
        <v>0</v>
      </c>
      <c r="AZ13" s="145" t="b">
        <f t="shared" si="15"/>
        <v>0</v>
      </c>
      <c r="BA13" s="453" t="b">
        <f t="shared" si="16"/>
        <v>0</v>
      </c>
      <c r="BB13" s="453" t="b">
        <f t="shared" si="17"/>
        <v>0</v>
      </c>
      <c r="BC13" s="143" t="b">
        <f t="shared" si="18"/>
        <v>0</v>
      </c>
      <c r="BD13" s="146" t="b">
        <f t="shared" si="31"/>
        <v>0</v>
      </c>
      <c r="BE13" s="145" t="b">
        <f t="shared" si="19"/>
        <v>0</v>
      </c>
      <c r="BF13" s="147" t="b">
        <f t="shared" si="20"/>
        <v>0</v>
      </c>
      <c r="BG13" s="453" t="b">
        <f t="shared" si="21"/>
        <v>0</v>
      </c>
      <c r="BH13" s="453">
        <f t="shared" si="32"/>
        <v>1</v>
      </c>
      <c r="BI13" s="453">
        <f t="shared" si="22"/>
        <v>2</v>
      </c>
      <c r="BJ13" s="453" t="str">
        <f t="shared" si="23"/>
        <v>2*</v>
      </c>
      <c r="BK13" s="453">
        <f t="shared" si="24"/>
        <v>3</v>
      </c>
      <c r="BL13" s="148">
        <f t="shared" si="33"/>
        <v>1</v>
      </c>
      <c r="BM13" s="453">
        <f t="shared" si="25"/>
        <v>2</v>
      </c>
      <c r="BN13" s="453">
        <f t="shared" si="26"/>
        <v>3</v>
      </c>
      <c r="BO13" s="155">
        <v>3</v>
      </c>
      <c r="BP13" s="156" t="s">
        <v>352</v>
      </c>
    </row>
    <row r="14" spans="2:72" s="94" customFormat="1" ht="12.95" customHeight="1" x14ac:dyDescent="0.2">
      <c r="B14" s="151" t="str">
        <f>IF(ISNA(Z14),"",IF(OR(Z14=1,Z14=2),"    ",MAX($B$8:B13)+1))</f>
        <v xml:space="preserve">    </v>
      </c>
      <c r="C14" s="904" t="str">
        <f t="shared" si="0"/>
        <v>Academic Tasks</v>
      </c>
      <c r="D14" s="904"/>
      <c r="E14" s="904"/>
      <c r="F14" s="905"/>
      <c r="G14" s="133" t="str">
        <f t="shared" si="1"/>
        <v/>
      </c>
      <c r="H14" s="134" t="str">
        <f t="shared" si="2"/>
        <v/>
      </c>
      <c r="I14" s="152" t="str">
        <f t="shared" si="2"/>
        <v/>
      </c>
      <c r="J14" s="158" t="s">
        <v>340</v>
      </c>
      <c r="K14" s="159" t="s">
        <v>340</v>
      </c>
      <c r="L14" s="1015"/>
      <c r="M14" s="1016"/>
      <c r="N14" s="1016"/>
      <c r="O14" s="1016"/>
      <c r="P14" s="1016"/>
      <c r="Q14" s="1016"/>
      <c r="R14" s="1017"/>
      <c r="T14" s="99">
        <v>7</v>
      </c>
      <c r="U14" s="88" t="s">
        <v>351</v>
      </c>
      <c r="V14" s="453" t="s">
        <v>340</v>
      </c>
      <c r="W14" s="453" t="s">
        <v>340</v>
      </c>
      <c r="X14" s="453" t="s">
        <v>340</v>
      </c>
      <c r="Y14" s="453" t="s">
        <v>340</v>
      </c>
      <c r="Z14" s="146">
        <v>1</v>
      </c>
      <c r="AA14" s="146">
        <v>0</v>
      </c>
      <c r="AB14" s="146">
        <v>1</v>
      </c>
      <c r="AC14" s="453" t="s">
        <v>340</v>
      </c>
      <c r="AD14" s="453" t="s">
        <v>340</v>
      </c>
      <c r="AE14" s="453">
        <v>0</v>
      </c>
      <c r="AF14" s="453" t="s">
        <v>340</v>
      </c>
      <c r="AG14" s="453" t="str">
        <f t="shared" si="3"/>
        <v/>
      </c>
      <c r="AH14" s="453" t="str">
        <f t="shared" si="4"/>
        <v/>
      </c>
      <c r="AI14" s="138" t="str">
        <f>IF(NOT(OR(Z14=1,Z14=2)),IF(AQ14&gt;0,$AR$44*AQ14/SUMIF($AQ$8:$AQ$39,"&gt;0"),IF(AU14&gt;0,$AV$44*AU14/SUMIF($AU$8:$AU$39,"&gt;0"),IF(AS14&gt;0,$AT$44*AS14/SUMIF($AS$8:$AS$39,"&gt;0"),""))),IF(SUMIF(AJ15:$AJ$39,"=" &amp; AJ14,AI15:$AI$39)=0,"",SUMIF(AJ15:$AJ$39,"=" &amp; AJ14,AI15:$AI$39)))</f>
        <v/>
      </c>
      <c r="AJ14" s="139">
        <f t="shared" si="34"/>
        <v>1</v>
      </c>
      <c r="AK14" s="453" t="str">
        <f t="shared" si="27"/>
        <v/>
      </c>
      <c r="AL14" s="146" t="str">
        <f t="shared" si="28"/>
        <v/>
      </c>
      <c r="AM14" s="146" t="str">
        <f t="shared" si="35"/>
        <v/>
      </c>
      <c r="AN14" s="146" t="str">
        <f t="shared" si="5"/>
        <v/>
      </c>
      <c r="AO14" s="146" t="str">
        <f t="shared" si="6"/>
        <v/>
      </c>
      <c r="AP14" s="453" t="str">
        <f t="shared" si="7"/>
        <v/>
      </c>
      <c r="AQ14" s="140">
        <f t="shared" si="29"/>
        <v>0</v>
      </c>
      <c r="AR14" s="141" t="str">
        <f t="shared" si="8"/>
        <v/>
      </c>
      <c r="AS14" s="142">
        <f t="shared" si="30"/>
        <v>0</v>
      </c>
      <c r="AT14" s="141" t="str">
        <f t="shared" si="9"/>
        <v/>
      </c>
      <c r="AU14" s="143">
        <f t="shared" si="10"/>
        <v>0</v>
      </c>
      <c r="AV14" s="144" t="str">
        <f t="shared" si="11"/>
        <v/>
      </c>
      <c r="AW14" s="143" t="b">
        <f t="shared" si="12"/>
        <v>0</v>
      </c>
      <c r="AX14" s="145" t="b">
        <f t="shared" si="13"/>
        <v>0</v>
      </c>
      <c r="AY14" s="143" t="b">
        <f t="shared" si="14"/>
        <v>0</v>
      </c>
      <c r="AZ14" s="145" t="b">
        <f t="shared" si="15"/>
        <v>0</v>
      </c>
      <c r="BA14" s="453" t="b">
        <f t="shared" si="16"/>
        <v>0</v>
      </c>
      <c r="BB14" s="453" t="b">
        <f t="shared" si="17"/>
        <v>0</v>
      </c>
      <c r="BC14" s="143" t="b">
        <f t="shared" si="18"/>
        <v>0</v>
      </c>
      <c r="BD14" s="146" t="b">
        <f t="shared" si="31"/>
        <v>0</v>
      </c>
      <c r="BE14" s="145" t="b">
        <f t="shared" si="19"/>
        <v>0</v>
      </c>
      <c r="BF14" s="147" t="b">
        <f t="shared" si="20"/>
        <v>0</v>
      </c>
      <c r="BG14" s="453" t="b">
        <f t="shared" si="21"/>
        <v>0</v>
      </c>
      <c r="BH14" s="453" t="str">
        <f t="shared" si="32"/>
        <v/>
      </c>
      <c r="BI14" s="453" t="str">
        <f t="shared" si="22"/>
        <v/>
      </c>
      <c r="BJ14" s="453" t="str">
        <f t="shared" si="23"/>
        <v/>
      </c>
      <c r="BK14" s="453" t="str">
        <f t="shared" si="24"/>
        <v/>
      </c>
      <c r="BL14" s="148" t="str">
        <f t="shared" si="33"/>
        <v/>
      </c>
      <c r="BM14" s="453" t="str">
        <f t="shared" si="25"/>
        <v/>
      </c>
      <c r="BN14" s="453" t="str">
        <f t="shared" si="26"/>
        <v/>
      </c>
      <c r="BO14" s="155">
        <v>4</v>
      </c>
      <c r="BP14" s="156" t="s">
        <v>354</v>
      </c>
    </row>
    <row r="15" spans="2:72" s="94" customFormat="1" ht="12.95" customHeight="1" x14ac:dyDescent="0.2">
      <c r="B15" s="151" t="str">
        <f>IF(ISNA(Z15),"",IF(OR(Z15=1,Z15=2),"    ",MAX($B$8:B14)+1))</f>
        <v xml:space="preserve">    </v>
      </c>
      <c r="C15" s="904" t="str">
        <f t="shared" si="0"/>
        <v>Test Conduct (18.5%)</v>
      </c>
      <c r="D15" s="904"/>
      <c r="E15" s="904"/>
      <c r="F15" s="905"/>
      <c r="G15" s="133" t="str">
        <f t="shared" si="1"/>
        <v/>
      </c>
      <c r="H15" s="134" t="str">
        <f t="shared" si="2"/>
        <v/>
      </c>
      <c r="I15" s="152" t="str">
        <f t="shared" si="2"/>
        <v/>
      </c>
      <c r="J15" s="158" t="s">
        <v>340</v>
      </c>
      <c r="K15" s="159" t="s">
        <v>340</v>
      </c>
      <c r="L15" s="1015"/>
      <c r="M15" s="1016"/>
      <c r="N15" s="1016"/>
      <c r="O15" s="1016"/>
      <c r="P15" s="1016"/>
      <c r="Q15" s="1016"/>
      <c r="R15" s="1017"/>
      <c r="T15" s="99">
        <v>8</v>
      </c>
      <c r="U15" s="88" t="s">
        <v>353</v>
      </c>
      <c r="V15" s="453" t="s">
        <v>340</v>
      </c>
      <c r="W15" s="453" t="s">
        <v>340</v>
      </c>
      <c r="X15" s="453" t="s">
        <v>340</v>
      </c>
      <c r="Y15" s="453" t="s">
        <v>340</v>
      </c>
      <c r="Z15" s="146">
        <v>2</v>
      </c>
      <c r="AA15" s="146">
        <v>1</v>
      </c>
      <c r="AB15" s="146">
        <v>1</v>
      </c>
      <c r="AC15" s="453" t="s">
        <v>340</v>
      </c>
      <c r="AD15" s="453" t="s">
        <v>340</v>
      </c>
      <c r="AE15" s="453" t="s">
        <v>340</v>
      </c>
      <c r="AF15" s="453" t="s">
        <v>340</v>
      </c>
      <c r="AG15" s="453" t="str">
        <f t="shared" si="3"/>
        <v/>
      </c>
      <c r="AH15" s="453" t="str">
        <f t="shared" si="4"/>
        <v/>
      </c>
      <c r="AI15" s="138">
        <f>IF(NOT(OR(Z15=1,Z15=2)),IF(AQ15&gt;0,$AR$44*AQ15/SUMIF($AQ$8:$AQ$39,"&gt;0"),IF(AU15&gt;0,$AV$44*AU15/SUMIF($AU$8:$AU$39,"&gt;0"),IF(AS15&gt;0,$AT$44*AS15/SUMIF($AS$8:$AS$39,"&gt;0"),""))),IF(SUMIF(AJ16:$AJ$39,"=" &amp; AJ15,AI16:$AI$39)=0,"",SUMIF(AJ16:$AJ$39,"=" &amp; AJ15,AI16:$AI$39)))</f>
        <v>0.18461538461538463</v>
      </c>
      <c r="AJ15" s="139">
        <f t="shared" si="34"/>
        <v>2</v>
      </c>
      <c r="AK15" s="453" t="str">
        <f t="shared" si="27"/>
        <v/>
      </c>
      <c r="AL15" s="146" t="str">
        <f t="shared" si="28"/>
        <v/>
      </c>
      <c r="AM15" s="146" t="str">
        <f t="shared" si="35"/>
        <v/>
      </c>
      <c r="AN15" s="146" t="str">
        <f t="shared" si="5"/>
        <v/>
      </c>
      <c r="AO15" s="146" t="str">
        <f t="shared" si="6"/>
        <v/>
      </c>
      <c r="AP15" s="453" t="str">
        <f t="shared" si="7"/>
        <v/>
      </c>
      <c r="AQ15" s="140">
        <f t="shared" si="29"/>
        <v>0</v>
      </c>
      <c r="AR15" s="141" t="str">
        <f t="shared" si="8"/>
        <v/>
      </c>
      <c r="AS15" s="142">
        <f t="shared" si="30"/>
        <v>0</v>
      </c>
      <c r="AT15" s="141" t="str">
        <f t="shared" si="9"/>
        <v/>
      </c>
      <c r="AU15" s="143">
        <f t="shared" si="10"/>
        <v>0</v>
      </c>
      <c r="AV15" s="144" t="str">
        <f t="shared" si="11"/>
        <v/>
      </c>
      <c r="AW15" s="143" t="b">
        <f t="shared" si="12"/>
        <v>0</v>
      </c>
      <c r="AX15" s="145" t="b">
        <f t="shared" si="13"/>
        <v>0</v>
      </c>
      <c r="AY15" s="143" t="b">
        <f t="shared" si="14"/>
        <v>0</v>
      </c>
      <c r="AZ15" s="145" t="b">
        <f t="shared" si="15"/>
        <v>0</v>
      </c>
      <c r="BA15" s="453" t="b">
        <f t="shared" si="16"/>
        <v>0</v>
      </c>
      <c r="BB15" s="453" t="b">
        <f t="shared" si="17"/>
        <v>0</v>
      </c>
      <c r="BC15" s="143" t="b">
        <f t="shared" si="18"/>
        <v>0</v>
      </c>
      <c r="BD15" s="146" t="b">
        <f t="shared" si="31"/>
        <v>0</v>
      </c>
      <c r="BE15" s="145" t="b">
        <f t="shared" si="19"/>
        <v>0</v>
      </c>
      <c r="BF15" s="147" t="b">
        <f t="shared" si="20"/>
        <v>0</v>
      </c>
      <c r="BG15" s="453" t="b">
        <f t="shared" si="21"/>
        <v>0</v>
      </c>
      <c r="BH15" s="453" t="str">
        <f t="shared" si="32"/>
        <v/>
      </c>
      <c r="BI15" s="453" t="str">
        <f t="shared" si="22"/>
        <v/>
      </c>
      <c r="BJ15" s="453" t="str">
        <f t="shared" si="23"/>
        <v/>
      </c>
      <c r="BK15" s="453" t="str">
        <f t="shared" si="24"/>
        <v/>
      </c>
      <c r="BL15" s="148" t="str">
        <f t="shared" si="33"/>
        <v/>
      </c>
      <c r="BM15" s="453" t="str">
        <f t="shared" si="25"/>
        <v/>
      </c>
      <c r="BN15" s="453" t="str">
        <f t="shared" si="26"/>
        <v/>
      </c>
      <c r="BO15" s="90"/>
    </row>
    <row r="16" spans="2:72" s="94" customFormat="1" ht="12.95" customHeight="1" x14ac:dyDescent="0.2">
      <c r="B16" s="151">
        <f>IF(ISNA(Z16),"",IF(OR(Z16=1,Z16=2),"    ",MAX($B$8:B15)+1))</f>
        <v>6</v>
      </c>
      <c r="C16" s="904" t="str">
        <f t="shared" si="0"/>
        <v xml:space="preserve">      - Mission Preparation (6.2%)</v>
      </c>
      <c r="D16" s="904"/>
      <c r="E16" s="904"/>
      <c r="F16" s="905"/>
      <c r="G16" s="133">
        <f t="shared" si="1"/>
        <v>1</v>
      </c>
      <c r="H16" s="134" t="str">
        <f t="shared" si="2"/>
        <v>2*</v>
      </c>
      <c r="I16" s="152">
        <f t="shared" si="2"/>
        <v>3</v>
      </c>
      <c r="J16" s="157">
        <v>1</v>
      </c>
      <c r="K16" s="154">
        <v>4</v>
      </c>
      <c r="L16" s="1015"/>
      <c r="M16" s="1016"/>
      <c r="N16" s="1016"/>
      <c r="O16" s="1016"/>
      <c r="P16" s="1016"/>
      <c r="Q16" s="1016"/>
      <c r="R16" s="1017"/>
      <c r="T16" s="99">
        <v>9</v>
      </c>
      <c r="U16" s="88" t="s">
        <v>498</v>
      </c>
      <c r="V16" s="453">
        <v>1</v>
      </c>
      <c r="W16" s="453">
        <v>1</v>
      </c>
      <c r="X16" s="453" t="s">
        <v>340</v>
      </c>
      <c r="Y16" s="453" t="s">
        <v>340</v>
      </c>
      <c r="Z16" s="146" t="s">
        <v>340</v>
      </c>
      <c r="AA16" s="146">
        <v>2</v>
      </c>
      <c r="AB16" s="146">
        <v>1</v>
      </c>
      <c r="AC16" s="453">
        <v>3</v>
      </c>
      <c r="AD16" s="453">
        <v>2</v>
      </c>
      <c r="AE16" s="453">
        <v>1</v>
      </c>
      <c r="AF16" s="453" t="b">
        <v>1</v>
      </c>
      <c r="AG16" s="453">
        <f t="shared" si="3"/>
        <v>3</v>
      </c>
      <c r="AH16" s="453">
        <f t="shared" si="4"/>
        <v>2</v>
      </c>
      <c r="AI16" s="138">
        <f>IF(NOT(OR(Z16=1,Z16=2)),IF(AQ16&gt;0,$AR$44*AQ16/SUMIF($AQ$8:$AQ$39,"&gt;0"),IF(AU16&gt;0,$AV$44*AU16/SUMIF($AU$8:$AU$39,"&gt;0"),IF(AS16&gt;0,$AT$44*AS16/SUMIF($AS$8:$AS$39,"&gt;0"),""))),IF(SUMIF(AJ17:$AJ$39,"=" &amp; AJ16,AI17:$AI$39)=0,"",SUMIF(AJ17:$AJ$39,"=" &amp; AJ16,AI17:$AI$39)))</f>
        <v>6.1538461538461542E-2</v>
      </c>
      <c r="AJ16" s="139">
        <f t="shared" si="34"/>
        <v>2</v>
      </c>
      <c r="AK16" s="453">
        <f t="shared" si="27"/>
        <v>2</v>
      </c>
      <c r="AL16" s="146">
        <f t="shared" si="28"/>
        <v>4</v>
      </c>
      <c r="AM16" s="146">
        <f t="shared" si="35"/>
        <v>1</v>
      </c>
      <c r="AN16" s="146" t="str">
        <f t="shared" si="5"/>
        <v/>
      </c>
      <c r="AO16" s="146" t="str">
        <f t="shared" si="6"/>
        <v/>
      </c>
      <c r="AP16" s="453" t="b">
        <f t="shared" si="7"/>
        <v>0</v>
      </c>
      <c r="AQ16" s="140">
        <f t="shared" si="29"/>
        <v>1</v>
      </c>
      <c r="AR16" s="141">
        <f t="shared" si="8"/>
        <v>1</v>
      </c>
      <c r="AS16" s="142">
        <f t="shared" si="30"/>
        <v>0</v>
      </c>
      <c r="AT16" s="141" t="str">
        <f t="shared" si="9"/>
        <v/>
      </c>
      <c r="AU16" s="143">
        <f t="shared" si="10"/>
        <v>0</v>
      </c>
      <c r="AV16" s="144">
        <f t="shared" si="11"/>
        <v>1</v>
      </c>
      <c r="AW16" s="143" t="b">
        <f t="shared" si="12"/>
        <v>0</v>
      </c>
      <c r="AX16" s="145" t="b">
        <f t="shared" si="13"/>
        <v>0</v>
      </c>
      <c r="AY16" s="143" t="b">
        <f t="shared" si="14"/>
        <v>0</v>
      </c>
      <c r="AZ16" s="145" t="b">
        <f t="shared" si="15"/>
        <v>0</v>
      </c>
      <c r="BA16" s="453" t="b">
        <f t="shared" si="16"/>
        <v>0</v>
      </c>
      <c r="BB16" s="453" t="b">
        <f t="shared" si="17"/>
        <v>0</v>
      </c>
      <c r="BC16" s="143" t="b">
        <f t="shared" si="18"/>
        <v>0</v>
      </c>
      <c r="BD16" s="146" t="b">
        <f t="shared" si="31"/>
        <v>0</v>
      </c>
      <c r="BE16" s="145" t="b">
        <f t="shared" si="19"/>
        <v>0</v>
      </c>
      <c r="BF16" s="147" t="b">
        <f t="shared" si="20"/>
        <v>0</v>
      </c>
      <c r="BG16" s="453" t="b">
        <f t="shared" si="21"/>
        <v>0</v>
      </c>
      <c r="BH16" s="453">
        <f t="shared" si="32"/>
        <v>1</v>
      </c>
      <c r="BI16" s="453">
        <f t="shared" si="22"/>
        <v>2</v>
      </c>
      <c r="BJ16" s="453" t="str">
        <f t="shared" si="23"/>
        <v>2*</v>
      </c>
      <c r="BK16" s="453">
        <f t="shared" si="24"/>
        <v>3</v>
      </c>
      <c r="BL16" s="148">
        <f t="shared" si="33"/>
        <v>1</v>
      </c>
      <c r="BM16" s="453">
        <f t="shared" si="25"/>
        <v>2</v>
      </c>
      <c r="BN16" s="453">
        <f t="shared" si="26"/>
        <v>3</v>
      </c>
      <c r="BO16" s="155"/>
      <c r="BP16" s="160"/>
    </row>
    <row r="17" spans="2:73" s="94" customFormat="1" ht="12.95" customHeight="1" x14ac:dyDescent="0.2">
      <c r="B17" s="151">
        <f>IF(ISNA(Z17),"",IF(OR(Z17=1,Z17=2),"    ",MAX($B$8:B16)+1))</f>
        <v>7</v>
      </c>
      <c r="C17" s="904" t="str">
        <f t="shared" si="0"/>
        <v xml:space="preserve">      - SA/Adaptation (6.2%)</v>
      </c>
      <c r="D17" s="904"/>
      <c r="E17" s="904"/>
      <c r="F17" s="905"/>
      <c r="G17" s="133">
        <f t="shared" si="1"/>
        <v>1</v>
      </c>
      <c r="H17" s="134" t="str">
        <f t="shared" si="2"/>
        <v>2*</v>
      </c>
      <c r="I17" s="152">
        <f t="shared" si="2"/>
        <v>3</v>
      </c>
      <c r="J17" s="157">
        <v>1</v>
      </c>
      <c r="K17" s="154">
        <v>3</v>
      </c>
      <c r="L17" s="1015"/>
      <c r="M17" s="1016"/>
      <c r="N17" s="1016"/>
      <c r="O17" s="1016"/>
      <c r="P17" s="1016"/>
      <c r="Q17" s="1016"/>
      <c r="R17" s="1017"/>
      <c r="T17" s="99">
        <v>10</v>
      </c>
      <c r="U17" s="88" t="s">
        <v>552</v>
      </c>
      <c r="V17" s="453">
        <v>1</v>
      </c>
      <c r="W17" s="453">
        <v>1</v>
      </c>
      <c r="X17" s="453" t="s">
        <v>340</v>
      </c>
      <c r="Y17" s="453" t="s">
        <v>340</v>
      </c>
      <c r="Z17" s="146" t="s">
        <v>340</v>
      </c>
      <c r="AA17" s="146">
        <v>2</v>
      </c>
      <c r="AB17" s="146">
        <v>1</v>
      </c>
      <c r="AC17" s="453">
        <v>3</v>
      </c>
      <c r="AD17" s="453">
        <v>2</v>
      </c>
      <c r="AE17" s="453">
        <v>1</v>
      </c>
      <c r="AF17" s="453" t="b">
        <v>1</v>
      </c>
      <c r="AG17" s="453">
        <f t="shared" si="3"/>
        <v>3</v>
      </c>
      <c r="AH17" s="453">
        <f t="shared" si="4"/>
        <v>2</v>
      </c>
      <c r="AI17" s="138">
        <f>IF(NOT(OR(Z17=1,Z17=2)),IF(AQ17&gt;0,$AR$44*AQ17/SUMIF($AQ$8:$AQ$39,"&gt;0"),IF(AU17&gt;0,$AV$44*AU17/SUMIF($AU$8:$AU$39,"&gt;0"),IF(AS17&gt;0,$AT$44*AS17/SUMIF($AS$8:$AS$39,"&gt;0"),""))),IF(SUMIF(AJ18:$AJ$39,"=" &amp; AJ17,AI18:$AI$39)=0,"",SUMIF(AJ18:$AJ$39,"=" &amp; AJ17,AI18:$AI$39)))</f>
        <v>6.1538461538461542E-2</v>
      </c>
      <c r="AJ17" s="139">
        <f t="shared" si="34"/>
        <v>2</v>
      </c>
      <c r="AK17" s="453">
        <f t="shared" si="27"/>
        <v>2</v>
      </c>
      <c r="AL17" s="146">
        <f t="shared" si="28"/>
        <v>3</v>
      </c>
      <c r="AM17" s="146">
        <f t="shared" si="35"/>
        <v>1</v>
      </c>
      <c r="AN17" s="146" t="str">
        <f t="shared" si="5"/>
        <v/>
      </c>
      <c r="AO17" s="146" t="str">
        <f t="shared" si="6"/>
        <v/>
      </c>
      <c r="AP17" s="453" t="b">
        <f t="shared" si="7"/>
        <v>0</v>
      </c>
      <c r="AQ17" s="140">
        <f t="shared" si="29"/>
        <v>1</v>
      </c>
      <c r="AR17" s="141">
        <f t="shared" si="8"/>
        <v>0.9</v>
      </c>
      <c r="AS17" s="142">
        <f t="shared" si="30"/>
        <v>0</v>
      </c>
      <c r="AT17" s="141" t="str">
        <f t="shared" si="9"/>
        <v/>
      </c>
      <c r="AU17" s="143">
        <f t="shared" si="10"/>
        <v>0</v>
      </c>
      <c r="AV17" s="144">
        <f t="shared" si="11"/>
        <v>0.9</v>
      </c>
      <c r="AW17" s="143" t="b">
        <f t="shared" si="12"/>
        <v>0</v>
      </c>
      <c r="AX17" s="145" t="b">
        <f t="shared" si="13"/>
        <v>0</v>
      </c>
      <c r="AY17" s="143" t="b">
        <f t="shared" si="14"/>
        <v>0</v>
      </c>
      <c r="AZ17" s="145" t="b">
        <f t="shared" si="15"/>
        <v>0</v>
      </c>
      <c r="BA17" s="453" t="b">
        <f t="shared" si="16"/>
        <v>0</v>
      </c>
      <c r="BB17" s="453" t="b">
        <f t="shared" si="17"/>
        <v>0</v>
      </c>
      <c r="BC17" s="143" t="b">
        <f t="shared" si="18"/>
        <v>0</v>
      </c>
      <c r="BD17" s="146" t="b">
        <f t="shared" si="31"/>
        <v>0</v>
      </c>
      <c r="BE17" s="145" t="b">
        <f t="shared" si="19"/>
        <v>0</v>
      </c>
      <c r="BF17" s="147" t="b">
        <f t="shared" si="20"/>
        <v>0</v>
      </c>
      <c r="BG17" s="453" t="b">
        <f t="shared" si="21"/>
        <v>0</v>
      </c>
      <c r="BH17" s="453">
        <f t="shared" si="32"/>
        <v>1</v>
      </c>
      <c r="BI17" s="453">
        <f t="shared" si="22"/>
        <v>2</v>
      </c>
      <c r="BJ17" s="453" t="str">
        <f t="shared" si="23"/>
        <v>2*</v>
      </c>
      <c r="BK17" s="453">
        <f t="shared" si="24"/>
        <v>3</v>
      </c>
      <c r="BL17" s="148">
        <f t="shared" si="33"/>
        <v>1</v>
      </c>
      <c r="BM17" s="453">
        <f t="shared" si="25"/>
        <v>2</v>
      </c>
      <c r="BN17" s="453">
        <f t="shared" si="26"/>
        <v>3</v>
      </c>
      <c r="BO17" s="90"/>
    </row>
    <row r="18" spans="2:73" s="94" customFormat="1" ht="12.95" customHeight="1" x14ac:dyDescent="0.2">
      <c r="B18" s="151">
        <f>IF(ISNA(Z18),"",IF(OR(Z18=1,Z18=2),"    ",MAX($B$8:B17)+1))</f>
        <v>8</v>
      </c>
      <c r="C18" s="904" t="str">
        <f t="shared" si="0"/>
        <v xml:space="preserve">      - Communication (6.2%)</v>
      </c>
      <c r="D18" s="904"/>
      <c r="E18" s="904"/>
      <c r="F18" s="905"/>
      <c r="G18" s="133">
        <f t="shared" si="1"/>
        <v>1</v>
      </c>
      <c r="H18" s="134" t="str">
        <f t="shared" si="2"/>
        <v>2*</v>
      </c>
      <c r="I18" s="152">
        <f t="shared" si="2"/>
        <v>3</v>
      </c>
      <c r="J18" s="157">
        <v>1</v>
      </c>
      <c r="K18" s="154">
        <v>4</v>
      </c>
      <c r="L18" s="1015"/>
      <c r="M18" s="1016"/>
      <c r="N18" s="1016"/>
      <c r="O18" s="1016"/>
      <c r="P18" s="1016"/>
      <c r="Q18" s="1016"/>
      <c r="R18" s="1017"/>
      <c r="T18" s="99">
        <v>11</v>
      </c>
      <c r="U18" s="88" t="s">
        <v>500</v>
      </c>
      <c r="V18" s="453">
        <v>1</v>
      </c>
      <c r="W18" s="453">
        <v>1</v>
      </c>
      <c r="X18" s="453" t="s">
        <v>340</v>
      </c>
      <c r="Y18" s="453" t="s">
        <v>340</v>
      </c>
      <c r="Z18" s="146" t="s">
        <v>340</v>
      </c>
      <c r="AA18" s="146">
        <v>2</v>
      </c>
      <c r="AB18" s="146">
        <v>1</v>
      </c>
      <c r="AC18" s="453">
        <v>3</v>
      </c>
      <c r="AD18" s="453">
        <v>2</v>
      </c>
      <c r="AE18" s="453">
        <v>1</v>
      </c>
      <c r="AF18" s="453" t="b">
        <v>1</v>
      </c>
      <c r="AG18" s="453">
        <f t="shared" si="3"/>
        <v>3</v>
      </c>
      <c r="AH18" s="453">
        <f t="shared" si="4"/>
        <v>2</v>
      </c>
      <c r="AI18" s="138">
        <f>IF(NOT(OR(Z18=1,Z18=2)),IF(AQ18&gt;0,$AR$44*AQ18/SUMIF($AQ$8:$AQ$39,"&gt;0"),IF(AU18&gt;0,$AV$44*AU18/SUMIF($AU$8:$AU$39,"&gt;0"),IF(AS18&gt;0,$AT$44*AS18/SUMIF($AS$8:$AS$39,"&gt;0"),""))),IF(SUMIF(AJ19:$AJ$39,"=" &amp; AJ18,AI19:$AI$39)=0,"",SUMIF(AJ19:$AJ$39,"=" &amp; AJ18,AI19:$AI$39)))</f>
        <v>6.1538461538461542E-2</v>
      </c>
      <c r="AJ18" s="139">
        <f t="shared" si="34"/>
        <v>2</v>
      </c>
      <c r="AK18" s="453">
        <f t="shared" si="27"/>
        <v>2</v>
      </c>
      <c r="AL18" s="146">
        <f t="shared" si="28"/>
        <v>4</v>
      </c>
      <c r="AM18" s="146">
        <f t="shared" si="35"/>
        <v>1</v>
      </c>
      <c r="AN18" s="146" t="str">
        <f t="shared" si="5"/>
        <v/>
      </c>
      <c r="AO18" s="146" t="str">
        <f t="shared" si="6"/>
        <v/>
      </c>
      <c r="AP18" s="453" t="b">
        <f t="shared" si="7"/>
        <v>0</v>
      </c>
      <c r="AQ18" s="140">
        <f t="shared" si="29"/>
        <v>1</v>
      </c>
      <c r="AR18" s="141">
        <f t="shared" si="8"/>
        <v>1</v>
      </c>
      <c r="AS18" s="142">
        <f t="shared" si="30"/>
        <v>0</v>
      </c>
      <c r="AT18" s="141" t="str">
        <f t="shared" si="9"/>
        <v/>
      </c>
      <c r="AU18" s="143">
        <f t="shared" si="10"/>
        <v>0</v>
      </c>
      <c r="AV18" s="144">
        <f t="shared" si="11"/>
        <v>1</v>
      </c>
      <c r="AW18" s="143" t="b">
        <f t="shared" si="12"/>
        <v>0</v>
      </c>
      <c r="AX18" s="145" t="b">
        <f t="shared" si="13"/>
        <v>0</v>
      </c>
      <c r="AY18" s="143" t="b">
        <f t="shared" si="14"/>
        <v>0</v>
      </c>
      <c r="AZ18" s="145" t="b">
        <f t="shared" si="15"/>
        <v>0</v>
      </c>
      <c r="BA18" s="453" t="b">
        <f t="shared" si="16"/>
        <v>0</v>
      </c>
      <c r="BB18" s="453" t="b">
        <f t="shared" si="17"/>
        <v>0</v>
      </c>
      <c r="BC18" s="143" t="b">
        <f t="shared" si="18"/>
        <v>0</v>
      </c>
      <c r="BD18" s="146" t="b">
        <f t="shared" si="31"/>
        <v>0</v>
      </c>
      <c r="BE18" s="145" t="b">
        <f t="shared" si="19"/>
        <v>0</v>
      </c>
      <c r="BF18" s="147" t="b">
        <f t="shared" si="20"/>
        <v>0</v>
      </c>
      <c r="BG18" s="453" t="b">
        <f t="shared" si="21"/>
        <v>0</v>
      </c>
      <c r="BH18" s="453">
        <f t="shared" si="32"/>
        <v>1</v>
      </c>
      <c r="BI18" s="453">
        <f t="shared" si="22"/>
        <v>2</v>
      </c>
      <c r="BJ18" s="453" t="str">
        <f t="shared" si="23"/>
        <v>2*</v>
      </c>
      <c r="BK18" s="453">
        <f t="shared" si="24"/>
        <v>3</v>
      </c>
      <c r="BL18" s="148">
        <f t="shared" si="33"/>
        <v>1</v>
      </c>
      <c r="BM18" s="453">
        <f t="shared" si="25"/>
        <v>2</v>
      </c>
      <c r="BN18" s="453">
        <f t="shared" si="26"/>
        <v>3</v>
      </c>
      <c r="BO18" s="300"/>
      <c r="BP18" s="160" t="s">
        <v>355</v>
      </c>
      <c r="BQ18" s="161"/>
      <c r="BR18" s="161"/>
      <c r="BS18" s="161"/>
      <c r="BT18" s="161"/>
      <c r="BU18" s="161"/>
    </row>
    <row r="19" spans="2:73" s="94" customFormat="1" ht="12.95" customHeight="1" x14ac:dyDescent="0.2">
      <c r="B19" s="151" t="str">
        <f>IF(ISNA(Z19),"",IF(OR(Z19=1,Z19=2),"    ",MAX($B$8:B18)+1))</f>
        <v xml:space="preserve">    </v>
      </c>
      <c r="C19" s="904" t="str">
        <f t="shared" si="0"/>
        <v>TOLD Verification (12.3%)</v>
      </c>
      <c r="D19" s="904"/>
      <c r="E19" s="904"/>
      <c r="F19" s="905"/>
      <c r="G19" s="133" t="str">
        <f t="shared" si="1"/>
        <v/>
      </c>
      <c r="H19" s="134" t="str">
        <f t="shared" si="2"/>
        <v/>
      </c>
      <c r="I19" s="152" t="str">
        <f t="shared" si="2"/>
        <v/>
      </c>
      <c r="J19" s="158" t="s">
        <v>340</v>
      </c>
      <c r="K19" s="159" t="s">
        <v>340</v>
      </c>
      <c r="L19" s="1015"/>
      <c r="M19" s="1016"/>
      <c r="N19" s="1016"/>
      <c r="O19" s="1016"/>
      <c r="P19" s="1016"/>
      <c r="Q19" s="1016"/>
      <c r="R19" s="1017"/>
      <c r="T19" s="99">
        <v>12</v>
      </c>
      <c r="U19" s="88" t="s">
        <v>930</v>
      </c>
      <c r="V19" s="453" t="s">
        <v>340</v>
      </c>
      <c r="W19" s="453" t="s">
        <v>340</v>
      </c>
      <c r="X19" s="453" t="s">
        <v>340</v>
      </c>
      <c r="Y19" s="453" t="s">
        <v>340</v>
      </c>
      <c r="Z19" s="146">
        <v>2</v>
      </c>
      <c r="AA19" s="146">
        <v>1</v>
      </c>
      <c r="AB19" s="146">
        <v>1</v>
      </c>
      <c r="AC19" s="453" t="s">
        <v>340</v>
      </c>
      <c r="AD19" s="453" t="s">
        <v>340</v>
      </c>
      <c r="AE19" s="453" t="s">
        <v>340</v>
      </c>
      <c r="AF19" s="453" t="s">
        <v>340</v>
      </c>
      <c r="AG19" s="453" t="str">
        <f t="shared" si="3"/>
        <v/>
      </c>
      <c r="AH19" s="453" t="str">
        <f t="shared" si="4"/>
        <v/>
      </c>
      <c r="AI19" s="138">
        <f>IF(NOT(OR(Z19=1,Z19=2)),IF(AQ19&gt;0,$AR$44*AQ19/SUMIF($AQ$8:$AQ$39,"&gt;0"),IF(AU19&gt;0,$AV$44*AU19/SUMIF($AU$8:$AU$39,"&gt;0"),IF(AS19&gt;0,$AT$44*AS19/SUMIF($AS$8:$AS$39,"&gt;0"),""))),IF(SUMIF(AJ20:$AJ$39,"=" &amp; AJ19,AI20:$AI$39)=0,"",SUMIF(AJ20:$AJ$39,"=" &amp; AJ19,AI20:$AI$39)))</f>
        <v>0.12307692307692308</v>
      </c>
      <c r="AJ19" s="139">
        <f t="shared" si="34"/>
        <v>3</v>
      </c>
      <c r="AK19" s="453" t="str">
        <f t="shared" si="27"/>
        <v/>
      </c>
      <c r="AL19" s="146" t="str">
        <f t="shared" si="28"/>
        <v/>
      </c>
      <c r="AM19" s="146" t="str">
        <f t="shared" si="35"/>
        <v/>
      </c>
      <c r="AN19" s="146" t="str">
        <f t="shared" si="5"/>
        <v/>
      </c>
      <c r="AO19" s="146" t="str">
        <f t="shared" si="6"/>
        <v/>
      </c>
      <c r="AP19" s="453" t="str">
        <f t="shared" si="7"/>
        <v/>
      </c>
      <c r="AQ19" s="140">
        <f t="shared" si="29"/>
        <v>0</v>
      </c>
      <c r="AR19" s="141" t="str">
        <f t="shared" si="8"/>
        <v/>
      </c>
      <c r="AS19" s="142">
        <f t="shared" si="30"/>
        <v>0</v>
      </c>
      <c r="AT19" s="141" t="str">
        <f t="shared" si="9"/>
        <v/>
      </c>
      <c r="AU19" s="143">
        <f t="shared" si="10"/>
        <v>0</v>
      </c>
      <c r="AV19" s="144" t="str">
        <f t="shared" si="11"/>
        <v/>
      </c>
      <c r="AW19" s="143" t="b">
        <f t="shared" si="12"/>
        <v>0</v>
      </c>
      <c r="AX19" s="145" t="b">
        <f t="shared" si="13"/>
        <v>0</v>
      </c>
      <c r="AY19" s="143" t="b">
        <f t="shared" si="14"/>
        <v>0</v>
      </c>
      <c r="AZ19" s="145" t="b">
        <f t="shared" si="15"/>
        <v>0</v>
      </c>
      <c r="BA19" s="453" t="b">
        <f t="shared" si="16"/>
        <v>0</v>
      </c>
      <c r="BB19" s="453" t="b">
        <f t="shared" si="17"/>
        <v>0</v>
      </c>
      <c r="BC19" s="143" t="b">
        <f t="shared" si="18"/>
        <v>0</v>
      </c>
      <c r="BD19" s="146" t="b">
        <f t="shared" si="31"/>
        <v>0</v>
      </c>
      <c r="BE19" s="145" t="b">
        <f t="shared" si="19"/>
        <v>0</v>
      </c>
      <c r="BF19" s="147" t="b">
        <f t="shared" si="20"/>
        <v>0</v>
      </c>
      <c r="BG19" s="453" t="b">
        <f t="shared" si="21"/>
        <v>0</v>
      </c>
      <c r="BH19" s="453" t="str">
        <f t="shared" si="32"/>
        <v/>
      </c>
      <c r="BI19" s="453" t="str">
        <f t="shared" si="22"/>
        <v/>
      </c>
      <c r="BJ19" s="453" t="str">
        <f t="shared" si="23"/>
        <v/>
      </c>
      <c r="BK19" s="453" t="str">
        <f t="shared" si="24"/>
        <v/>
      </c>
      <c r="BL19" s="148" t="str">
        <f t="shared" si="33"/>
        <v/>
      </c>
      <c r="BM19" s="453" t="str">
        <f t="shared" si="25"/>
        <v/>
      </c>
      <c r="BN19" s="453" t="str">
        <f t="shared" si="26"/>
        <v/>
      </c>
      <c r="BO19" s="300"/>
      <c r="BP19" s="150"/>
      <c r="BQ19" s="935" t="s">
        <v>356</v>
      </c>
      <c r="BR19" s="935"/>
      <c r="BS19" s="935"/>
      <c r="BT19" s="935"/>
      <c r="BU19" s="935"/>
    </row>
    <row r="20" spans="2:73" s="94" customFormat="1" ht="12.95" customHeight="1" x14ac:dyDescent="0.2">
      <c r="B20" s="151">
        <f>IF(ISNA(Z20),"",IF(OR(Z20=1,Z20=2),"    ",MAX($B$8:B19)+1))</f>
        <v>9</v>
      </c>
      <c r="C20" s="904" t="str">
        <f t="shared" si="0"/>
        <v xml:space="preserve">      - Takeoff (Pitch Attitude Target) (6.2%)</v>
      </c>
      <c r="D20" s="904"/>
      <c r="E20" s="904"/>
      <c r="F20" s="905"/>
      <c r="G20" s="133">
        <f t="shared" si="1"/>
        <v>1</v>
      </c>
      <c r="H20" s="134" t="str">
        <f t="shared" si="2"/>
        <v>2*</v>
      </c>
      <c r="I20" s="152">
        <f t="shared" si="2"/>
        <v>3</v>
      </c>
      <c r="J20" s="157">
        <v>1</v>
      </c>
      <c r="K20" s="154">
        <v>2</v>
      </c>
      <c r="L20" s="1015"/>
      <c r="M20" s="1016"/>
      <c r="N20" s="1016"/>
      <c r="O20" s="1016"/>
      <c r="P20" s="1016"/>
      <c r="Q20" s="1016"/>
      <c r="R20" s="1017"/>
      <c r="T20" s="99">
        <v>13</v>
      </c>
      <c r="U20" s="88" t="s">
        <v>931</v>
      </c>
      <c r="V20" s="453">
        <v>1</v>
      </c>
      <c r="W20" s="453">
        <v>1</v>
      </c>
      <c r="X20" s="453" t="s">
        <v>340</v>
      </c>
      <c r="Y20" s="453" t="s">
        <v>340</v>
      </c>
      <c r="Z20" s="146" t="s">
        <v>340</v>
      </c>
      <c r="AA20" s="146">
        <v>2</v>
      </c>
      <c r="AB20" s="146">
        <v>1</v>
      </c>
      <c r="AC20" s="453">
        <v>3</v>
      </c>
      <c r="AD20" s="453">
        <v>2</v>
      </c>
      <c r="AE20" s="453">
        <v>1</v>
      </c>
      <c r="AF20" s="453" t="b">
        <v>1</v>
      </c>
      <c r="AG20" s="453">
        <f t="shared" si="3"/>
        <v>3</v>
      </c>
      <c r="AH20" s="453">
        <f t="shared" si="4"/>
        <v>2</v>
      </c>
      <c r="AI20" s="138">
        <f>IF(NOT(OR(Z20=1,Z20=2)),IF(AQ20&gt;0,$AR$44*AQ20/SUMIF($AQ$8:$AQ$39,"&gt;0"),IF(AU20&gt;0,$AV$44*AU20/SUMIF($AU$8:$AU$39,"&gt;0"),IF(AS20&gt;0,$AT$44*AS20/SUMIF($AS$8:$AS$39,"&gt;0"),""))),IF(SUMIF(AJ21:$AJ$39,"=" &amp; AJ20,AI21:$AI$39)=0,"",SUMIF(AJ21:$AJ$39,"=" &amp; AJ20,AI21:$AI$39)))</f>
        <v>6.1538461538461542E-2</v>
      </c>
      <c r="AJ20" s="139">
        <f t="shared" si="34"/>
        <v>3</v>
      </c>
      <c r="AK20" s="453">
        <f t="shared" si="27"/>
        <v>2</v>
      </c>
      <c r="AL20" s="146">
        <f t="shared" si="28"/>
        <v>2</v>
      </c>
      <c r="AM20" s="146">
        <f t="shared" si="35"/>
        <v>1</v>
      </c>
      <c r="AN20" s="146" t="str">
        <f t="shared" si="5"/>
        <v/>
      </c>
      <c r="AO20" s="146" t="str">
        <f t="shared" si="6"/>
        <v/>
      </c>
      <c r="AP20" s="453" t="b">
        <f t="shared" si="7"/>
        <v>1</v>
      </c>
      <c r="AQ20" s="140">
        <f t="shared" si="29"/>
        <v>1</v>
      </c>
      <c r="AR20" s="141">
        <f t="shared" si="8"/>
        <v>0.7</v>
      </c>
      <c r="AS20" s="142">
        <f t="shared" si="30"/>
        <v>0</v>
      </c>
      <c r="AT20" s="141" t="str">
        <f t="shared" si="9"/>
        <v/>
      </c>
      <c r="AU20" s="143">
        <f t="shared" si="10"/>
        <v>0</v>
      </c>
      <c r="AV20" s="144">
        <f t="shared" si="11"/>
        <v>0.7</v>
      </c>
      <c r="AW20" s="143" t="b">
        <f t="shared" si="12"/>
        <v>0</v>
      </c>
      <c r="AX20" s="145" t="b">
        <f t="shared" si="13"/>
        <v>0</v>
      </c>
      <c r="AY20" s="143" t="b">
        <f t="shared" si="14"/>
        <v>0</v>
      </c>
      <c r="AZ20" s="145" t="b">
        <f t="shared" si="15"/>
        <v>0</v>
      </c>
      <c r="BA20" s="453" t="b">
        <f t="shared" si="16"/>
        <v>0</v>
      </c>
      <c r="BB20" s="453" t="b">
        <f t="shared" si="17"/>
        <v>0</v>
      </c>
      <c r="BC20" s="143" t="b">
        <f t="shared" si="18"/>
        <v>0</v>
      </c>
      <c r="BD20" s="146" t="b">
        <f t="shared" si="31"/>
        <v>0</v>
      </c>
      <c r="BE20" s="145" t="b">
        <f t="shared" si="19"/>
        <v>0</v>
      </c>
      <c r="BF20" s="147" t="b">
        <f t="shared" si="20"/>
        <v>0</v>
      </c>
      <c r="BG20" s="453" t="b">
        <f t="shared" si="21"/>
        <v>1</v>
      </c>
      <c r="BH20" s="453">
        <f t="shared" si="32"/>
        <v>1</v>
      </c>
      <c r="BI20" s="453">
        <f t="shared" si="22"/>
        <v>2</v>
      </c>
      <c r="BJ20" s="453" t="str">
        <f t="shared" si="23"/>
        <v>2*</v>
      </c>
      <c r="BK20" s="453">
        <f t="shared" si="24"/>
        <v>3</v>
      </c>
      <c r="BL20" s="148">
        <f t="shared" si="33"/>
        <v>1</v>
      </c>
      <c r="BM20" s="453">
        <f t="shared" si="25"/>
        <v>2</v>
      </c>
      <c r="BN20" s="453">
        <f t="shared" si="26"/>
        <v>3</v>
      </c>
      <c r="BO20" s="300"/>
      <c r="BP20" s="300"/>
      <c r="BQ20" s="300">
        <v>0</v>
      </c>
      <c r="BR20" s="300">
        <v>1</v>
      </c>
      <c r="BS20" s="300">
        <v>2</v>
      </c>
      <c r="BT20" s="300">
        <v>3</v>
      </c>
      <c r="BU20" s="300">
        <v>4</v>
      </c>
    </row>
    <row r="21" spans="2:73" s="94" customFormat="1" ht="12.95" customHeight="1" x14ac:dyDescent="0.2">
      <c r="B21" s="151">
        <f>IF(ISNA(Z21),"",IF(OR(Z21=1,Z21=2),"    ",MAX($B$8:B20)+1))</f>
        <v>10</v>
      </c>
      <c r="C21" s="904" t="str">
        <f t="shared" si="0"/>
        <v xml:space="preserve">      - Landing (Pseudo Minimum Roll) (6.2%)</v>
      </c>
      <c r="D21" s="904"/>
      <c r="E21" s="904"/>
      <c r="F21" s="905"/>
      <c r="G21" s="133">
        <f t="shared" si="1"/>
        <v>1</v>
      </c>
      <c r="H21" s="134" t="str">
        <f t="shared" si="2"/>
        <v>1</v>
      </c>
      <c r="I21" s="152">
        <f t="shared" si="2"/>
        <v>3</v>
      </c>
      <c r="J21" s="157">
        <v>1</v>
      </c>
      <c r="K21" s="154">
        <v>1</v>
      </c>
      <c r="L21" s="1015"/>
      <c r="M21" s="1016"/>
      <c r="N21" s="1016"/>
      <c r="O21" s="1016"/>
      <c r="P21" s="1016"/>
      <c r="Q21" s="1016"/>
      <c r="R21" s="1017"/>
      <c r="T21" s="99">
        <v>14</v>
      </c>
      <c r="U21" s="88" t="s">
        <v>932</v>
      </c>
      <c r="V21" s="453">
        <v>1</v>
      </c>
      <c r="W21" s="453">
        <v>1</v>
      </c>
      <c r="X21" s="453" t="s">
        <v>340</v>
      </c>
      <c r="Y21" s="453" t="s">
        <v>340</v>
      </c>
      <c r="Z21" s="146" t="s">
        <v>340</v>
      </c>
      <c r="AA21" s="146">
        <v>2</v>
      </c>
      <c r="AB21" s="146">
        <v>1</v>
      </c>
      <c r="AC21" s="453">
        <v>3</v>
      </c>
      <c r="AD21" s="453">
        <v>1</v>
      </c>
      <c r="AE21" s="453">
        <v>0</v>
      </c>
      <c r="AF21" s="453" t="b">
        <v>1</v>
      </c>
      <c r="AG21" s="453">
        <f t="shared" si="3"/>
        <v>3</v>
      </c>
      <c r="AH21" s="453">
        <f t="shared" si="4"/>
        <v>2</v>
      </c>
      <c r="AI21" s="138">
        <f>IF(NOT(OR(Z21=1,Z21=2)),IF(AQ21&gt;0,$AR$44*AQ21/SUMIF($AQ$8:$AQ$39,"&gt;0"),IF(AU21&gt;0,$AV$44*AU21/SUMIF($AU$8:$AU$39,"&gt;0"),IF(AS21&gt;0,$AT$44*AS21/SUMIF($AS$8:$AS$39,"&gt;0"),""))),IF(SUMIF(AJ22:$AJ$39,"=" &amp; AJ21,AI22:$AI$39)=0,"",SUMIF(AJ22:$AJ$39,"=" &amp; AJ21,AI22:$AI$39)))</f>
        <v>6.1538461538461542E-2</v>
      </c>
      <c r="AJ21" s="139">
        <f t="shared" si="34"/>
        <v>3</v>
      </c>
      <c r="AK21" s="453">
        <f t="shared" si="27"/>
        <v>1</v>
      </c>
      <c r="AL21" s="146">
        <f t="shared" si="28"/>
        <v>1</v>
      </c>
      <c r="AM21" s="146">
        <f t="shared" si="35"/>
        <v>1</v>
      </c>
      <c r="AN21" s="146" t="str">
        <f t="shared" si="5"/>
        <v/>
      </c>
      <c r="AO21" s="146" t="str">
        <f t="shared" si="6"/>
        <v/>
      </c>
      <c r="AP21" s="453" t="b">
        <f t="shared" si="7"/>
        <v>1</v>
      </c>
      <c r="AQ21" s="140">
        <f t="shared" si="29"/>
        <v>1</v>
      </c>
      <c r="AR21" s="141">
        <f t="shared" si="8"/>
        <v>0.7</v>
      </c>
      <c r="AS21" s="142">
        <f t="shared" si="30"/>
        <v>0</v>
      </c>
      <c r="AT21" s="141" t="str">
        <f t="shared" si="9"/>
        <v/>
      </c>
      <c r="AU21" s="143">
        <f t="shared" si="10"/>
        <v>0</v>
      </c>
      <c r="AV21" s="144">
        <f t="shared" si="11"/>
        <v>0.7</v>
      </c>
      <c r="AW21" s="143" t="b">
        <f t="shared" si="12"/>
        <v>0</v>
      </c>
      <c r="AX21" s="145" t="b">
        <f t="shared" si="13"/>
        <v>0</v>
      </c>
      <c r="AY21" s="143" t="b">
        <f t="shared" si="14"/>
        <v>0</v>
      </c>
      <c r="AZ21" s="145" t="b">
        <f t="shared" si="15"/>
        <v>0</v>
      </c>
      <c r="BA21" s="453" t="b">
        <f t="shared" si="16"/>
        <v>0</v>
      </c>
      <c r="BB21" s="453" t="b">
        <f t="shared" si="17"/>
        <v>0</v>
      </c>
      <c r="BC21" s="143" t="b">
        <f t="shared" si="18"/>
        <v>0</v>
      </c>
      <c r="BD21" s="146" t="b">
        <f t="shared" si="31"/>
        <v>0</v>
      </c>
      <c r="BE21" s="145" t="b">
        <f t="shared" si="19"/>
        <v>0</v>
      </c>
      <c r="BF21" s="147" t="b">
        <f t="shared" si="20"/>
        <v>0</v>
      </c>
      <c r="BG21" s="453" t="b">
        <f t="shared" si="21"/>
        <v>1</v>
      </c>
      <c r="BH21" s="453">
        <f t="shared" si="32"/>
        <v>1</v>
      </c>
      <c r="BI21" s="453">
        <f t="shared" si="22"/>
        <v>1</v>
      </c>
      <c r="BJ21" s="453" t="str">
        <f t="shared" si="23"/>
        <v>1</v>
      </c>
      <c r="BK21" s="453">
        <f t="shared" si="24"/>
        <v>3</v>
      </c>
      <c r="BL21" s="148">
        <f t="shared" si="33"/>
        <v>1</v>
      </c>
      <c r="BM21" s="453">
        <f t="shared" si="25"/>
        <v>1</v>
      </c>
      <c r="BN21" s="453">
        <f t="shared" si="26"/>
        <v>3</v>
      </c>
      <c r="BO21" s="936" t="s">
        <v>358</v>
      </c>
      <c r="BP21" s="300" t="s">
        <v>359</v>
      </c>
      <c r="BQ21" s="162">
        <f t="shared" ref="BQ21:BU29" si="36">AR50</f>
        <v>0.7</v>
      </c>
      <c r="BR21" s="163">
        <f t="shared" si="36"/>
        <v>0.9</v>
      </c>
      <c r="BS21" s="163">
        <f t="shared" si="36"/>
        <v>0.93330000000000002</v>
      </c>
      <c r="BT21" s="163">
        <f t="shared" si="36"/>
        <v>0.9667</v>
      </c>
      <c r="BU21" s="164">
        <f t="shared" si="36"/>
        <v>1</v>
      </c>
    </row>
    <row r="22" spans="2:73" s="94" customFormat="1" ht="12.95" customHeight="1" x14ac:dyDescent="0.2">
      <c r="B22" s="151" t="str">
        <f>IF(ISNA(Z22),"",IF(OR(Z22=1,Z22=2),"    ",MAX($B$8:B21)+1))</f>
        <v xml:space="preserve">    </v>
      </c>
      <c r="C22" s="904" t="str">
        <f t="shared" si="0"/>
        <v>Check Climbs/Descents (24.6%)</v>
      </c>
      <c r="D22" s="904"/>
      <c r="E22" s="904"/>
      <c r="F22" s="905"/>
      <c r="G22" s="133" t="str">
        <f t="shared" si="1"/>
        <v/>
      </c>
      <c r="H22" s="134" t="str">
        <f t="shared" si="2"/>
        <v/>
      </c>
      <c r="I22" s="152" t="str">
        <f t="shared" si="2"/>
        <v/>
      </c>
      <c r="J22" s="158" t="s">
        <v>340</v>
      </c>
      <c r="K22" s="159" t="s">
        <v>340</v>
      </c>
      <c r="L22" s="1015"/>
      <c r="M22" s="1016"/>
      <c r="N22" s="1016"/>
      <c r="O22" s="1016"/>
      <c r="P22" s="1016"/>
      <c r="Q22" s="1016"/>
      <c r="R22" s="1017"/>
      <c r="T22" s="99">
        <v>15</v>
      </c>
      <c r="U22" s="88" t="s">
        <v>933</v>
      </c>
      <c r="V22" s="453" t="s">
        <v>340</v>
      </c>
      <c r="W22" s="453" t="s">
        <v>340</v>
      </c>
      <c r="X22" s="453" t="s">
        <v>340</v>
      </c>
      <c r="Y22" s="453" t="s">
        <v>340</v>
      </c>
      <c r="Z22" s="146">
        <v>2</v>
      </c>
      <c r="AA22" s="146">
        <v>1</v>
      </c>
      <c r="AB22" s="146">
        <v>1</v>
      </c>
      <c r="AC22" s="453" t="s">
        <v>340</v>
      </c>
      <c r="AD22" s="453" t="s">
        <v>340</v>
      </c>
      <c r="AE22" s="453" t="s">
        <v>340</v>
      </c>
      <c r="AF22" s="453" t="s">
        <v>340</v>
      </c>
      <c r="AG22" s="453" t="str">
        <f t="shared" si="3"/>
        <v/>
      </c>
      <c r="AH22" s="453" t="str">
        <f t="shared" si="4"/>
        <v/>
      </c>
      <c r="AI22" s="138">
        <f>IF(NOT(OR(Z22=1,Z22=2)),IF(AQ22&gt;0,$AR$44*AQ22/SUMIF($AQ$8:$AQ$39,"&gt;0"),IF(AU22&gt;0,$AV$44*AU22/SUMIF($AU$8:$AU$39,"&gt;0"),IF(AS22&gt;0,$AT$44*AS22/SUMIF($AS$8:$AS$39,"&gt;0"),""))),IF(SUMIF(AJ23:$AJ$39,"=" &amp; AJ22,AI23:$AI$39)=0,"",SUMIF(AJ23:$AJ$39,"=" &amp; AJ22,AI23:$AI$39)))</f>
        <v>0.24615384615384617</v>
      </c>
      <c r="AJ22" s="139">
        <f t="shared" si="34"/>
        <v>4</v>
      </c>
      <c r="AK22" s="453" t="str">
        <f t="shared" si="27"/>
        <v/>
      </c>
      <c r="AL22" s="146" t="str">
        <f t="shared" si="28"/>
        <v/>
      </c>
      <c r="AM22" s="146" t="str">
        <f t="shared" si="35"/>
        <v/>
      </c>
      <c r="AN22" s="146" t="str">
        <f t="shared" si="5"/>
        <v/>
      </c>
      <c r="AO22" s="146" t="str">
        <f t="shared" si="6"/>
        <v/>
      </c>
      <c r="AP22" s="453" t="str">
        <f t="shared" si="7"/>
        <v/>
      </c>
      <c r="AQ22" s="140">
        <f t="shared" si="29"/>
        <v>0</v>
      </c>
      <c r="AR22" s="141" t="str">
        <f t="shared" si="8"/>
        <v/>
      </c>
      <c r="AS22" s="142">
        <f t="shared" si="30"/>
        <v>0</v>
      </c>
      <c r="AT22" s="141" t="str">
        <f t="shared" si="9"/>
        <v/>
      </c>
      <c r="AU22" s="143">
        <f t="shared" si="10"/>
        <v>0</v>
      </c>
      <c r="AV22" s="144" t="str">
        <f t="shared" si="11"/>
        <v/>
      </c>
      <c r="AW22" s="143" t="b">
        <f t="shared" si="12"/>
        <v>0</v>
      </c>
      <c r="AX22" s="145" t="b">
        <f t="shared" si="13"/>
        <v>0</v>
      </c>
      <c r="AY22" s="143" t="b">
        <f t="shared" si="14"/>
        <v>0</v>
      </c>
      <c r="AZ22" s="145" t="b">
        <f t="shared" si="15"/>
        <v>0</v>
      </c>
      <c r="BA22" s="453" t="b">
        <f t="shared" si="16"/>
        <v>0</v>
      </c>
      <c r="BB22" s="453" t="b">
        <f t="shared" si="17"/>
        <v>0</v>
      </c>
      <c r="BC22" s="143" t="b">
        <f t="shared" si="18"/>
        <v>0</v>
      </c>
      <c r="BD22" s="146" t="b">
        <f t="shared" si="31"/>
        <v>0</v>
      </c>
      <c r="BE22" s="145" t="b">
        <f>IF(OR(ISNA($Z22),K22&lt;&gt;"D"),FALSE,IF(OR(AND(H22="NG",J22=0),AND(H22&lt;&gt;"NG",NOT(OR(J22="NA",J22=0)))),TRUE,FALSE))</f>
        <v>0</v>
      </c>
      <c r="BF22" s="147" t="b">
        <f t="shared" si="20"/>
        <v>0</v>
      </c>
      <c r="BG22" s="453" t="b">
        <f>IF(ISNA($Z22),"NA",IF(OR(AZ22,AY22,AX22,AW22,AP22,BA22,BB22),TRUE,FALSE))</f>
        <v>0</v>
      </c>
      <c r="BH22" s="453" t="str">
        <f t="shared" si="32"/>
        <v/>
      </c>
      <c r="BI22" s="453" t="str">
        <f t="shared" si="22"/>
        <v/>
      </c>
      <c r="BJ22" s="453" t="str">
        <f t="shared" si="23"/>
        <v/>
      </c>
      <c r="BK22" s="453" t="str">
        <f t="shared" si="24"/>
        <v/>
      </c>
      <c r="BL22" s="148" t="str">
        <f t="shared" si="33"/>
        <v/>
      </c>
      <c r="BM22" s="453" t="str">
        <f t="shared" si="25"/>
        <v/>
      </c>
      <c r="BN22" s="453" t="str">
        <f t="shared" si="26"/>
        <v/>
      </c>
      <c r="BO22" s="936"/>
      <c r="BP22" s="300" t="s">
        <v>360</v>
      </c>
      <c r="BQ22" s="165">
        <f t="shared" si="36"/>
        <v>0.7</v>
      </c>
      <c r="BR22" s="166">
        <f t="shared" si="36"/>
        <v>0.8</v>
      </c>
      <c r="BS22" s="166">
        <f t="shared" si="36"/>
        <v>0.9</v>
      </c>
      <c r="BT22" s="166">
        <f t="shared" si="36"/>
        <v>0.95</v>
      </c>
      <c r="BU22" s="167">
        <f t="shared" si="36"/>
        <v>1</v>
      </c>
    </row>
    <row r="23" spans="2:73" s="94" customFormat="1" ht="12.95" customHeight="1" x14ac:dyDescent="0.2">
      <c r="B23" s="151">
        <f>IF(ISNA(Z23),"",IF(OR(Z23=1,Z23=2),"    ",MAX($B$8:B22)+1))</f>
        <v>11</v>
      </c>
      <c r="C23" s="904" t="str">
        <f t="shared" si="0"/>
        <v xml:space="preserve">      - Constant Airspeed Entry (6.2%)</v>
      </c>
      <c r="D23" s="904"/>
      <c r="E23" s="904"/>
      <c r="F23" s="905"/>
      <c r="G23" s="133">
        <f t="shared" si="1"/>
        <v>1</v>
      </c>
      <c r="H23" s="134" t="str">
        <f t="shared" si="2"/>
        <v>2*</v>
      </c>
      <c r="I23" s="152">
        <f t="shared" si="2"/>
        <v>3</v>
      </c>
      <c r="J23" s="157">
        <v>1</v>
      </c>
      <c r="K23" s="154">
        <v>3</v>
      </c>
      <c r="L23" s="1015"/>
      <c r="M23" s="1016"/>
      <c r="N23" s="1016"/>
      <c r="O23" s="1016"/>
      <c r="P23" s="1016"/>
      <c r="Q23" s="1016"/>
      <c r="R23" s="1017"/>
      <c r="T23" s="99">
        <v>16</v>
      </c>
      <c r="U23" s="88" t="s">
        <v>934</v>
      </c>
      <c r="V23" s="453">
        <v>1</v>
      </c>
      <c r="W23" s="453">
        <v>1</v>
      </c>
      <c r="X23" s="453" t="s">
        <v>340</v>
      </c>
      <c r="Y23" s="453" t="s">
        <v>340</v>
      </c>
      <c r="Z23" s="146" t="s">
        <v>340</v>
      </c>
      <c r="AA23" s="146">
        <v>2</v>
      </c>
      <c r="AB23" s="146">
        <v>1</v>
      </c>
      <c r="AC23" s="453">
        <v>3</v>
      </c>
      <c r="AD23" s="453">
        <v>2</v>
      </c>
      <c r="AE23" s="453">
        <v>1</v>
      </c>
      <c r="AF23" s="453" t="b">
        <v>1</v>
      </c>
      <c r="AG23" s="453">
        <f t="shared" si="3"/>
        <v>3</v>
      </c>
      <c r="AH23" s="453">
        <f t="shared" si="4"/>
        <v>2</v>
      </c>
      <c r="AI23" s="138">
        <f>IF(NOT(OR(Z23=1,Z23=2)),IF(AQ23&gt;0,$AR$44*AQ23/SUMIF($AQ$8:$AQ$39,"&gt;0"),IF(AU23&gt;0,$AV$44*AU23/SUMIF($AU$8:$AU$39,"&gt;0"),IF(AS23&gt;0,$AT$44*AS23/SUMIF($AS$8:$AS$39,"&gt;0"),""))),IF(SUMIF(AJ24:$AJ$39,"=" &amp; AJ23,AI24:$AI$39)=0,"",SUMIF(AJ24:$AJ$39,"=" &amp; AJ23,AI24:$AI$39)))</f>
        <v>6.1538461538461542E-2</v>
      </c>
      <c r="AJ23" s="139">
        <f t="shared" si="34"/>
        <v>4</v>
      </c>
      <c r="AK23" s="453">
        <f t="shared" si="27"/>
        <v>2</v>
      </c>
      <c r="AL23" s="146">
        <f t="shared" si="28"/>
        <v>3</v>
      </c>
      <c r="AM23" s="146">
        <f t="shared" si="35"/>
        <v>1</v>
      </c>
      <c r="AN23" s="146" t="str">
        <f t="shared" si="5"/>
        <v/>
      </c>
      <c r="AO23" s="146" t="str">
        <f t="shared" si="6"/>
        <v/>
      </c>
      <c r="AP23" s="453" t="b">
        <f t="shared" si="7"/>
        <v>0</v>
      </c>
      <c r="AQ23" s="140">
        <f t="shared" si="29"/>
        <v>1</v>
      </c>
      <c r="AR23" s="141">
        <f t="shared" si="8"/>
        <v>0.9</v>
      </c>
      <c r="AS23" s="142">
        <f t="shared" si="30"/>
        <v>0</v>
      </c>
      <c r="AT23" s="141" t="str">
        <f t="shared" si="9"/>
        <v/>
      </c>
      <c r="AU23" s="143">
        <f t="shared" si="10"/>
        <v>0</v>
      </c>
      <c r="AV23" s="144">
        <f t="shared" si="11"/>
        <v>0.9</v>
      </c>
      <c r="AW23" s="143" t="b">
        <f t="shared" si="12"/>
        <v>0</v>
      </c>
      <c r="AX23" s="145" t="b">
        <f t="shared" si="13"/>
        <v>0</v>
      </c>
      <c r="AY23" s="143" t="b">
        <f t="shared" si="14"/>
        <v>0</v>
      </c>
      <c r="AZ23" s="145" t="b">
        <f t="shared" si="15"/>
        <v>0</v>
      </c>
      <c r="BA23" s="453" t="b">
        <f t="shared" si="16"/>
        <v>0</v>
      </c>
      <c r="BB23" s="453" t="b">
        <f t="shared" si="17"/>
        <v>0</v>
      </c>
      <c r="BC23" s="143" t="b">
        <f t="shared" si="18"/>
        <v>0</v>
      </c>
      <c r="BD23" s="146" t="b">
        <f t="shared" si="31"/>
        <v>0</v>
      </c>
      <c r="BE23" s="145" t="b">
        <f t="shared" ref="BE23:BE39" si="37">IF(OR(ISNA($Z23),K23&lt;&gt;"D"),FALSE,IF(OR(AND(H23="NG",J23=0),AND(H23&lt;&gt;"NG",NOT(OR(J23="NA",J23=0)))),TRUE,FALSE))</f>
        <v>0</v>
      </c>
      <c r="BF23" s="147" t="b">
        <f t="shared" si="20"/>
        <v>0</v>
      </c>
      <c r="BG23" s="453" t="b">
        <f t="shared" ref="BG23:BG39" si="38">IF(ISNA($Z23),"NA",IF(OR(AZ23,AY23,AX23,AW23,AP23,BA23,BB23),TRUE,FALSE))</f>
        <v>0</v>
      </c>
      <c r="BH23" s="453">
        <f t="shared" si="32"/>
        <v>1</v>
      </c>
      <c r="BI23" s="453">
        <f t="shared" si="22"/>
        <v>2</v>
      </c>
      <c r="BJ23" s="453" t="str">
        <f t="shared" si="23"/>
        <v>2*</v>
      </c>
      <c r="BK23" s="453">
        <f t="shared" si="24"/>
        <v>3</v>
      </c>
      <c r="BL23" s="148">
        <f t="shared" si="33"/>
        <v>1</v>
      </c>
      <c r="BM23" s="453">
        <f t="shared" si="25"/>
        <v>2</v>
      </c>
      <c r="BN23" s="453">
        <f t="shared" si="26"/>
        <v>3</v>
      </c>
      <c r="BO23" s="936"/>
      <c r="BP23" s="300" t="s">
        <v>361</v>
      </c>
      <c r="BQ23" s="165">
        <f t="shared" si="36"/>
        <v>0.7</v>
      </c>
      <c r="BR23" s="166">
        <f t="shared" si="36"/>
        <v>0.76670000000000005</v>
      </c>
      <c r="BS23" s="166">
        <f t="shared" si="36"/>
        <v>0.83330000000000004</v>
      </c>
      <c r="BT23" s="166">
        <f t="shared" si="36"/>
        <v>0.9</v>
      </c>
      <c r="BU23" s="167">
        <f t="shared" si="36"/>
        <v>1</v>
      </c>
    </row>
    <row r="24" spans="2:73" s="94" customFormat="1" ht="12.95" customHeight="1" x14ac:dyDescent="0.2">
      <c r="B24" s="151">
        <f>IF(ISNA(Z24),"",IF(OR(Z24=1,Z24=2),"    ",MAX($B$8:B23)+1))</f>
        <v>12</v>
      </c>
      <c r="C24" s="904" t="str">
        <f t="shared" si="0"/>
        <v xml:space="preserve">      - Constant Power Entry (6.2%)</v>
      </c>
      <c r="D24" s="904"/>
      <c r="E24" s="904"/>
      <c r="F24" s="905"/>
      <c r="G24" s="133">
        <f t="shared" si="1"/>
        <v>1</v>
      </c>
      <c r="H24" s="134" t="str">
        <f t="shared" si="2"/>
        <v>2*</v>
      </c>
      <c r="I24" s="152">
        <f t="shared" si="2"/>
        <v>3</v>
      </c>
      <c r="J24" s="157">
        <v>1</v>
      </c>
      <c r="K24" s="154">
        <v>3</v>
      </c>
      <c r="L24" s="1015"/>
      <c r="M24" s="1016"/>
      <c r="N24" s="1016"/>
      <c r="O24" s="1016"/>
      <c r="P24" s="1016"/>
      <c r="Q24" s="1016"/>
      <c r="R24" s="1017"/>
      <c r="T24" s="99">
        <v>17</v>
      </c>
      <c r="U24" s="88" t="s">
        <v>935</v>
      </c>
      <c r="V24" s="453">
        <v>1</v>
      </c>
      <c r="W24" s="453">
        <v>1</v>
      </c>
      <c r="X24" s="453" t="s">
        <v>340</v>
      </c>
      <c r="Y24" s="453" t="s">
        <v>340</v>
      </c>
      <c r="Z24" s="146" t="s">
        <v>340</v>
      </c>
      <c r="AA24" s="146">
        <v>2</v>
      </c>
      <c r="AB24" s="146">
        <v>1</v>
      </c>
      <c r="AC24" s="453">
        <v>3</v>
      </c>
      <c r="AD24" s="453">
        <v>2</v>
      </c>
      <c r="AE24" s="453">
        <v>1</v>
      </c>
      <c r="AF24" s="453" t="b">
        <v>1</v>
      </c>
      <c r="AG24" s="453">
        <f t="shared" si="3"/>
        <v>3</v>
      </c>
      <c r="AH24" s="453">
        <f t="shared" si="4"/>
        <v>2</v>
      </c>
      <c r="AI24" s="138">
        <f>IF(NOT(OR(Z24=1,Z24=2)),IF(AQ24&gt;0,$AR$44*AQ24/SUMIF($AQ$8:$AQ$39,"&gt;0"),IF(AU24&gt;0,$AV$44*AU24/SUMIF($AU$8:$AU$39,"&gt;0"),IF(AS24&gt;0,$AT$44*AS24/SUMIF($AS$8:$AS$39,"&gt;0"),""))),IF(SUMIF(AJ25:$AJ$39,"=" &amp; AJ24,AI25:$AI$39)=0,"",SUMIF(AJ25:$AJ$39,"=" &amp; AJ24,AI25:$AI$39)))</f>
        <v>6.1538461538461542E-2</v>
      </c>
      <c r="AJ24" s="139">
        <f t="shared" si="34"/>
        <v>4</v>
      </c>
      <c r="AK24" s="453">
        <f t="shared" si="27"/>
        <v>2</v>
      </c>
      <c r="AL24" s="146">
        <f t="shared" si="28"/>
        <v>3</v>
      </c>
      <c r="AM24" s="146">
        <f t="shared" si="35"/>
        <v>1</v>
      </c>
      <c r="AN24" s="146" t="str">
        <f t="shared" si="5"/>
        <v/>
      </c>
      <c r="AO24" s="146" t="str">
        <f t="shared" si="6"/>
        <v/>
      </c>
      <c r="AP24" s="453" t="b">
        <f t="shared" si="7"/>
        <v>0</v>
      </c>
      <c r="AQ24" s="140">
        <f t="shared" si="29"/>
        <v>1</v>
      </c>
      <c r="AR24" s="141">
        <f t="shared" si="8"/>
        <v>0.9</v>
      </c>
      <c r="AS24" s="142">
        <f t="shared" si="30"/>
        <v>0</v>
      </c>
      <c r="AT24" s="141" t="str">
        <f t="shared" si="9"/>
        <v/>
      </c>
      <c r="AU24" s="143">
        <f t="shared" si="10"/>
        <v>0</v>
      </c>
      <c r="AV24" s="144">
        <f t="shared" si="11"/>
        <v>0.9</v>
      </c>
      <c r="AW24" s="143" t="b">
        <f t="shared" si="12"/>
        <v>0</v>
      </c>
      <c r="AX24" s="145" t="b">
        <f t="shared" si="13"/>
        <v>0</v>
      </c>
      <c r="AY24" s="143" t="b">
        <f t="shared" si="14"/>
        <v>0</v>
      </c>
      <c r="AZ24" s="145" t="b">
        <f t="shared" si="15"/>
        <v>0</v>
      </c>
      <c r="BA24" s="453" t="b">
        <f t="shared" si="16"/>
        <v>0</v>
      </c>
      <c r="BB24" s="453" t="b">
        <f t="shared" si="17"/>
        <v>0</v>
      </c>
      <c r="BC24" s="143" t="b">
        <f t="shared" si="18"/>
        <v>0</v>
      </c>
      <c r="BD24" s="146" t="b">
        <f t="shared" si="31"/>
        <v>0</v>
      </c>
      <c r="BE24" s="145" t="b">
        <f t="shared" si="37"/>
        <v>0</v>
      </c>
      <c r="BF24" s="147" t="b">
        <f t="shared" si="20"/>
        <v>0</v>
      </c>
      <c r="BG24" s="453" t="b">
        <f t="shared" si="38"/>
        <v>0</v>
      </c>
      <c r="BH24" s="453">
        <f t="shared" si="32"/>
        <v>1</v>
      </c>
      <c r="BI24" s="453">
        <f t="shared" si="22"/>
        <v>2</v>
      </c>
      <c r="BJ24" s="453" t="str">
        <f t="shared" si="23"/>
        <v>2*</v>
      </c>
      <c r="BK24" s="453">
        <f t="shared" si="24"/>
        <v>3</v>
      </c>
      <c r="BL24" s="148">
        <f t="shared" si="33"/>
        <v>1</v>
      </c>
      <c r="BM24" s="453">
        <f t="shared" si="25"/>
        <v>2</v>
      </c>
      <c r="BN24" s="453">
        <f t="shared" si="26"/>
        <v>3</v>
      </c>
      <c r="BO24" s="936"/>
      <c r="BP24" s="300" t="s">
        <v>362</v>
      </c>
      <c r="BQ24" s="165">
        <f t="shared" si="36"/>
        <v>0.6</v>
      </c>
      <c r="BR24" s="166">
        <f t="shared" si="36"/>
        <v>0.9</v>
      </c>
      <c r="BS24" s="166">
        <f t="shared" si="36"/>
        <v>0.93330000000000002</v>
      </c>
      <c r="BT24" s="166">
        <f t="shared" si="36"/>
        <v>0.9667</v>
      </c>
      <c r="BU24" s="167">
        <f t="shared" si="36"/>
        <v>1</v>
      </c>
    </row>
    <row r="25" spans="2:73" s="94" customFormat="1" ht="12.95" customHeight="1" x14ac:dyDescent="0.2">
      <c r="B25" s="151">
        <f>IF(ISNA(Z25),"",IF(OR(Z25=1,Z25=2),"    ",MAX($B$8:B24)+1))</f>
        <v>13</v>
      </c>
      <c r="C25" s="904" t="str">
        <f t="shared" si="0"/>
        <v xml:space="preserve">      - Check Climbs (6.2%)</v>
      </c>
      <c r="D25" s="904"/>
      <c r="E25" s="904"/>
      <c r="F25" s="905"/>
      <c r="G25" s="133">
        <f t="shared" si="1"/>
        <v>1</v>
      </c>
      <c r="H25" s="134" t="str">
        <f t="shared" si="2"/>
        <v>2*</v>
      </c>
      <c r="I25" s="152">
        <f t="shared" si="2"/>
        <v>3</v>
      </c>
      <c r="J25" s="157">
        <v>1</v>
      </c>
      <c r="K25" s="154">
        <v>3</v>
      </c>
      <c r="L25" s="1015"/>
      <c r="M25" s="1016"/>
      <c r="N25" s="1016"/>
      <c r="O25" s="1016"/>
      <c r="P25" s="1016"/>
      <c r="Q25" s="1016"/>
      <c r="R25" s="1017"/>
      <c r="T25" s="99">
        <v>18</v>
      </c>
      <c r="U25" s="88" t="s">
        <v>936</v>
      </c>
      <c r="V25" s="453">
        <v>1</v>
      </c>
      <c r="W25" s="453">
        <v>1</v>
      </c>
      <c r="X25" s="453" t="s">
        <v>340</v>
      </c>
      <c r="Y25" s="453" t="s">
        <v>340</v>
      </c>
      <c r="Z25" s="146" t="s">
        <v>340</v>
      </c>
      <c r="AA25" s="146">
        <v>2</v>
      </c>
      <c r="AB25" s="146">
        <v>1</v>
      </c>
      <c r="AC25" s="453">
        <v>3</v>
      </c>
      <c r="AD25" s="453">
        <v>2</v>
      </c>
      <c r="AE25" s="453">
        <v>1</v>
      </c>
      <c r="AF25" s="453" t="b">
        <v>1</v>
      </c>
      <c r="AG25" s="453">
        <f t="shared" si="3"/>
        <v>3</v>
      </c>
      <c r="AH25" s="453">
        <f t="shared" si="4"/>
        <v>2</v>
      </c>
      <c r="AI25" s="138">
        <f>IF(NOT(OR(Z25=1,Z25=2)),IF(AQ25&gt;0,$AR$44*AQ25/SUMIF($AQ$8:$AQ$39,"&gt;0"),IF(AU25&gt;0,$AV$44*AU25/SUMIF($AU$8:$AU$39,"&gt;0"),IF(AS25&gt;0,$AT$44*AS25/SUMIF($AS$8:$AS$39,"&gt;0"),""))),IF(SUMIF(AJ26:$AJ$39,"=" &amp; AJ25,AI26:$AI$39)=0,"",SUMIF(AJ26:$AJ$39,"=" &amp; AJ25,AI26:$AI$39)))</f>
        <v>6.1538461538461542E-2</v>
      </c>
      <c r="AJ25" s="139">
        <f t="shared" si="34"/>
        <v>4</v>
      </c>
      <c r="AK25" s="453">
        <f t="shared" si="27"/>
        <v>2</v>
      </c>
      <c r="AL25" s="146">
        <f t="shared" si="28"/>
        <v>3</v>
      </c>
      <c r="AM25" s="146">
        <f t="shared" si="35"/>
        <v>1</v>
      </c>
      <c r="AN25" s="146" t="str">
        <f t="shared" si="5"/>
        <v/>
      </c>
      <c r="AO25" s="146" t="str">
        <f t="shared" si="6"/>
        <v/>
      </c>
      <c r="AP25" s="453" t="b">
        <f t="shared" si="7"/>
        <v>0</v>
      </c>
      <c r="AQ25" s="140">
        <f t="shared" si="29"/>
        <v>1</v>
      </c>
      <c r="AR25" s="141">
        <f t="shared" si="8"/>
        <v>0.9</v>
      </c>
      <c r="AS25" s="142">
        <f t="shared" si="30"/>
        <v>0</v>
      </c>
      <c r="AT25" s="141" t="str">
        <f t="shared" si="9"/>
        <v/>
      </c>
      <c r="AU25" s="143">
        <f t="shared" si="10"/>
        <v>0</v>
      </c>
      <c r="AV25" s="144">
        <f t="shared" si="11"/>
        <v>0.9</v>
      </c>
      <c r="AW25" s="143" t="b">
        <f t="shared" si="12"/>
        <v>0</v>
      </c>
      <c r="AX25" s="145" t="b">
        <f t="shared" si="13"/>
        <v>0</v>
      </c>
      <c r="AY25" s="143" t="b">
        <f t="shared" si="14"/>
        <v>0</v>
      </c>
      <c r="AZ25" s="145" t="b">
        <f t="shared" si="15"/>
        <v>0</v>
      </c>
      <c r="BA25" s="453" t="b">
        <f t="shared" si="16"/>
        <v>0</v>
      </c>
      <c r="BB25" s="453" t="b">
        <f t="shared" si="17"/>
        <v>0</v>
      </c>
      <c r="BC25" s="143" t="b">
        <f t="shared" si="18"/>
        <v>0</v>
      </c>
      <c r="BD25" s="146" t="b">
        <f t="shared" si="31"/>
        <v>0</v>
      </c>
      <c r="BE25" s="145" t="b">
        <f t="shared" si="37"/>
        <v>0</v>
      </c>
      <c r="BF25" s="147" t="b">
        <f t="shared" si="20"/>
        <v>0</v>
      </c>
      <c r="BG25" s="453" t="b">
        <f t="shared" si="38"/>
        <v>0</v>
      </c>
      <c r="BH25" s="453">
        <f t="shared" si="32"/>
        <v>1</v>
      </c>
      <c r="BI25" s="453">
        <f t="shared" si="22"/>
        <v>2</v>
      </c>
      <c r="BJ25" s="453" t="str">
        <f t="shared" si="23"/>
        <v>2*</v>
      </c>
      <c r="BK25" s="453">
        <f t="shared" si="24"/>
        <v>3</v>
      </c>
      <c r="BL25" s="148">
        <f t="shared" si="33"/>
        <v>1</v>
      </c>
      <c r="BM25" s="453">
        <f t="shared" si="25"/>
        <v>2</v>
      </c>
      <c r="BN25" s="453">
        <f t="shared" si="26"/>
        <v>3</v>
      </c>
      <c r="BO25" s="936"/>
      <c r="BP25" s="300" t="s">
        <v>363</v>
      </c>
      <c r="BQ25" s="165">
        <f t="shared" si="36"/>
        <v>0.6</v>
      </c>
      <c r="BR25" s="166">
        <f t="shared" si="36"/>
        <v>0.7</v>
      </c>
      <c r="BS25" s="166">
        <f t="shared" si="36"/>
        <v>0.9</v>
      </c>
      <c r="BT25" s="166">
        <f t="shared" si="36"/>
        <v>0.95</v>
      </c>
      <c r="BU25" s="167">
        <f t="shared" si="36"/>
        <v>1</v>
      </c>
    </row>
    <row r="26" spans="2:73" s="94" customFormat="1" ht="12.95" customHeight="1" x14ac:dyDescent="0.2">
      <c r="B26" s="151">
        <f>IF(ISNA(Z26),"",IF(OR(Z26=1,Z26=2),"    ",MAX($B$8:B25)+1))</f>
        <v>14</v>
      </c>
      <c r="C26" s="904" t="str">
        <f t="shared" si="0"/>
        <v xml:space="preserve">      - Check Descents (6.2%)</v>
      </c>
      <c r="D26" s="904"/>
      <c r="E26" s="904"/>
      <c r="F26" s="905"/>
      <c r="G26" s="133">
        <f t="shared" si="1"/>
        <v>1</v>
      </c>
      <c r="H26" s="134" t="str">
        <f t="shared" si="2"/>
        <v>2*</v>
      </c>
      <c r="I26" s="152">
        <f t="shared" si="2"/>
        <v>3</v>
      </c>
      <c r="J26" s="157">
        <v>1</v>
      </c>
      <c r="K26" s="154">
        <v>4</v>
      </c>
      <c r="L26" s="1015"/>
      <c r="M26" s="1016"/>
      <c r="N26" s="1016"/>
      <c r="O26" s="1016"/>
      <c r="P26" s="1016"/>
      <c r="Q26" s="1016"/>
      <c r="R26" s="1017"/>
      <c r="T26" s="99">
        <v>19</v>
      </c>
      <c r="U26" s="88" t="s">
        <v>937</v>
      </c>
      <c r="V26" s="453">
        <v>1</v>
      </c>
      <c r="W26" s="453">
        <v>1</v>
      </c>
      <c r="X26" s="453" t="s">
        <v>340</v>
      </c>
      <c r="Y26" s="453" t="s">
        <v>340</v>
      </c>
      <c r="Z26" s="146" t="s">
        <v>340</v>
      </c>
      <c r="AA26" s="146">
        <v>2</v>
      </c>
      <c r="AB26" s="146">
        <v>1</v>
      </c>
      <c r="AC26" s="453">
        <v>3</v>
      </c>
      <c r="AD26" s="453">
        <v>2</v>
      </c>
      <c r="AE26" s="453">
        <v>1</v>
      </c>
      <c r="AF26" s="453" t="b">
        <v>1</v>
      </c>
      <c r="AG26" s="453">
        <f t="shared" si="3"/>
        <v>3</v>
      </c>
      <c r="AH26" s="453">
        <f t="shared" si="4"/>
        <v>2</v>
      </c>
      <c r="AI26" s="138">
        <f>IF(NOT(OR(Z26=1,Z26=2)),IF(AQ26&gt;0,$AR$44*AQ26/SUMIF($AQ$8:$AQ$39,"&gt;0"),IF(AU26&gt;0,$AV$44*AU26/SUMIF($AU$8:$AU$39,"&gt;0"),IF(AS26&gt;0,$AT$44*AS26/SUMIF($AS$8:$AS$39,"&gt;0"),""))),IF(SUMIF(AJ27:$AJ$39,"=" &amp; AJ26,AI27:$AI$39)=0,"",SUMIF(AJ27:$AJ$39,"=" &amp; AJ26,AI27:$AI$39)))</f>
        <v>6.1538461538461542E-2</v>
      </c>
      <c r="AJ26" s="139">
        <f t="shared" si="34"/>
        <v>4</v>
      </c>
      <c r="AK26" s="453">
        <f t="shared" si="27"/>
        <v>2</v>
      </c>
      <c r="AL26" s="146">
        <f t="shared" si="28"/>
        <v>4</v>
      </c>
      <c r="AM26" s="146">
        <f t="shared" si="35"/>
        <v>1</v>
      </c>
      <c r="AN26" s="146" t="str">
        <f t="shared" si="5"/>
        <v/>
      </c>
      <c r="AO26" s="146" t="str">
        <f t="shared" si="6"/>
        <v/>
      </c>
      <c r="AP26" s="453" t="b">
        <f t="shared" si="7"/>
        <v>0</v>
      </c>
      <c r="AQ26" s="140">
        <f t="shared" si="29"/>
        <v>1</v>
      </c>
      <c r="AR26" s="141">
        <f t="shared" si="8"/>
        <v>1</v>
      </c>
      <c r="AS26" s="142">
        <f t="shared" si="30"/>
        <v>0</v>
      </c>
      <c r="AT26" s="141" t="str">
        <f t="shared" si="9"/>
        <v/>
      </c>
      <c r="AU26" s="143">
        <f t="shared" si="10"/>
        <v>0</v>
      </c>
      <c r="AV26" s="144">
        <f t="shared" si="11"/>
        <v>1</v>
      </c>
      <c r="AW26" s="143" t="b">
        <f t="shared" si="12"/>
        <v>0</v>
      </c>
      <c r="AX26" s="145" t="b">
        <f t="shared" si="13"/>
        <v>0</v>
      </c>
      <c r="AY26" s="143" t="b">
        <f t="shared" si="14"/>
        <v>0</v>
      </c>
      <c r="AZ26" s="145" t="b">
        <f t="shared" si="15"/>
        <v>0</v>
      </c>
      <c r="BA26" s="453" t="b">
        <f t="shared" si="16"/>
        <v>0</v>
      </c>
      <c r="BB26" s="453" t="b">
        <f t="shared" si="17"/>
        <v>0</v>
      </c>
      <c r="BC26" s="143" t="b">
        <f t="shared" si="18"/>
        <v>0</v>
      </c>
      <c r="BD26" s="146" t="b">
        <f t="shared" si="31"/>
        <v>0</v>
      </c>
      <c r="BE26" s="145" t="b">
        <f t="shared" si="37"/>
        <v>0</v>
      </c>
      <c r="BF26" s="147" t="b">
        <f t="shared" si="20"/>
        <v>0</v>
      </c>
      <c r="BG26" s="453" t="b">
        <f t="shared" si="38"/>
        <v>0</v>
      </c>
      <c r="BH26" s="453">
        <f t="shared" si="32"/>
        <v>1</v>
      </c>
      <c r="BI26" s="453">
        <f t="shared" si="22"/>
        <v>2</v>
      </c>
      <c r="BJ26" s="453" t="str">
        <f t="shared" si="23"/>
        <v>2*</v>
      </c>
      <c r="BK26" s="453">
        <f t="shared" si="24"/>
        <v>3</v>
      </c>
      <c r="BL26" s="148">
        <f t="shared" si="33"/>
        <v>1</v>
      </c>
      <c r="BM26" s="453">
        <f t="shared" si="25"/>
        <v>2</v>
      </c>
      <c r="BN26" s="453">
        <f t="shared" si="26"/>
        <v>3</v>
      </c>
      <c r="BO26" s="936"/>
      <c r="BP26" s="300" t="s">
        <v>364</v>
      </c>
      <c r="BQ26" s="165">
        <f t="shared" si="36"/>
        <v>0.6</v>
      </c>
      <c r="BR26" s="166">
        <f t="shared" si="36"/>
        <v>0.7</v>
      </c>
      <c r="BS26" s="166">
        <f t="shared" si="36"/>
        <v>0.8</v>
      </c>
      <c r="BT26" s="166">
        <f t="shared" si="36"/>
        <v>0.9</v>
      </c>
      <c r="BU26" s="167">
        <f t="shared" si="36"/>
        <v>1</v>
      </c>
    </row>
    <row r="27" spans="2:73" s="94" customFormat="1" ht="12.95" customHeight="1" x14ac:dyDescent="0.2">
      <c r="B27" s="151" t="str">
        <f>IF(ISNA(Z27),"",IF(OR(Z27=1,Z27=2),"    ",MAX($B$8:B26)+1))</f>
        <v xml:space="preserve">    </v>
      </c>
      <c r="C27" s="904" t="str">
        <f t="shared" si="0"/>
        <v>Turn Performance (24.6%)</v>
      </c>
      <c r="D27" s="904"/>
      <c r="E27" s="904"/>
      <c r="F27" s="905"/>
      <c r="G27" s="133" t="str">
        <f t="shared" si="1"/>
        <v/>
      </c>
      <c r="H27" s="134" t="str">
        <f t="shared" si="2"/>
        <v/>
      </c>
      <c r="I27" s="152" t="str">
        <f t="shared" si="2"/>
        <v/>
      </c>
      <c r="J27" s="158" t="s">
        <v>340</v>
      </c>
      <c r="K27" s="159" t="s">
        <v>340</v>
      </c>
      <c r="L27" s="1015"/>
      <c r="M27" s="1016"/>
      <c r="N27" s="1016"/>
      <c r="O27" s="1016"/>
      <c r="P27" s="1016"/>
      <c r="Q27" s="1016"/>
      <c r="R27" s="1017"/>
      <c r="T27" s="99">
        <v>20</v>
      </c>
      <c r="U27" s="88" t="s">
        <v>938</v>
      </c>
      <c r="V27" s="453" t="s">
        <v>340</v>
      </c>
      <c r="W27" s="453" t="s">
        <v>340</v>
      </c>
      <c r="X27" s="453" t="s">
        <v>340</v>
      </c>
      <c r="Y27" s="453" t="s">
        <v>340</v>
      </c>
      <c r="Z27" s="146">
        <v>2</v>
      </c>
      <c r="AA27" s="146">
        <v>1</v>
      </c>
      <c r="AB27" s="146">
        <v>1</v>
      </c>
      <c r="AC27" s="453" t="s">
        <v>340</v>
      </c>
      <c r="AD27" s="453" t="s">
        <v>340</v>
      </c>
      <c r="AE27" s="453" t="s">
        <v>340</v>
      </c>
      <c r="AF27" s="453" t="s">
        <v>340</v>
      </c>
      <c r="AG27" s="453" t="str">
        <f t="shared" si="3"/>
        <v/>
      </c>
      <c r="AH27" s="453" t="str">
        <f t="shared" si="4"/>
        <v/>
      </c>
      <c r="AI27" s="138">
        <f>IF(NOT(OR(Z27=1,Z27=2)),IF(AQ27&gt;0,$AR$44*AQ27/SUMIF($AQ$8:$AQ$39,"&gt;0"),IF(AU27&gt;0,$AV$44*AU27/SUMIF($AU$8:$AU$39,"&gt;0"),IF(AS27&gt;0,$AT$44*AS27/SUMIF($AS$8:$AS$39,"&gt;0"),""))),IF(SUMIF(AJ28:$AJ$39,"=" &amp; AJ27,AI28:$AI$39)=0,"",SUMIF(AJ28:$AJ$39,"=" &amp; AJ27,AI28:$AI$39)))</f>
        <v>0.24615384615384617</v>
      </c>
      <c r="AJ27" s="139">
        <f t="shared" si="34"/>
        <v>5</v>
      </c>
      <c r="AK27" s="453" t="str">
        <f t="shared" si="27"/>
        <v/>
      </c>
      <c r="AL27" s="146" t="str">
        <f t="shared" si="28"/>
        <v/>
      </c>
      <c r="AM27" s="146" t="str">
        <f t="shared" si="35"/>
        <v/>
      </c>
      <c r="AN27" s="146" t="str">
        <f t="shared" si="5"/>
        <v/>
      </c>
      <c r="AO27" s="146" t="str">
        <f t="shared" si="6"/>
        <v/>
      </c>
      <c r="AP27" s="453" t="str">
        <f t="shared" si="7"/>
        <v/>
      </c>
      <c r="AQ27" s="140">
        <f t="shared" si="29"/>
        <v>0</v>
      </c>
      <c r="AR27" s="141" t="str">
        <f t="shared" si="8"/>
        <v/>
      </c>
      <c r="AS27" s="142">
        <f t="shared" si="30"/>
        <v>0</v>
      </c>
      <c r="AT27" s="141" t="str">
        <f t="shared" si="9"/>
        <v/>
      </c>
      <c r="AU27" s="143">
        <f t="shared" si="10"/>
        <v>0</v>
      </c>
      <c r="AV27" s="144" t="str">
        <f t="shared" si="11"/>
        <v/>
      </c>
      <c r="AW27" s="143" t="b">
        <f t="shared" si="12"/>
        <v>0</v>
      </c>
      <c r="AX27" s="145" t="b">
        <f t="shared" si="13"/>
        <v>0</v>
      </c>
      <c r="AY27" s="143" t="b">
        <f t="shared" si="14"/>
        <v>0</v>
      </c>
      <c r="AZ27" s="145" t="b">
        <f t="shared" si="15"/>
        <v>0</v>
      </c>
      <c r="BA27" s="453" t="b">
        <f t="shared" si="16"/>
        <v>0</v>
      </c>
      <c r="BB27" s="453" t="b">
        <f t="shared" si="17"/>
        <v>0</v>
      </c>
      <c r="BC27" s="143" t="b">
        <f t="shared" si="18"/>
        <v>0</v>
      </c>
      <c r="BD27" s="146" t="b">
        <f t="shared" si="31"/>
        <v>0</v>
      </c>
      <c r="BE27" s="145" t="b">
        <f t="shared" si="37"/>
        <v>0</v>
      </c>
      <c r="BF27" s="147" t="b">
        <f t="shared" si="20"/>
        <v>0</v>
      </c>
      <c r="BG27" s="453" t="b">
        <f t="shared" si="38"/>
        <v>0</v>
      </c>
      <c r="BH27" s="453" t="str">
        <f t="shared" si="32"/>
        <v/>
      </c>
      <c r="BI27" s="453" t="str">
        <f t="shared" si="22"/>
        <v/>
      </c>
      <c r="BJ27" s="453" t="str">
        <f t="shared" si="23"/>
        <v/>
      </c>
      <c r="BK27" s="453" t="str">
        <f t="shared" si="24"/>
        <v/>
      </c>
      <c r="BL27" s="148" t="str">
        <f t="shared" si="33"/>
        <v/>
      </c>
      <c r="BM27" s="453" t="str">
        <f t="shared" si="25"/>
        <v/>
      </c>
      <c r="BN27" s="453" t="str">
        <f t="shared" si="26"/>
        <v/>
      </c>
      <c r="BO27" s="936"/>
      <c r="BP27" s="300" t="s">
        <v>365</v>
      </c>
      <c r="BQ27" s="165">
        <f t="shared" si="36"/>
        <v>0.3</v>
      </c>
      <c r="BR27" s="166">
        <f t="shared" si="36"/>
        <v>0.6</v>
      </c>
      <c r="BS27" s="166">
        <f t="shared" si="36"/>
        <v>0.9</v>
      </c>
      <c r="BT27" s="166">
        <f t="shared" si="36"/>
        <v>0.95</v>
      </c>
      <c r="BU27" s="167">
        <f t="shared" si="36"/>
        <v>1</v>
      </c>
    </row>
    <row r="28" spans="2:73" s="94" customFormat="1" ht="12.95" customHeight="1" x14ac:dyDescent="0.2">
      <c r="B28" s="151">
        <f>IF(ISNA(Z28),"",IF(OR(Z28=1,Z28=2),"    ",MAX($B$8:B27)+1))</f>
        <v>15</v>
      </c>
      <c r="C28" s="904" t="str">
        <f t="shared" si="0"/>
        <v xml:space="preserve">      - Front-Side Anchor (6.2%)</v>
      </c>
      <c r="D28" s="904"/>
      <c r="E28" s="904"/>
      <c r="F28" s="905"/>
      <c r="G28" s="133">
        <f t="shared" si="1"/>
        <v>1</v>
      </c>
      <c r="H28" s="134" t="str">
        <f t="shared" si="2"/>
        <v>2*</v>
      </c>
      <c r="I28" s="152">
        <f t="shared" si="2"/>
        <v>3</v>
      </c>
      <c r="J28" s="157">
        <v>1</v>
      </c>
      <c r="K28" s="154">
        <v>4</v>
      </c>
      <c r="L28" s="1015"/>
      <c r="M28" s="1016"/>
      <c r="N28" s="1016"/>
      <c r="O28" s="1016"/>
      <c r="P28" s="1016"/>
      <c r="Q28" s="1016"/>
      <c r="R28" s="1017"/>
      <c r="T28" s="99">
        <v>21</v>
      </c>
      <c r="U28" s="88" t="s">
        <v>939</v>
      </c>
      <c r="V28" s="453">
        <v>1</v>
      </c>
      <c r="W28" s="453">
        <v>1</v>
      </c>
      <c r="X28" s="453" t="s">
        <v>340</v>
      </c>
      <c r="Y28" s="453" t="s">
        <v>340</v>
      </c>
      <c r="Z28" s="146" t="s">
        <v>340</v>
      </c>
      <c r="AA28" s="146">
        <v>2</v>
      </c>
      <c r="AB28" s="146">
        <v>1</v>
      </c>
      <c r="AC28" s="453">
        <v>3</v>
      </c>
      <c r="AD28" s="453">
        <v>2</v>
      </c>
      <c r="AE28" s="453">
        <v>1</v>
      </c>
      <c r="AF28" s="453" t="b">
        <v>1</v>
      </c>
      <c r="AG28" s="453">
        <f t="shared" si="3"/>
        <v>3</v>
      </c>
      <c r="AH28" s="453">
        <f t="shared" si="4"/>
        <v>2</v>
      </c>
      <c r="AI28" s="138">
        <f>IF(NOT(OR(Z28=1,Z28=2)),IF(AQ28&gt;0,$AR$44*AQ28/SUMIF($AQ$8:$AQ$39,"&gt;0"),IF(AU28&gt;0,$AV$44*AU28/SUMIF($AU$8:$AU$39,"&gt;0"),IF(AS28&gt;0,$AT$44*AS28/SUMIF($AS$8:$AS$39,"&gt;0"),""))),IF(SUMIF(AJ29:$AJ$39,"=" &amp; AJ28,AI29:$AI$39)=0,"",SUMIF(AJ29:$AJ$39,"=" &amp; AJ28,AI29:$AI$39)))</f>
        <v>6.1538461538461542E-2</v>
      </c>
      <c r="AJ28" s="139">
        <f t="shared" si="34"/>
        <v>5</v>
      </c>
      <c r="AK28" s="453">
        <f t="shared" si="27"/>
        <v>2</v>
      </c>
      <c r="AL28" s="146">
        <f t="shared" si="28"/>
        <v>4</v>
      </c>
      <c r="AM28" s="146">
        <f t="shared" si="35"/>
        <v>1</v>
      </c>
      <c r="AN28" s="146" t="str">
        <f t="shared" si="5"/>
        <v/>
      </c>
      <c r="AO28" s="146" t="str">
        <f t="shared" si="6"/>
        <v/>
      </c>
      <c r="AP28" s="453" t="b">
        <f t="shared" si="7"/>
        <v>0</v>
      </c>
      <c r="AQ28" s="140">
        <f t="shared" si="29"/>
        <v>1</v>
      </c>
      <c r="AR28" s="141">
        <f t="shared" si="8"/>
        <v>1</v>
      </c>
      <c r="AS28" s="142">
        <f t="shared" si="30"/>
        <v>0</v>
      </c>
      <c r="AT28" s="141" t="str">
        <f t="shared" si="9"/>
        <v/>
      </c>
      <c r="AU28" s="143">
        <f t="shared" si="10"/>
        <v>0</v>
      </c>
      <c r="AV28" s="144">
        <f t="shared" si="11"/>
        <v>1</v>
      </c>
      <c r="AW28" s="143" t="b">
        <f t="shared" si="12"/>
        <v>0</v>
      </c>
      <c r="AX28" s="145" t="b">
        <f t="shared" si="13"/>
        <v>0</v>
      </c>
      <c r="AY28" s="143" t="b">
        <f t="shared" si="14"/>
        <v>0</v>
      </c>
      <c r="AZ28" s="145" t="b">
        <f t="shared" si="15"/>
        <v>0</v>
      </c>
      <c r="BA28" s="453" t="b">
        <f t="shared" si="16"/>
        <v>0</v>
      </c>
      <c r="BB28" s="453" t="b">
        <f t="shared" si="17"/>
        <v>0</v>
      </c>
      <c r="BC28" s="143" t="b">
        <f t="shared" si="18"/>
        <v>0</v>
      </c>
      <c r="BD28" s="146" t="b">
        <f t="shared" si="31"/>
        <v>0</v>
      </c>
      <c r="BE28" s="145" t="b">
        <f t="shared" si="37"/>
        <v>0</v>
      </c>
      <c r="BF28" s="147" t="b">
        <f t="shared" si="20"/>
        <v>0</v>
      </c>
      <c r="BG28" s="453" t="b">
        <f t="shared" si="38"/>
        <v>0</v>
      </c>
      <c r="BH28" s="453">
        <f t="shared" si="32"/>
        <v>1</v>
      </c>
      <c r="BI28" s="453">
        <f t="shared" si="22"/>
        <v>2</v>
      </c>
      <c r="BJ28" s="453" t="str">
        <f t="shared" si="23"/>
        <v>2*</v>
      </c>
      <c r="BK28" s="453">
        <f t="shared" si="24"/>
        <v>3</v>
      </c>
      <c r="BL28" s="148">
        <f t="shared" si="33"/>
        <v>1</v>
      </c>
      <c r="BM28" s="453">
        <f t="shared" si="25"/>
        <v>2</v>
      </c>
      <c r="BN28" s="453">
        <f t="shared" si="26"/>
        <v>3</v>
      </c>
      <c r="BO28" s="936"/>
      <c r="BP28" s="300" t="s">
        <v>366</v>
      </c>
      <c r="BQ28" s="165">
        <f t="shared" si="36"/>
        <v>0.3</v>
      </c>
      <c r="BR28" s="166">
        <f t="shared" si="36"/>
        <v>0.6</v>
      </c>
      <c r="BS28" s="166">
        <f t="shared" si="36"/>
        <v>0.7</v>
      </c>
      <c r="BT28" s="166">
        <f t="shared" si="36"/>
        <v>0.9</v>
      </c>
      <c r="BU28" s="167">
        <f t="shared" si="36"/>
        <v>1</v>
      </c>
    </row>
    <row r="29" spans="2:73" s="94" customFormat="1" ht="12.95" customHeight="1" x14ac:dyDescent="0.2">
      <c r="B29" s="151">
        <f>IF(ISNA(Z29),"",IF(OR(Z29=1,Z29=2),"    ",MAX($B$8:B28)+1))</f>
        <v>16</v>
      </c>
      <c r="C29" s="904" t="str">
        <f t="shared" si="0"/>
        <v xml:space="preserve">      - Front-Side Stable Turns (6.2%)</v>
      </c>
      <c r="D29" s="904"/>
      <c r="E29" s="904"/>
      <c r="F29" s="905"/>
      <c r="G29" s="133">
        <f t="shared" si="1"/>
        <v>4</v>
      </c>
      <c r="H29" s="134" t="str">
        <f t="shared" si="2"/>
        <v>2*</v>
      </c>
      <c r="I29" s="152">
        <f t="shared" si="2"/>
        <v>3</v>
      </c>
      <c r="J29" s="157">
        <v>4</v>
      </c>
      <c r="K29" s="154">
        <v>4</v>
      </c>
      <c r="L29" s="1015"/>
      <c r="M29" s="1016"/>
      <c r="N29" s="1016"/>
      <c r="O29" s="1016"/>
      <c r="P29" s="1016"/>
      <c r="Q29" s="1016"/>
      <c r="R29" s="1017"/>
      <c r="T29" s="99">
        <v>22</v>
      </c>
      <c r="U29" s="88" t="s">
        <v>940</v>
      </c>
      <c r="V29" s="453">
        <v>4</v>
      </c>
      <c r="W29" s="453">
        <v>1</v>
      </c>
      <c r="X29" s="453" t="s">
        <v>340</v>
      </c>
      <c r="Y29" s="453" t="s">
        <v>340</v>
      </c>
      <c r="Z29" s="146" t="s">
        <v>340</v>
      </c>
      <c r="AA29" s="146">
        <v>2</v>
      </c>
      <c r="AB29" s="146">
        <v>1</v>
      </c>
      <c r="AC29" s="453">
        <v>3</v>
      </c>
      <c r="AD29" s="453">
        <v>2</v>
      </c>
      <c r="AE29" s="453">
        <v>1</v>
      </c>
      <c r="AF29" s="453" t="b">
        <v>1</v>
      </c>
      <c r="AG29" s="453">
        <f t="shared" si="3"/>
        <v>3</v>
      </c>
      <c r="AH29" s="453">
        <f t="shared" si="4"/>
        <v>2</v>
      </c>
      <c r="AI29" s="138">
        <f>IF(NOT(OR(Z29=1,Z29=2)),IF(AQ29&gt;0,$AR$44*AQ29/SUMIF($AQ$8:$AQ$39,"&gt;0"),IF(AU29&gt;0,$AV$44*AU29/SUMIF($AU$8:$AU$39,"&gt;0"),IF(AS29&gt;0,$AT$44*AS29/SUMIF($AS$8:$AS$39,"&gt;0"),""))),IF(SUMIF(AJ30:$AJ$39,"=" &amp; AJ29,AI30:$AI$39)=0,"",SUMIF(AJ30:$AJ$39,"=" &amp; AJ29,AI30:$AI$39)))</f>
        <v>6.1538461538461542E-2</v>
      </c>
      <c r="AJ29" s="139">
        <f t="shared" si="34"/>
        <v>5</v>
      </c>
      <c r="AK29" s="453">
        <f t="shared" si="27"/>
        <v>2</v>
      </c>
      <c r="AL29" s="146">
        <f t="shared" si="28"/>
        <v>4</v>
      </c>
      <c r="AM29" s="146">
        <f t="shared" si="35"/>
        <v>1</v>
      </c>
      <c r="AN29" s="146" t="str">
        <f t="shared" si="5"/>
        <v/>
      </c>
      <c r="AO29" s="146" t="str">
        <f t="shared" si="6"/>
        <v/>
      </c>
      <c r="AP29" s="453" t="b">
        <f t="shared" si="7"/>
        <v>0</v>
      </c>
      <c r="AQ29" s="140">
        <f t="shared" si="29"/>
        <v>1</v>
      </c>
      <c r="AR29" s="141">
        <f t="shared" si="8"/>
        <v>1</v>
      </c>
      <c r="AS29" s="142">
        <f t="shared" si="30"/>
        <v>0</v>
      </c>
      <c r="AT29" s="141" t="str">
        <f t="shared" si="9"/>
        <v/>
      </c>
      <c r="AU29" s="143">
        <f t="shared" si="10"/>
        <v>0</v>
      </c>
      <c r="AV29" s="144">
        <f t="shared" si="11"/>
        <v>1</v>
      </c>
      <c r="AW29" s="143" t="b">
        <f t="shared" si="12"/>
        <v>0</v>
      </c>
      <c r="AX29" s="145" t="b">
        <f t="shared" si="13"/>
        <v>0</v>
      </c>
      <c r="AY29" s="143" t="b">
        <f t="shared" si="14"/>
        <v>0</v>
      </c>
      <c r="AZ29" s="145" t="b">
        <f t="shared" si="15"/>
        <v>0</v>
      </c>
      <c r="BA29" s="453" t="b">
        <f t="shared" si="16"/>
        <v>0</v>
      </c>
      <c r="BB29" s="453" t="b">
        <f t="shared" si="17"/>
        <v>0</v>
      </c>
      <c r="BC29" s="143" t="b">
        <f t="shared" si="18"/>
        <v>0</v>
      </c>
      <c r="BD29" s="146" t="b">
        <f t="shared" si="31"/>
        <v>0</v>
      </c>
      <c r="BE29" s="145" t="b">
        <f t="shared" si="37"/>
        <v>0</v>
      </c>
      <c r="BF29" s="147" t="b">
        <f t="shared" si="20"/>
        <v>0</v>
      </c>
      <c r="BG29" s="453" t="b">
        <f t="shared" si="38"/>
        <v>0</v>
      </c>
      <c r="BH29" s="453">
        <f t="shared" si="32"/>
        <v>4</v>
      </c>
      <c r="BI29" s="453">
        <f t="shared" si="22"/>
        <v>2</v>
      </c>
      <c r="BJ29" s="453" t="str">
        <f t="shared" si="23"/>
        <v>2*</v>
      </c>
      <c r="BK29" s="453">
        <f t="shared" si="24"/>
        <v>3</v>
      </c>
      <c r="BL29" s="148">
        <f t="shared" si="33"/>
        <v>4</v>
      </c>
      <c r="BM29" s="453">
        <f t="shared" si="25"/>
        <v>2</v>
      </c>
      <c r="BN29" s="453">
        <f t="shared" si="26"/>
        <v>3</v>
      </c>
      <c r="BO29" s="936"/>
      <c r="BP29" s="300" t="s">
        <v>367</v>
      </c>
      <c r="BQ29" s="168">
        <f t="shared" si="36"/>
        <v>0</v>
      </c>
      <c r="BR29" s="169">
        <f t="shared" si="36"/>
        <v>0.3</v>
      </c>
      <c r="BS29" s="169">
        <f t="shared" si="36"/>
        <v>0.6</v>
      </c>
      <c r="BT29" s="169">
        <f t="shared" si="36"/>
        <v>0.9</v>
      </c>
      <c r="BU29" s="170">
        <f t="shared" si="36"/>
        <v>1</v>
      </c>
    </row>
    <row r="30" spans="2:73" s="94" customFormat="1" ht="12.95" customHeight="1" x14ac:dyDescent="0.2">
      <c r="B30" s="151">
        <f>IF(ISNA(Z30),"",IF(OR(Z30=1,Z30=2),"    ",MAX($B$8:B29)+1))</f>
        <v>17</v>
      </c>
      <c r="C30" s="904" t="str">
        <f t="shared" si="0"/>
        <v xml:space="preserve">      - Back-Side Stable Turns (6.2%)</v>
      </c>
      <c r="D30" s="904"/>
      <c r="E30" s="904"/>
      <c r="F30" s="905"/>
      <c r="G30" s="133">
        <f t="shared" si="1"/>
        <v>4</v>
      </c>
      <c r="H30" s="134" t="str">
        <f t="shared" si="2"/>
        <v>2*</v>
      </c>
      <c r="I30" s="152">
        <f t="shared" si="2"/>
        <v>2</v>
      </c>
      <c r="J30" s="157">
        <v>4</v>
      </c>
      <c r="K30" s="154">
        <v>4</v>
      </c>
      <c r="L30" s="1015"/>
      <c r="M30" s="1016"/>
      <c r="N30" s="1016"/>
      <c r="O30" s="1016"/>
      <c r="P30" s="1016"/>
      <c r="Q30" s="1016"/>
      <c r="R30" s="1017"/>
      <c r="T30" s="99">
        <v>23</v>
      </c>
      <c r="U30" s="88" t="s">
        <v>941</v>
      </c>
      <c r="V30" s="453">
        <v>4</v>
      </c>
      <c r="W30" s="453">
        <v>1</v>
      </c>
      <c r="X30" s="453" t="s">
        <v>340</v>
      </c>
      <c r="Y30" s="453" t="s">
        <v>340</v>
      </c>
      <c r="Z30" s="146" t="s">
        <v>340</v>
      </c>
      <c r="AA30" s="146">
        <v>2</v>
      </c>
      <c r="AB30" s="146">
        <v>1</v>
      </c>
      <c r="AC30" s="453">
        <v>2</v>
      </c>
      <c r="AD30" s="453">
        <v>2</v>
      </c>
      <c r="AE30" s="453">
        <v>1</v>
      </c>
      <c r="AF30" s="453" t="b">
        <v>1</v>
      </c>
      <c r="AG30" s="453">
        <f t="shared" si="3"/>
        <v>2</v>
      </c>
      <c r="AH30" s="453">
        <f t="shared" si="4"/>
        <v>1</v>
      </c>
      <c r="AI30" s="138">
        <f>IF(NOT(OR(Z30=1,Z30=2)),IF(AQ30&gt;0,$AR$44*AQ30/SUMIF($AQ$8:$AQ$39,"&gt;0"),IF(AU30&gt;0,$AV$44*AU30/SUMIF($AU$8:$AU$39,"&gt;0"),IF(AS30&gt;0,$AT$44*AS30/SUMIF($AS$8:$AS$39,"&gt;0"),""))),IF(SUMIF(AJ31:$AJ$39,"=" &amp; AJ30,AI31:$AI$39)=0,"",SUMIF(AJ31:$AJ$39,"=" &amp; AJ30,AI31:$AI$39)))</f>
        <v>6.1538461538461542E-2</v>
      </c>
      <c r="AJ30" s="139">
        <f t="shared" si="34"/>
        <v>5</v>
      </c>
      <c r="AK30" s="453">
        <f t="shared" si="27"/>
        <v>2</v>
      </c>
      <c r="AL30" s="146">
        <f t="shared" si="28"/>
        <v>4</v>
      </c>
      <c r="AM30" s="146">
        <f t="shared" si="35"/>
        <v>1</v>
      </c>
      <c r="AN30" s="146" t="str">
        <f t="shared" si="5"/>
        <v/>
      </c>
      <c r="AO30" s="146" t="str">
        <f t="shared" si="6"/>
        <v/>
      </c>
      <c r="AP30" s="453" t="b">
        <f t="shared" si="7"/>
        <v>0</v>
      </c>
      <c r="AQ30" s="140">
        <f t="shared" si="29"/>
        <v>1</v>
      </c>
      <c r="AR30" s="141">
        <f t="shared" si="8"/>
        <v>1</v>
      </c>
      <c r="AS30" s="142">
        <f t="shared" si="30"/>
        <v>0</v>
      </c>
      <c r="AT30" s="141" t="str">
        <f t="shared" si="9"/>
        <v/>
      </c>
      <c r="AU30" s="143">
        <f t="shared" si="10"/>
        <v>0</v>
      </c>
      <c r="AV30" s="144">
        <f t="shared" si="11"/>
        <v>1</v>
      </c>
      <c r="AW30" s="143" t="b">
        <f t="shared" si="12"/>
        <v>0</v>
      </c>
      <c r="AX30" s="145" t="b">
        <f t="shared" si="13"/>
        <v>0</v>
      </c>
      <c r="AY30" s="143" t="b">
        <f t="shared" si="14"/>
        <v>0</v>
      </c>
      <c r="AZ30" s="145" t="b">
        <f t="shared" si="15"/>
        <v>0</v>
      </c>
      <c r="BA30" s="453" t="b">
        <f t="shared" si="16"/>
        <v>0</v>
      </c>
      <c r="BB30" s="453" t="b">
        <f t="shared" si="17"/>
        <v>0</v>
      </c>
      <c r="BC30" s="143" t="b">
        <f t="shared" si="18"/>
        <v>0</v>
      </c>
      <c r="BD30" s="146" t="b">
        <f t="shared" si="31"/>
        <v>0</v>
      </c>
      <c r="BE30" s="145" t="b">
        <f t="shared" si="37"/>
        <v>0</v>
      </c>
      <c r="BF30" s="147" t="b">
        <f t="shared" si="20"/>
        <v>0</v>
      </c>
      <c r="BG30" s="453" t="b">
        <f t="shared" si="38"/>
        <v>0</v>
      </c>
      <c r="BH30" s="453">
        <f t="shared" si="32"/>
        <v>4</v>
      </c>
      <c r="BI30" s="453">
        <f t="shared" si="22"/>
        <v>2</v>
      </c>
      <c r="BJ30" s="453" t="str">
        <f t="shared" si="23"/>
        <v>2*</v>
      </c>
      <c r="BK30" s="453">
        <f t="shared" si="24"/>
        <v>2</v>
      </c>
      <c r="BL30" s="148">
        <f t="shared" si="33"/>
        <v>4</v>
      </c>
      <c r="BM30" s="453">
        <f t="shared" si="25"/>
        <v>2</v>
      </c>
      <c r="BN30" s="453">
        <f t="shared" si="26"/>
        <v>2</v>
      </c>
      <c r="BO30" s="90"/>
    </row>
    <row r="31" spans="2:73" s="94" customFormat="1" ht="12.95" customHeight="1" x14ac:dyDescent="0.2">
      <c r="B31" s="151">
        <f>IF(ISNA(Z31),"",IF(OR(Z31=1,Z31=2),"    ",MAX($B$8:B30)+1))</f>
        <v>18</v>
      </c>
      <c r="C31" s="904" t="str">
        <f t="shared" si="0"/>
        <v xml:space="preserve">      - Back-Side Anchor (6.2%)</v>
      </c>
      <c r="D31" s="904"/>
      <c r="E31" s="904"/>
      <c r="F31" s="905"/>
      <c r="G31" s="133">
        <f t="shared" si="1"/>
        <v>1</v>
      </c>
      <c r="H31" s="134" t="str">
        <f t="shared" si="2"/>
        <v>1*</v>
      </c>
      <c r="I31" s="152">
        <f t="shared" si="2"/>
        <v>2</v>
      </c>
      <c r="J31" s="157">
        <v>1</v>
      </c>
      <c r="K31" s="154">
        <v>3</v>
      </c>
      <c r="L31" s="1015"/>
      <c r="M31" s="1016"/>
      <c r="N31" s="1016"/>
      <c r="O31" s="1016"/>
      <c r="P31" s="1016"/>
      <c r="Q31" s="1016"/>
      <c r="R31" s="1017"/>
      <c r="T31" s="99">
        <v>24</v>
      </c>
      <c r="U31" s="88" t="s">
        <v>942</v>
      </c>
      <c r="V31" s="453">
        <v>1</v>
      </c>
      <c r="W31" s="453">
        <v>1</v>
      </c>
      <c r="X31" s="453" t="s">
        <v>340</v>
      </c>
      <c r="Y31" s="453" t="s">
        <v>340</v>
      </c>
      <c r="Z31" s="146" t="s">
        <v>340</v>
      </c>
      <c r="AA31" s="146">
        <v>2</v>
      </c>
      <c r="AB31" s="146">
        <v>1</v>
      </c>
      <c r="AC31" s="453">
        <v>2</v>
      </c>
      <c r="AD31" s="453">
        <v>1</v>
      </c>
      <c r="AE31" s="453">
        <v>1</v>
      </c>
      <c r="AF31" s="453" t="b">
        <v>1</v>
      </c>
      <c r="AG31" s="453">
        <f t="shared" si="3"/>
        <v>2</v>
      </c>
      <c r="AH31" s="453">
        <f t="shared" si="4"/>
        <v>1</v>
      </c>
      <c r="AI31" s="138">
        <f>IF(NOT(OR(Z31=1,Z31=2)),IF(AQ31&gt;0,$AR$44*AQ31/SUMIF($AQ$8:$AQ$39,"&gt;0"),IF(AU31&gt;0,$AV$44*AU31/SUMIF($AU$8:$AU$39,"&gt;0"),IF(AS31&gt;0,$AT$44*AS31/SUMIF($AS$8:$AS$39,"&gt;0"),""))),IF(SUMIF(AJ32:$AJ$39,"=" &amp; AJ31,AI32:$AI$39)=0,"",SUMIF(AJ32:$AJ$39,"=" &amp; AJ31,AI32:$AI$39)))</f>
        <v>6.1538461538461542E-2</v>
      </c>
      <c r="AJ31" s="139">
        <f t="shared" si="34"/>
        <v>5</v>
      </c>
      <c r="AK31" s="453">
        <f t="shared" si="27"/>
        <v>1</v>
      </c>
      <c r="AL31" s="146">
        <f t="shared" si="28"/>
        <v>3</v>
      </c>
      <c r="AM31" s="146">
        <f t="shared" si="35"/>
        <v>1</v>
      </c>
      <c r="AN31" s="146" t="str">
        <f t="shared" si="5"/>
        <v/>
      </c>
      <c r="AO31" s="146" t="str">
        <f t="shared" si="6"/>
        <v/>
      </c>
      <c r="AP31" s="453" t="b">
        <f t="shared" si="7"/>
        <v>0</v>
      </c>
      <c r="AQ31" s="140">
        <f t="shared" si="29"/>
        <v>1</v>
      </c>
      <c r="AR31" s="141">
        <f t="shared" si="8"/>
        <v>0.95</v>
      </c>
      <c r="AS31" s="142">
        <f t="shared" si="30"/>
        <v>0</v>
      </c>
      <c r="AT31" s="141" t="str">
        <f t="shared" si="9"/>
        <v/>
      </c>
      <c r="AU31" s="143">
        <f t="shared" si="10"/>
        <v>0</v>
      </c>
      <c r="AV31" s="144">
        <f t="shared" si="11"/>
        <v>0.95</v>
      </c>
      <c r="AW31" s="143" t="b">
        <f t="shared" si="12"/>
        <v>0</v>
      </c>
      <c r="AX31" s="145" t="b">
        <f t="shared" si="13"/>
        <v>0</v>
      </c>
      <c r="AY31" s="143" t="b">
        <f t="shared" si="14"/>
        <v>0</v>
      </c>
      <c r="AZ31" s="145" t="b">
        <f t="shared" si="15"/>
        <v>0</v>
      </c>
      <c r="BA31" s="453" t="b">
        <f t="shared" si="16"/>
        <v>0</v>
      </c>
      <c r="BB31" s="453" t="b">
        <f t="shared" si="17"/>
        <v>0</v>
      </c>
      <c r="BC31" s="143" t="b">
        <f t="shared" si="18"/>
        <v>0</v>
      </c>
      <c r="BD31" s="146" t="b">
        <f>IF(OR(ISNA($Z31),ISNUMBER($Z31),NOT(ISNUMBER(K31))),FALSE,OR(NOT(ISNUMBER(J31)),J31=0,AND(J31=0,K31&lt;&gt;0)))</f>
        <v>0</v>
      </c>
      <c r="BE31" s="145" t="b">
        <f t="shared" si="37"/>
        <v>0</v>
      </c>
      <c r="BF31" s="147" t="b">
        <f>IF(OR(ISNA($Z31),H31&lt;&gt;"NG"),FALSE,IF(AND(J31="NA",K31&lt;&gt;""),TRUE,FALSE))</f>
        <v>0</v>
      </c>
      <c r="BG31" s="453" t="b">
        <f t="shared" si="38"/>
        <v>0</v>
      </c>
      <c r="BH31" s="453">
        <f t="shared" si="32"/>
        <v>1</v>
      </c>
      <c r="BI31" s="453">
        <f t="shared" si="22"/>
        <v>1</v>
      </c>
      <c r="BJ31" s="453" t="str">
        <f t="shared" si="23"/>
        <v>1*</v>
      </c>
      <c r="BK31" s="453">
        <f t="shared" si="24"/>
        <v>2</v>
      </c>
      <c r="BL31" s="148">
        <f t="shared" si="33"/>
        <v>1</v>
      </c>
      <c r="BM31" s="453">
        <f t="shared" si="25"/>
        <v>1</v>
      </c>
      <c r="BN31" s="453">
        <f t="shared" si="26"/>
        <v>2</v>
      </c>
      <c r="BO31" s="155" t="s">
        <v>368</v>
      </c>
      <c r="BP31" s="161" t="s">
        <v>369</v>
      </c>
    </row>
    <row r="32" spans="2:73" s="94" customFormat="1" ht="12.95" customHeight="1" x14ac:dyDescent="0.2">
      <c r="B32" s="151" t="str">
        <f>IF(ISNA(Z32),"",IF(OR(Z32=1,Z32=2),"    ",MAX($B$8:B31)+1))</f>
        <v xml:space="preserve">    </v>
      </c>
      <c r="C32" s="904" t="str">
        <f t="shared" si="0"/>
        <v>Bonus Tasks (5.0%)</v>
      </c>
      <c r="D32" s="904"/>
      <c r="E32" s="904"/>
      <c r="F32" s="905"/>
      <c r="G32" s="133" t="str">
        <f t="shared" si="1"/>
        <v/>
      </c>
      <c r="H32" s="134" t="str">
        <f t="shared" si="2"/>
        <v/>
      </c>
      <c r="I32" s="152" t="str">
        <f t="shared" si="2"/>
        <v/>
      </c>
      <c r="J32" s="158" t="s">
        <v>340</v>
      </c>
      <c r="K32" s="159" t="s">
        <v>340</v>
      </c>
      <c r="L32" s="1015"/>
      <c r="M32" s="1016"/>
      <c r="N32" s="1016"/>
      <c r="O32" s="1016"/>
      <c r="P32" s="1016"/>
      <c r="Q32" s="1016"/>
      <c r="R32" s="1017"/>
      <c r="T32" s="99">
        <v>25</v>
      </c>
      <c r="U32" s="88" t="s">
        <v>943</v>
      </c>
      <c r="V32" s="453" t="s">
        <v>340</v>
      </c>
      <c r="W32" s="453" t="s">
        <v>340</v>
      </c>
      <c r="X32" s="453" t="s">
        <v>340</v>
      </c>
      <c r="Y32" s="453" t="s">
        <v>340</v>
      </c>
      <c r="Z32" s="146">
        <v>2</v>
      </c>
      <c r="AA32" s="146">
        <v>1</v>
      </c>
      <c r="AB32" s="146">
        <v>1</v>
      </c>
      <c r="AC32" s="453" t="s">
        <v>340</v>
      </c>
      <c r="AD32" s="453" t="s">
        <v>340</v>
      </c>
      <c r="AE32" s="453" t="s">
        <v>340</v>
      </c>
      <c r="AF32" s="453" t="s">
        <v>340</v>
      </c>
      <c r="AG32" s="453" t="str">
        <f t="shared" si="3"/>
        <v/>
      </c>
      <c r="AH32" s="453" t="str">
        <f t="shared" si="4"/>
        <v/>
      </c>
      <c r="AI32" s="138">
        <f>IF(NOT(OR(Z32=1,Z32=2)),IF(AQ32&gt;0,$AR$44*AQ32/SUMIF($AQ$8:$AQ$39,"&gt;0"),IF(AU32&gt;0,$AV$44*AU32/SUMIF($AU$8:$AU$39,"&gt;0"),IF(AS32&gt;0,$AT$44*AS32/SUMIF($AS$8:$AS$39,"&gt;0"),""))),IF(SUMIF(AJ33:$AJ$39,"=" &amp; AJ32,AI33:$AI$39)=0,"",SUMIF(AJ33:$AJ$39,"=" &amp; AJ32,AI33:$AI$39)))</f>
        <v>0.05</v>
      </c>
      <c r="AJ32" s="139">
        <f t="shared" si="34"/>
        <v>6</v>
      </c>
      <c r="AK32" s="453" t="str">
        <f t="shared" si="27"/>
        <v/>
      </c>
      <c r="AL32" s="146" t="str">
        <f t="shared" si="28"/>
        <v/>
      </c>
      <c r="AM32" s="146" t="str">
        <f t="shared" si="35"/>
        <v/>
      </c>
      <c r="AN32" s="146" t="str">
        <f t="shared" si="5"/>
        <v/>
      </c>
      <c r="AO32" s="146" t="str">
        <f t="shared" si="6"/>
        <v/>
      </c>
      <c r="AP32" s="453" t="str">
        <f t="shared" si="7"/>
        <v/>
      </c>
      <c r="AQ32" s="140">
        <f t="shared" si="29"/>
        <v>0</v>
      </c>
      <c r="AR32" s="141" t="str">
        <f t="shared" si="8"/>
        <v/>
      </c>
      <c r="AS32" s="142">
        <f t="shared" si="30"/>
        <v>0</v>
      </c>
      <c r="AT32" s="141" t="str">
        <f t="shared" si="9"/>
        <v/>
      </c>
      <c r="AU32" s="143">
        <f t="shared" si="10"/>
        <v>0</v>
      </c>
      <c r="AV32" s="144" t="str">
        <f t="shared" si="11"/>
        <v/>
      </c>
      <c r="AW32" s="143" t="b">
        <f t="shared" si="12"/>
        <v>0</v>
      </c>
      <c r="AX32" s="145" t="b">
        <f t="shared" si="13"/>
        <v>0</v>
      </c>
      <c r="AY32" s="143" t="b">
        <f t="shared" si="14"/>
        <v>0</v>
      </c>
      <c r="AZ32" s="145" t="b">
        <f t="shared" si="15"/>
        <v>0</v>
      </c>
      <c r="BA32" s="453" t="b">
        <f t="shared" si="16"/>
        <v>0</v>
      </c>
      <c r="BB32" s="453" t="b">
        <f t="shared" si="17"/>
        <v>0</v>
      </c>
      <c r="BC32" s="143" t="b">
        <f t="shared" si="18"/>
        <v>0</v>
      </c>
      <c r="BD32" s="146" t="b">
        <f t="shared" si="31"/>
        <v>0</v>
      </c>
      <c r="BE32" s="145" t="b">
        <f t="shared" si="37"/>
        <v>0</v>
      </c>
      <c r="BF32" s="147" t="b">
        <f t="shared" ref="BF32:BF39" si="39">IF(OR(ISNA($Z32),H32&lt;&gt;"NG"),FALSE,IF(AND(J32="NA",K32&lt;&gt;""),TRUE,FALSE))</f>
        <v>0</v>
      </c>
      <c r="BG32" s="453" t="b">
        <f t="shared" si="38"/>
        <v>0</v>
      </c>
      <c r="BH32" s="453" t="str">
        <f t="shared" si="32"/>
        <v/>
      </c>
      <c r="BI32" s="453" t="str">
        <f t="shared" si="22"/>
        <v/>
      </c>
      <c r="BJ32" s="453" t="str">
        <f t="shared" si="23"/>
        <v/>
      </c>
      <c r="BK32" s="453" t="str">
        <f t="shared" si="24"/>
        <v/>
      </c>
      <c r="BL32" s="148" t="str">
        <f t="shared" si="33"/>
        <v/>
      </c>
      <c r="BM32" s="453" t="str">
        <f t="shared" si="25"/>
        <v/>
      </c>
      <c r="BN32" s="453" t="str">
        <f t="shared" si="26"/>
        <v/>
      </c>
      <c r="BO32" s="155" t="s">
        <v>370</v>
      </c>
      <c r="BP32" s="161" t="s">
        <v>371</v>
      </c>
    </row>
    <row r="33" spans="2:73" s="94" customFormat="1" ht="12.95" customHeight="1" x14ac:dyDescent="0.2">
      <c r="B33" s="151">
        <f>IF(ISNA(Z33),"",IF(OR(Z33=1,Z33=2),"    ",MAX($B$8:B32)+1))</f>
        <v>19</v>
      </c>
      <c r="C33" s="904" t="str">
        <f t="shared" si="0"/>
        <v xml:space="preserve">      - T-38: Pseudo SETOS Turn Perf (2.5%) Bonus</v>
      </c>
      <c r="D33" s="904"/>
      <c r="E33" s="904"/>
      <c r="F33" s="905"/>
      <c r="G33" s="133">
        <f t="shared" si="1"/>
        <v>0</v>
      </c>
      <c r="H33" s="134" t="str">
        <f t="shared" si="2"/>
        <v>1</v>
      </c>
      <c r="I33" s="152">
        <f t="shared" si="2"/>
        <v>2</v>
      </c>
      <c r="J33" s="157" t="s">
        <v>340</v>
      </c>
      <c r="K33" s="154" t="s">
        <v>340</v>
      </c>
      <c r="L33" s="1015"/>
      <c r="M33" s="1016"/>
      <c r="N33" s="1016"/>
      <c r="O33" s="1016"/>
      <c r="P33" s="1016"/>
      <c r="Q33" s="1016"/>
      <c r="R33" s="1017"/>
      <c r="T33" s="99">
        <v>26</v>
      </c>
      <c r="U33" s="88" t="s">
        <v>944</v>
      </c>
      <c r="V33" s="453">
        <v>0</v>
      </c>
      <c r="W33" s="453" t="s">
        <v>340</v>
      </c>
      <c r="X33" s="453" t="s">
        <v>340</v>
      </c>
      <c r="Y33" s="453">
        <v>1</v>
      </c>
      <c r="Z33" s="146" t="s">
        <v>340</v>
      </c>
      <c r="AA33" s="146">
        <v>2</v>
      </c>
      <c r="AB33" s="146">
        <v>1</v>
      </c>
      <c r="AC33" s="453">
        <v>2</v>
      </c>
      <c r="AD33" s="453">
        <v>1</v>
      </c>
      <c r="AE33" s="453">
        <v>0</v>
      </c>
      <c r="AF33" s="453" t="b">
        <v>1</v>
      </c>
      <c r="AG33" s="453">
        <f t="shared" si="3"/>
        <v>2</v>
      </c>
      <c r="AH33" s="453">
        <f t="shared" si="4"/>
        <v>1</v>
      </c>
      <c r="AI33" s="138">
        <f>IF(NOT(OR(Z33=1,Z33=2)),IF(AQ33&gt;0,$AR$44*AQ33/SUMIF($AQ$8:$AQ$39,"&gt;0"),IF(AU33&gt;0,$AV$44*AU33/SUMIF($AU$8:$AU$39,"&gt;0"),IF(AS33&gt;0,$AT$44*AS33/SUMIF($AS$8:$AS$39,"&gt;0"),""))),IF(SUMIF(AJ34:$AJ$39,"=" &amp; AJ33,AI34:$AI$39)=0,"",SUMIF(AJ34:$AJ$39,"=" &amp; AJ33,AI34:$AI$39)))</f>
        <v>2.5000000000000001E-2</v>
      </c>
      <c r="AJ33" s="139">
        <f t="shared" si="34"/>
        <v>6</v>
      </c>
      <c r="AK33" s="453">
        <f t="shared" si="27"/>
        <v>1</v>
      </c>
      <c r="AL33" s="146" t="str">
        <f t="shared" si="28"/>
        <v/>
      </c>
      <c r="AM33" s="146" t="str">
        <f t="shared" si="35"/>
        <v/>
      </c>
      <c r="AN33" s="146" t="str">
        <f t="shared" si="5"/>
        <v/>
      </c>
      <c r="AO33" s="146" t="str">
        <f t="shared" si="6"/>
        <v/>
      </c>
      <c r="AP33" s="453" t="str">
        <f t="shared" si="7"/>
        <v/>
      </c>
      <c r="AQ33" s="140">
        <f t="shared" si="29"/>
        <v>0</v>
      </c>
      <c r="AR33" s="141" t="str">
        <f t="shared" si="8"/>
        <v/>
      </c>
      <c r="AS33" s="142">
        <f t="shared" si="30"/>
        <v>0</v>
      </c>
      <c r="AT33" s="141" t="str">
        <f t="shared" si="9"/>
        <v/>
      </c>
      <c r="AU33" s="143">
        <f t="shared" si="10"/>
        <v>1</v>
      </c>
      <c r="AV33" s="144" t="str">
        <f t="shared" si="11"/>
        <v/>
      </c>
      <c r="AW33" s="143" t="b">
        <f t="shared" si="12"/>
        <v>0</v>
      </c>
      <c r="AX33" s="145" t="b">
        <f t="shared" si="13"/>
        <v>0</v>
      </c>
      <c r="AY33" s="143" t="b">
        <f t="shared" si="14"/>
        <v>0</v>
      </c>
      <c r="AZ33" s="145" t="b">
        <f t="shared" si="15"/>
        <v>0</v>
      </c>
      <c r="BA33" s="453" t="b">
        <f t="shared" si="16"/>
        <v>0</v>
      </c>
      <c r="BB33" s="453" t="b">
        <f t="shared" si="17"/>
        <v>0</v>
      </c>
      <c r="BC33" s="143" t="b">
        <f t="shared" si="18"/>
        <v>0</v>
      </c>
      <c r="BD33" s="146" t="b">
        <f t="shared" si="31"/>
        <v>0</v>
      </c>
      <c r="BE33" s="145" t="b">
        <f t="shared" si="37"/>
        <v>0</v>
      </c>
      <c r="BF33" s="147" t="b">
        <f t="shared" si="39"/>
        <v>0</v>
      </c>
      <c r="BG33" s="453" t="b">
        <f t="shared" si="38"/>
        <v>0</v>
      </c>
      <c r="BH33" s="453">
        <f t="shared" si="32"/>
        <v>0</v>
      </c>
      <c r="BI33" s="453">
        <f t="shared" si="22"/>
        <v>1</v>
      </c>
      <c r="BJ33" s="453" t="str">
        <f t="shared" si="23"/>
        <v>1</v>
      </c>
      <c r="BK33" s="453">
        <f t="shared" si="24"/>
        <v>2</v>
      </c>
      <c r="BL33" s="148" t="str">
        <f t="shared" si="33"/>
        <v/>
      </c>
      <c r="BM33" s="453" t="str">
        <f t="shared" si="25"/>
        <v/>
      </c>
      <c r="BN33" s="453" t="str">
        <f t="shared" si="26"/>
        <v/>
      </c>
      <c r="BO33" s="150" t="s">
        <v>372</v>
      </c>
      <c r="BP33" s="161"/>
      <c r="BQ33" s="161"/>
      <c r="BR33" s="161"/>
      <c r="BS33" s="161"/>
      <c r="BT33" s="161"/>
      <c r="BU33" s="161"/>
    </row>
    <row r="34" spans="2:73" s="94" customFormat="1" ht="12.95" customHeight="1" x14ac:dyDescent="0.2">
      <c r="B34" s="151">
        <f>IF(ISNA(Z34),"",IF(OR(Z34=1,Z34=2),"    ",MAX($B$8:B33)+1))</f>
        <v>20</v>
      </c>
      <c r="C34" s="904" t="str">
        <f t="shared" si="0"/>
        <v xml:space="preserve">      - F-16: Low-Speed AB Turn Perf (2.5%) Bonus</v>
      </c>
      <c r="D34" s="904"/>
      <c r="E34" s="904"/>
      <c r="F34" s="905"/>
      <c r="G34" s="133">
        <f t="shared" si="1"/>
        <v>0</v>
      </c>
      <c r="H34" s="134" t="str">
        <f t="shared" si="2"/>
        <v>1</v>
      </c>
      <c r="I34" s="152">
        <f t="shared" si="2"/>
        <v>2</v>
      </c>
      <c r="J34" s="157">
        <v>1</v>
      </c>
      <c r="K34" s="154">
        <v>3</v>
      </c>
      <c r="L34" s="1015"/>
      <c r="M34" s="1016"/>
      <c r="N34" s="1016"/>
      <c r="O34" s="1016"/>
      <c r="P34" s="1016"/>
      <c r="Q34" s="1016"/>
      <c r="R34" s="1017"/>
      <c r="T34" s="99">
        <v>27</v>
      </c>
      <c r="U34" s="88" t="s">
        <v>945</v>
      </c>
      <c r="V34" s="453">
        <v>0</v>
      </c>
      <c r="W34" s="453" t="s">
        <v>340</v>
      </c>
      <c r="X34" s="453" t="s">
        <v>340</v>
      </c>
      <c r="Y34" s="453">
        <v>1</v>
      </c>
      <c r="Z34" s="146" t="s">
        <v>340</v>
      </c>
      <c r="AA34" s="146">
        <v>2</v>
      </c>
      <c r="AB34" s="146">
        <v>1</v>
      </c>
      <c r="AC34" s="453">
        <v>2</v>
      </c>
      <c r="AD34" s="453">
        <v>1</v>
      </c>
      <c r="AE34" s="453">
        <v>0</v>
      </c>
      <c r="AF34" s="453" t="b">
        <v>1</v>
      </c>
      <c r="AG34" s="453">
        <f t="shared" si="3"/>
        <v>2</v>
      </c>
      <c r="AH34" s="453">
        <f t="shared" si="4"/>
        <v>1</v>
      </c>
      <c r="AI34" s="138">
        <f>IF(NOT(OR(Z34=1,Z34=2)),IF(AQ34&gt;0,$AR$44*AQ34/SUMIF($AQ$8:$AQ$39,"&gt;0"),IF(AU34&gt;0,$AV$44*AU34/SUMIF($AU$8:$AU$39,"&gt;0"),IF(AS34&gt;0,$AT$44*AS34/SUMIF($AS$8:$AS$39,"&gt;0"),""))),IF(SUMIF(AJ35:$AJ$39,"=" &amp; AJ34,AI35:$AI$39)=0,"",SUMIF(AJ35:$AJ$39,"=" &amp; AJ34,AI35:$AI$39)))</f>
        <v>2.5000000000000001E-2</v>
      </c>
      <c r="AJ34" s="139">
        <f t="shared" si="34"/>
        <v>6</v>
      </c>
      <c r="AK34" s="453">
        <f t="shared" si="27"/>
        <v>1</v>
      </c>
      <c r="AL34" s="146">
        <f t="shared" si="28"/>
        <v>3</v>
      </c>
      <c r="AM34" s="146">
        <f t="shared" si="35"/>
        <v>1</v>
      </c>
      <c r="AN34" s="146" t="str">
        <f t="shared" si="5"/>
        <v/>
      </c>
      <c r="AO34" s="146" t="str">
        <f t="shared" si="6"/>
        <v/>
      </c>
      <c r="AP34" s="453" t="str">
        <f t="shared" si="7"/>
        <v/>
      </c>
      <c r="AQ34" s="140">
        <f t="shared" si="29"/>
        <v>0</v>
      </c>
      <c r="AR34" s="141">
        <f t="shared" si="8"/>
        <v>0.95</v>
      </c>
      <c r="AS34" s="142">
        <f t="shared" si="30"/>
        <v>0</v>
      </c>
      <c r="AT34" s="141" t="str">
        <f t="shared" si="9"/>
        <v/>
      </c>
      <c r="AU34" s="143">
        <f t="shared" si="10"/>
        <v>1</v>
      </c>
      <c r="AV34" s="144">
        <f t="shared" si="11"/>
        <v>0.95</v>
      </c>
      <c r="AW34" s="143" t="b">
        <f t="shared" si="12"/>
        <v>0</v>
      </c>
      <c r="AX34" s="145" t="b">
        <f t="shared" si="13"/>
        <v>0</v>
      </c>
      <c r="AY34" s="143" t="b">
        <f t="shared" si="14"/>
        <v>0</v>
      </c>
      <c r="AZ34" s="145" t="b">
        <f t="shared" si="15"/>
        <v>0</v>
      </c>
      <c r="BA34" s="453" t="b">
        <f t="shared" si="16"/>
        <v>0</v>
      </c>
      <c r="BB34" s="453" t="b">
        <f t="shared" si="17"/>
        <v>0</v>
      </c>
      <c r="BC34" s="143" t="b">
        <f t="shared" si="18"/>
        <v>0</v>
      </c>
      <c r="BD34" s="146" t="b">
        <f t="shared" si="31"/>
        <v>0</v>
      </c>
      <c r="BE34" s="145" t="b">
        <f t="shared" si="37"/>
        <v>0</v>
      </c>
      <c r="BF34" s="147" t="b">
        <f t="shared" si="39"/>
        <v>0</v>
      </c>
      <c r="BG34" s="453" t="b">
        <f t="shared" si="38"/>
        <v>0</v>
      </c>
      <c r="BH34" s="453">
        <f t="shared" si="32"/>
        <v>0</v>
      </c>
      <c r="BI34" s="453">
        <f t="shared" si="22"/>
        <v>1</v>
      </c>
      <c r="BJ34" s="453" t="str">
        <f t="shared" si="23"/>
        <v>1</v>
      </c>
      <c r="BK34" s="453">
        <f t="shared" si="24"/>
        <v>2</v>
      </c>
      <c r="BL34" s="148" t="str">
        <f t="shared" si="33"/>
        <v/>
      </c>
      <c r="BM34" s="453" t="str">
        <f t="shared" si="25"/>
        <v/>
      </c>
      <c r="BN34" s="453" t="str">
        <f t="shared" si="26"/>
        <v/>
      </c>
      <c r="BO34" s="1023"/>
      <c r="BP34" s="1024"/>
      <c r="BQ34" s="1024"/>
      <c r="BR34" s="1024"/>
      <c r="BS34" s="1024"/>
      <c r="BT34" s="1024"/>
      <c r="BU34" s="1025"/>
    </row>
    <row r="35" spans="2:73" s="94" customFormat="1" ht="12.95" customHeight="1" x14ac:dyDescent="0.2">
      <c r="B35" s="151" t="str">
        <f>IF(ISNA(Z35),"",IF(OR(Z35=1,Z35=2),"    ",MAX($B$8:B34)+1))</f>
        <v/>
      </c>
      <c r="C35" s="904" t="str">
        <f t="shared" si="0"/>
        <v/>
      </c>
      <c r="D35" s="904"/>
      <c r="E35" s="904"/>
      <c r="F35" s="905"/>
      <c r="G35" s="133" t="str">
        <f t="shared" si="1"/>
        <v/>
      </c>
      <c r="H35" s="134" t="str">
        <f t="shared" si="2"/>
        <v/>
      </c>
      <c r="I35" s="152" t="str">
        <f t="shared" si="2"/>
        <v/>
      </c>
      <c r="J35" s="158" t="s">
        <v>340</v>
      </c>
      <c r="K35" s="159" t="s">
        <v>340</v>
      </c>
      <c r="L35" s="1015"/>
      <c r="M35" s="1016"/>
      <c r="N35" s="1016"/>
      <c r="O35" s="1016"/>
      <c r="P35" s="1016"/>
      <c r="Q35" s="1016"/>
      <c r="R35" s="1017"/>
      <c r="T35" s="99">
        <v>28</v>
      </c>
      <c r="U35" s="88" t="e">
        <v>#N/A</v>
      </c>
      <c r="V35" s="453" t="e">
        <v>#N/A</v>
      </c>
      <c r="W35" s="453" t="e">
        <v>#N/A</v>
      </c>
      <c r="X35" s="453" t="e">
        <v>#N/A</v>
      </c>
      <c r="Y35" s="453" t="e">
        <v>#N/A</v>
      </c>
      <c r="Z35" s="146" t="e">
        <v>#N/A</v>
      </c>
      <c r="AA35" s="146" t="e">
        <v>#N/A</v>
      </c>
      <c r="AB35" s="146" t="e">
        <v>#N/A</v>
      </c>
      <c r="AC35" s="453" t="e">
        <v>#N/A</v>
      </c>
      <c r="AD35" s="453" t="e">
        <v>#N/A</v>
      </c>
      <c r="AE35" s="453" t="e">
        <v>#N/A</v>
      </c>
      <c r="AF35" s="453" t="e">
        <v>#N/A</v>
      </c>
      <c r="AG35" s="453" t="e">
        <f t="shared" si="3"/>
        <v>#N/A</v>
      </c>
      <c r="AH35" s="453" t="str">
        <f t="shared" si="4"/>
        <v/>
      </c>
      <c r="AI35" s="138" t="e">
        <f>IF(NOT(OR(Z35=1,Z35=2)),IF(AQ35&gt;0,$AR$44*AQ35/SUMIF($AQ$8:$AQ$39,"&gt;0"),IF(AU35&gt;0,$AV$44*AU35/SUMIF($AU$8:$AU$39,"&gt;0"),IF(AS35&gt;0,$AT$44*AS35/SUMIF($AS$8:$AS$39,"&gt;0"),""))),IF(SUMIF(AJ36:$AJ$39,"=" &amp; AJ35,AI36:$AI$39)=0,"",SUMIF(AJ36:$AJ$39,"=" &amp; AJ35,AI36:$AI$39)))</f>
        <v>#N/A</v>
      </c>
      <c r="AJ35" s="139" t="e">
        <f t="shared" si="34"/>
        <v>#N/A</v>
      </c>
      <c r="AK35" s="453" t="str">
        <f t="shared" si="27"/>
        <v/>
      </c>
      <c r="AL35" s="146" t="str">
        <f t="shared" si="28"/>
        <v/>
      </c>
      <c r="AM35" s="146" t="str">
        <f t="shared" si="35"/>
        <v/>
      </c>
      <c r="AN35" s="146" t="str">
        <f t="shared" si="5"/>
        <v/>
      </c>
      <c r="AO35" s="146" t="e">
        <f t="shared" si="6"/>
        <v>#N/A</v>
      </c>
      <c r="AP35" s="453" t="str">
        <f t="shared" si="7"/>
        <v/>
      </c>
      <c r="AQ35" s="140">
        <f t="shared" si="29"/>
        <v>0</v>
      </c>
      <c r="AR35" s="141" t="str">
        <f t="shared" si="8"/>
        <v/>
      </c>
      <c r="AS35" s="142">
        <f t="shared" si="30"/>
        <v>0</v>
      </c>
      <c r="AT35" s="141" t="str">
        <f t="shared" si="9"/>
        <v/>
      </c>
      <c r="AU35" s="143">
        <f t="shared" si="10"/>
        <v>0</v>
      </c>
      <c r="AV35" s="144" t="str">
        <f t="shared" si="11"/>
        <v/>
      </c>
      <c r="AW35" s="143" t="b">
        <f t="shared" si="12"/>
        <v>0</v>
      </c>
      <c r="AX35" s="145" t="b">
        <f t="shared" si="13"/>
        <v>0</v>
      </c>
      <c r="AY35" s="143" t="b">
        <f t="shared" si="14"/>
        <v>0</v>
      </c>
      <c r="AZ35" s="145" t="b">
        <f t="shared" si="15"/>
        <v>0</v>
      </c>
      <c r="BA35" s="453" t="b">
        <f t="shared" si="16"/>
        <v>0</v>
      </c>
      <c r="BB35" s="453" t="b">
        <f t="shared" si="17"/>
        <v>0</v>
      </c>
      <c r="BC35" s="143" t="b">
        <f t="shared" si="18"/>
        <v>0</v>
      </c>
      <c r="BD35" s="146" t="b">
        <f t="shared" si="31"/>
        <v>0</v>
      </c>
      <c r="BE35" s="145" t="b">
        <f t="shared" si="37"/>
        <v>0</v>
      </c>
      <c r="BF35" s="147" t="b">
        <f t="shared" si="39"/>
        <v>0</v>
      </c>
      <c r="BG35" s="453" t="str">
        <f t="shared" si="38"/>
        <v>NA</v>
      </c>
      <c r="BH35" s="453" t="str">
        <f t="shared" si="32"/>
        <v/>
      </c>
      <c r="BI35" s="453" t="str">
        <f t="shared" si="22"/>
        <v/>
      </c>
      <c r="BJ35" s="453" t="str">
        <f t="shared" si="23"/>
        <v/>
      </c>
      <c r="BK35" s="453" t="str">
        <f t="shared" si="24"/>
        <v/>
      </c>
      <c r="BL35" s="148" t="str">
        <f t="shared" si="33"/>
        <v/>
      </c>
      <c r="BM35" s="453" t="str">
        <f t="shared" si="25"/>
        <v/>
      </c>
      <c r="BN35" s="453" t="str">
        <f t="shared" si="26"/>
        <v/>
      </c>
      <c r="BO35" s="1026"/>
      <c r="BP35" s="1027"/>
      <c r="BQ35" s="1027"/>
      <c r="BR35" s="1027"/>
      <c r="BS35" s="1027"/>
      <c r="BT35" s="1027"/>
      <c r="BU35" s="1028"/>
    </row>
    <row r="36" spans="2:73" s="94" customFormat="1" ht="12.95" customHeight="1" x14ac:dyDescent="0.2">
      <c r="B36" s="151" t="str">
        <f>IF(ISNA(Z36),"",IF(OR(Z36=1,Z36=2),"    ",MAX($B$8:B35)+1))</f>
        <v/>
      </c>
      <c r="C36" s="904" t="str">
        <f t="shared" si="0"/>
        <v/>
      </c>
      <c r="D36" s="904"/>
      <c r="E36" s="904"/>
      <c r="F36" s="905"/>
      <c r="G36" s="133" t="str">
        <f t="shared" si="1"/>
        <v/>
      </c>
      <c r="H36" s="134" t="str">
        <f t="shared" si="2"/>
        <v/>
      </c>
      <c r="I36" s="152" t="str">
        <f t="shared" si="2"/>
        <v/>
      </c>
      <c r="J36" s="158" t="s">
        <v>340</v>
      </c>
      <c r="K36" s="159" t="s">
        <v>340</v>
      </c>
      <c r="L36" s="1015"/>
      <c r="M36" s="1016"/>
      <c r="N36" s="1016"/>
      <c r="O36" s="1016"/>
      <c r="P36" s="1016"/>
      <c r="Q36" s="1016"/>
      <c r="R36" s="1017"/>
      <c r="T36" s="99">
        <v>29</v>
      </c>
      <c r="U36" s="88" t="e">
        <v>#N/A</v>
      </c>
      <c r="V36" s="453" t="e">
        <v>#N/A</v>
      </c>
      <c r="W36" s="453" t="e">
        <v>#N/A</v>
      </c>
      <c r="X36" s="453" t="e">
        <v>#N/A</v>
      </c>
      <c r="Y36" s="453" t="e">
        <v>#N/A</v>
      </c>
      <c r="Z36" s="146" t="e">
        <v>#N/A</v>
      </c>
      <c r="AA36" s="146" t="e">
        <v>#N/A</v>
      </c>
      <c r="AB36" s="146" t="e">
        <v>#N/A</v>
      </c>
      <c r="AC36" s="453" t="e">
        <v>#N/A</v>
      </c>
      <c r="AD36" s="453" t="e">
        <v>#N/A</v>
      </c>
      <c r="AE36" s="453" t="e">
        <v>#N/A</v>
      </c>
      <c r="AF36" s="453" t="e">
        <v>#N/A</v>
      </c>
      <c r="AG36" s="453" t="e">
        <f t="shared" si="3"/>
        <v>#N/A</v>
      </c>
      <c r="AH36" s="453" t="str">
        <f t="shared" si="4"/>
        <v/>
      </c>
      <c r="AI36" s="138" t="e">
        <f>IF(NOT(OR(Z36=1,Z36=2)),IF(AQ36&gt;0,$AR$44*AQ36/SUMIF($AQ$8:$AQ$39,"&gt;0"),IF(AU36&gt;0,$AV$44*AU36/SUMIF($AU$8:$AU$39,"&gt;0"),IF(AS36&gt;0,$AT$44*AS36/SUMIF($AS$8:$AS$39,"&gt;0"),""))),IF(SUMIF(AJ37:$AJ$39,"=" &amp; AJ36,AI37:$AI$39)=0,"",SUMIF(AJ37:$AJ$39,"=" &amp; AJ36,AI37:$AI$39)))</f>
        <v>#N/A</v>
      </c>
      <c r="AJ36" s="139" t="e">
        <f t="shared" si="34"/>
        <v>#N/A</v>
      </c>
      <c r="AK36" s="453" t="str">
        <f t="shared" si="27"/>
        <v/>
      </c>
      <c r="AL36" s="146" t="str">
        <f t="shared" si="28"/>
        <v/>
      </c>
      <c r="AM36" s="146" t="str">
        <f t="shared" si="35"/>
        <v/>
      </c>
      <c r="AN36" s="146" t="str">
        <f t="shared" si="5"/>
        <v/>
      </c>
      <c r="AO36" s="146" t="e">
        <f t="shared" si="6"/>
        <v>#N/A</v>
      </c>
      <c r="AP36" s="453" t="str">
        <f t="shared" si="7"/>
        <v/>
      </c>
      <c r="AQ36" s="140">
        <f t="shared" si="29"/>
        <v>0</v>
      </c>
      <c r="AR36" s="141" t="str">
        <f t="shared" si="8"/>
        <v/>
      </c>
      <c r="AS36" s="142">
        <f t="shared" si="30"/>
        <v>0</v>
      </c>
      <c r="AT36" s="141" t="str">
        <f t="shared" si="9"/>
        <v/>
      </c>
      <c r="AU36" s="143">
        <f t="shared" si="10"/>
        <v>0</v>
      </c>
      <c r="AV36" s="144" t="str">
        <f t="shared" si="11"/>
        <v/>
      </c>
      <c r="AW36" s="143" t="b">
        <f t="shared" si="12"/>
        <v>0</v>
      </c>
      <c r="AX36" s="145" t="b">
        <f t="shared" si="13"/>
        <v>0</v>
      </c>
      <c r="AY36" s="143" t="b">
        <f t="shared" si="14"/>
        <v>0</v>
      </c>
      <c r="AZ36" s="145" t="b">
        <f t="shared" si="15"/>
        <v>0</v>
      </c>
      <c r="BA36" s="453" t="b">
        <f t="shared" si="16"/>
        <v>0</v>
      </c>
      <c r="BB36" s="453" t="b">
        <f t="shared" si="17"/>
        <v>0</v>
      </c>
      <c r="BC36" s="143" t="b">
        <f t="shared" si="18"/>
        <v>0</v>
      </c>
      <c r="BD36" s="146" t="b">
        <f t="shared" si="31"/>
        <v>0</v>
      </c>
      <c r="BE36" s="145" t="b">
        <f t="shared" si="37"/>
        <v>0</v>
      </c>
      <c r="BF36" s="147" t="b">
        <f t="shared" si="39"/>
        <v>0</v>
      </c>
      <c r="BG36" s="453" t="str">
        <f t="shared" si="38"/>
        <v>NA</v>
      </c>
      <c r="BH36" s="453" t="str">
        <f t="shared" si="32"/>
        <v/>
      </c>
      <c r="BI36" s="453" t="str">
        <f t="shared" si="22"/>
        <v/>
      </c>
      <c r="BJ36" s="453" t="str">
        <f t="shared" si="23"/>
        <v/>
      </c>
      <c r="BK36" s="453" t="str">
        <f t="shared" si="24"/>
        <v/>
      </c>
      <c r="BL36" s="148" t="str">
        <f t="shared" si="33"/>
        <v/>
      </c>
      <c r="BM36" s="453" t="str">
        <f t="shared" si="25"/>
        <v/>
      </c>
      <c r="BN36" s="453" t="str">
        <f t="shared" si="26"/>
        <v/>
      </c>
      <c r="BO36" s="1026"/>
      <c r="BP36" s="1027"/>
      <c r="BQ36" s="1027"/>
      <c r="BR36" s="1027"/>
      <c r="BS36" s="1027"/>
      <c r="BT36" s="1027"/>
      <c r="BU36" s="1028"/>
    </row>
    <row r="37" spans="2:73" s="94" customFormat="1" ht="12.95" customHeight="1" x14ac:dyDescent="0.2">
      <c r="B37" s="151" t="str">
        <f>IF(ISNA(Z37),"",IF(OR(Z37=1,Z37=2),"    ",MAX($B$8:B36)+1))</f>
        <v/>
      </c>
      <c r="C37" s="904" t="str">
        <f>IF(ISNA(Z37),"",CONCATENATE($U37,IF(ISNUMBER(AI37),TEXT(ROUND($AI37,3)," (0.0%)"),""),IF(AU37&gt;0," Bonus","")))</f>
        <v/>
      </c>
      <c r="D37" s="904"/>
      <c r="E37" s="904"/>
      <c r="F37" s="905"/>
      <c r="G37" s="133" t="str">
        <f t="shared" si="1"/>
        <v/>
      </c>
      <c r="H37" s="134" t="str">
        <f t="shared" si="2"/>
        <v/>
      </c>
      <c r="I37" s="152" t="str">
        <f t="shared" si="2"/>
        <v/>
      </c>
      <c r="J37" s="158" t="s">
        <v>340</v>
      </c>
      <c r="K37" s="159" t="s">
        <v>340</v>
      </c>
      <c r="L37" s="1015"/>
      <c r="M37" s="1016"/>
      <c r="N37" s="1016"/>
      <c r="O37" s="1016"/>
      <c r="P37" s="1016"/>
      <c r="Q37" s="1016"/>
      <c r="R37" s="1017"/>
      <c r="T37" s="99">
        <v>30</v>
      </c>
      <c r="U37" s="88" t="e">
        <v>#N/A</v>
      </c>
      <c r="V37" s="453" t="e">
        <v>#N/A</v>
      </c>
      <c r="W37" s="453" t="e">
        <v>#N/A</v>
      </c>
      <c r="X37" s="453" t="e">
        <v>#N/A</v>
      </c>
      <c r="Y37" s="453" t="e">
        <v>#N/A</v>
      </c>
      <c r="Z37" s="146" t="e">
        <v>#N/A</v>
      </c>
      <c r="AA37" s="146" t="e">
        <v>#N/A</v>
      </c>
      <c r="AB37" s="146" t="e">
        <v>#N/A</v>
      </c>
      <c r="AC37" s="453" t="e">
        <v>#N/A</v>
      </c>
      <c r="AD37" s="453" t="e">
        <v>#N/A</v>
      </c>
      <c r="AE37" s="453" t="e">
        <v>#N/A</v>
      </c>
      <c r="AF37" s="453" t="e">
        <v>#N/A</v>
      </c>
      <c r="AG37" s="453" t="e">
        <f t="shared" si="3"/>
        <v>#N/A</v>
      </c>
      <c r="AH37" s="453" t="str">
        <f t="shared" si="4"/>
        <v/>
      </c>
      <c r="AI37" s="138" t="e">
        <f>IF(NOT(OR(Z37=1,Z37=2)),IF(AQ37&gt;0,$AR$44*AQ37/SUMIF($AQ$8:$AQ$39,"&gt;0"),IF(AU37&gt;0,$AV$44*AU37/SUMIF($AU$8:$AU$39,"&gt;0"),IF(AS37&gt;0,$AT$44*AS37/SUMIF($AS$8:$AS$39,"&gt;0"),""))),IF(SUMIF(AJ38:$AJ$39,"=" &amp; AJ37,AI38:$AI$39)=0,"",SUMIF(AJ38:$AJ$39,"=" &amp; AJ37,AI38:$AI$39)))</f>
        <v>#N/A</v>
      </c>
      <c r="AJ37" s="139" t="e">
        <f t="shared" si="34"/>
        <v>#N/A</v>
      </c>
      <c r="AK37" s="453" t="str">
        <f t="shared" si="27"/>
        <v/>
      </c>
      <c r="AL37" s="146" t="str">
        <f t="shared" si="28"/>
        <v/>
      </c>
      <c r="AM37" s="146" t="str">
        <f t="shared" si="35"/>
        <v/>
      </c>
      <c r="AN37" s="146" t="str">
        <f>IF(ISNUMBER(AH37),IF(AND(AB37=0,ISNUMBER(AC37),ISNUMBER(AL37)),1,""),"")</f>
        <v/>
      </c>
      <c r="AO37" s="146" t="e">
        <f t="shared" si="6"/>
        <v>#N/A</v>
      </c>
      <c r="AP37" s="453" t="str">
        <f t="shared" si="7"/>
        <v/>
      </c>
      <c r="AQ37" s="140">
        <f t="shared" si="29"/>
        <v>0</v>
      </c>
      <c r="AR37" s="141" t="str">
        <f t="shared" si="8"/>
        <v/>
      </c>
      <c r="AS37" s="142">
        <f t="shared" si="30"/>
        <v>0</v>
      </c>
      <c r="AT37" s="141" t="str">
        <f t="shared" si="9"/>
        <v/>
      </c>
      <c r="AU37" s="143">
        <f t="shared" si="10"/>
        <v>0</v>
      </c>
      <c r="AV37" s="144" t="str">
        <f t="shared" si="11"/>
        <v/>
      </c>
      <c r="AW37" s="143" t="b">
        <f t="shared" si="12"/>
        <v>0</v>
      </c>
      <c r="AX37" s="145" t="b">
        <f t="shared" si="13"/>
        <v>0</v>
      </c>
      <c r="AY37" s="143" t="b">
        <f t="shared" si="14"/>
        <v>0</v>
      </c>
      <c r="AZ37" s="145" t="b">
        <f t="shared" si="15"/>
        <v>0</v>
      </c>
      <c r="BA37" s="453" t="b">
        <f t="shared" si="16"/>
        <v>0</v>
      </c>
      <c r="BB37" s="453" t="b">
        <f t="shared" si="17"/>
        <v>0</v>
      </c>
      <c r="BC37" s="143" t="b">
        <f t="shared" si="18"/>
        <v>0</v>
      </c>
      <c r="BD37" s="146" t="b">
        <f t="shared" si="31"/>
        <v>0</v>
      </c>
      <c r="BE37" s="145" t="b">
        <f t="shared" si="37"/>
        <v>0</v>
      </c>
      <c r="BF37" s="147" t="b">
        <f t="shared" si="39"/>
        <v>0</v>
      </c>
      <c r="BG37" s="453" t="str">
        <f t="shared" si="38"/>
        <v>NA</v>
      </c>
      <c r="BH37" s="453" t="str">
        <f t="shared" si="32"/>
        <v/>
      </c>
      <c r="BI37" s="453" t="str">
        <f t="shared" si="22"/>
        <v/>
      </c>
      <c r="BJ37" s="453" t="str">
        <f t="shared" si="23"/>
        <v/>
      </c>
      <c r="BK37" s="453" t="str">
        <f t="shared" si="24"/>
        <v/>
      </c>
      <c r="BL37" s="148" t="str">
        <f t="shared" si="33"/>
        <v/>
      </c>
      <c r="BM37" s="453" t="str">
        <f t="shared" si="25"/>
        <v/>
      </c>
      <c r="BN37" s="453" t="str">
        <f t="shared" si="26"/>
        <v/>
      </c>
      <c r="BO37" s="1029"/>
      <c r="BP37" s="1030"/>
      <c r="BQ37" s="1030"/>
      <c r="BR37" s="1030"/>
      <c r="BS37" s="1030"/>
      <c r="BT37" s="1030"/>
      <c r="BU37" s="1031"/>
    </row>
    <row r="38" spans="2:73" s="94" customFormat="1" ht="12.95" customHeight="1" x14ac:dyDescent="0.2">
      <c r="B38" s="151" t="str">
        <f>IF(ISNA(Z38),"",IF(OR(Z38=1,Z38=2),"    ",MAX($B$8:B37)+1))</f>
        <v/>
      </c>
      <c r="C38" s="904" t="str">
        <f t="shared" ref="C38:C39" si="40">IF(ISNA(Z38),"",CONCATENATE($U38,IF(ISNUMBER(AI38),TEXT(ROUND($AI38,3)," (0.0%)"),""),IF(AU38&gt;0," Bonus","")))</f>
        <v/>
      </c>
      <c r="D38" s="904"/>
      <c r="E38" s="904"/>
      <c r="F38" s="905"/>
      <c r="G38" s="133" t="str">
        <f t="shared" si="1"/>
        <v/>
      </c>
      <c r="H38" s="134" t="str">
        <f t="shared" si="2"/>
        <v/>
      </c>
      <c r="I38" s="152" t="str">
        <f t="shared" si="2"/>
        <v/>
      </c>
      <c r="J38" s="158" t="s">
        <v>340</v>
      </c>
      <c r="K38" s="159" t="s">
        <v>340</v>
      </c>
      <c r="L38" s="1015"/>
      <c r="M38" s="1016"/>
      <c r="N38" s="1016"/>
      <c r="O38" s="1016"/>
      <c r="P38" s="1016"/>
      <c r="Q38" s="1016"/>
      <c r="R38" s="1017"/>
      <c r="T38" s="99">
        <v>31</v>
      </c>
      <c r="U38" s="88" t="e">
        <v>#N/A</v>
      </c>
      <c r="V38" s="453" t="e">
        <v>#N/A</v>
      </c>
      <c r="W38" s="453" t="e">
        <v>#N/A</v>
      </c>
      <c r="X38" s="453" t="e">
        <v>#N/A</v>
      </c>
      <c r="Y38" s="453" t="e">
        <v>#N/A</v>
      </c>
      <c r="Z38" s="146" t="e">
        <v>#N/A</v>
      </c>
      <c r="AA38" s="146" t="e">
        <v>#N/A</v>
      </c>
      <c r="AB38" s="146" t="e">
        <v>#N/A</v>
      </c>
      <c r="AC38" s="453" t="e">
        <v>#N/A</v>
      </c>
      <c r="AD38" s="453" t="e">
        <v>#N/A</v>
      </c>
      <c r="AE38" s="453" t="e">
        <v>#N/A</v>
      </c>
      <c r="AF38" s="453" t="e">
        <v>#N/A</v>
      </c>
      <c r="AG38" s="453" t="e">
        <f t="shared" si="3"/>
        <v>#N/A</v>
      </c>
      <c r="AH38" s="453" t="str">
        <f t="shared" si="4"/>
        <v/>
      </c>
      <c r="AI38" s="138" t="e">
        <f>IF(NOT(OR(Z38=1,Z38=2)),IF(AQ38&gt;0,$AR$44*AQ38/SUMIF($AQ$8:$AQ$39,"&gt;0"),IF(AU38&gt;0,$AV$44*AU38/SUMIF($AU$8:$AU$39,"&gt;0"),IF(AS38&gt;0,$AT$44*AS38/SUMIF($AS$8:$AS$39,"&gt;0"),""))),IF(SUMIF(AJ39:$AJ$39,"=" &amp; AJ38,AI39:$AI$39)=0,"",SUMIF(AJ39:$AJ$39,"=" &amp; AJ38,AI39:$AI$39)))</f>
        <v>#N/A</v>
      </c>
      <c r="AJ38" s="139" t="e">
        <f t="shared" si="34"/>
        <v>#N/A</v>
      </c>
      <c r="AK38" s="453" t="str">
        <f t="shared" si="27"/>
        <v/>
      </c>
      <c r="AL38" s="146" t="str">
        <f t="shared" si="28"/>
        <v/>
      </c>
      <c r="AM38" s="146" t="str">
        <f t="shared" si="35"/>
        <v/>
      </c>
      <c r="AN38" s="146" t="str">
        <f>IF(ISNUMBER(AH38),IF(AND(AB38=0,ISNUMBER(AC38),ISNUMBER(AL38)),1,""),"")</f>
        <v/>
      </c>
      <c r="AO38" s="146" t="e">
        <f t="shared" si="6"/>
        <v>#N/A</v>
      </c>
      <c r="AP38" s="453" t="str">
        <f t="shared" si="7"/>
        <v/>
      </c>
      <c r="AQ38" s="140">
        <f t="shared" si="29"/>
        <v>0</v>
      </c>
      <c r="AR38" s="141" t="str">
        <f t="shared" si="8"/>
        <v/>
      </c>
      <c r="AS38" s="142">
        <f t="shared" si="30"/>
        <v>0</v>
      </c>
      <c r="AT38" s="141" t="str">
        <f t="shared" si="9"/>
        <v/>
      </c>
      <c r="AU38" s="143">
        <f t="shared" si="10"/>
        <v>0</v>
      </c>
      <c r="AV38" s="144" t="str">
        <f t="shared" si="11"/>
        <v/>
      </c>
      <c r="AW38" s="143" t="b">
        <f t="shared" si="12"/>
        <v>0</v>
      </c>
      <c r="AX38" s="145" t="b">
        <f t="shared" si="13"/>
        <v>0</v>
      </c>
      <c r="AY38" s="143" t="b">
        <f t="shared" si="14"/>
        <v>0</v>
      </c>
      <c r="AZ38" s="145" t="b">
        <f t="shared" si="15"/>
        <v>0</v>
      </c>
      <c r="BA38" s="453" t="b">
        <f t="shared" si="16"/>
        <v>0</v>
      </c>
      <c r="BB38" s="453" t="b">
        <f t="shared" si="17"/>
        <v>0</v>
      </c>
      <c r="BC38" s="143" t="b">
        <f t="shared" si="18"/>
        <v>0</v>
      </c>
      <c r="BD38" s="146" t="b">
        <f t="shared" si="31"/>
        <v>0</v>
      </c>
      <c r="BE38" s="145" t="b">
        <f t="shared" si="37"/>
        <v>0</v>
      </c>
      <c r="BF38" s="147" t="b">
        <f t="shared" si="39"/>
        <v>0</v>
      </c>
      <c r="BG38" s="453" t="str">
        <f t="shared" si="38"/>
        <v>NA</v>
      </c>
      <c r="BH38" s="453" t="str">
        <f t="shared" si="32"/>
        <v/>
      </c>
      <c r="BI38" s="453" t="str">
        <f t="shared" si="22"/>
        <v/>
      </c>
      <c r="BJ38" s="453" t="str">
        <f t="shared" si="23"/>
        <v/>
      </c>
      <c r="BK38" s="453" t="str">
        <f t="shared" si="24"/>
        <v/>
      </c>
      <c r="BL38" s="148" t="str">
        <f t="shared" si="33"/>
        <v/>
      </c>
      <c r="BM38" s="453" t="str">
        <f t="shared" si="25"/>
        <v/>
      </c>
      <c r="BN38" s="453" t="str">
        <f t="shared" si="26"/>
        <v/>
      </c>
      <c r="BO38" s="150" t="s">
        <v>373</v>
      </c>
      <c r="BP38" s="150"/>
      <c r="BQ38" s="150"/>
      <c r="BR38" s="150"/>
      <c r="BS38" s="150"/>
      <c r="BT38" s="150"/>
      <c r="BU38" s="150"/>
    </row>
    <row r="39" spans="2:73" s="94" customFormat="1" ht="12.95" customHeight="1" thickBot="1" x14ac:dyDescent="0.25">
      <c r="B39" s="151" t="str">
        <f>IF(ISNA(Z39),"",IF(OR(Z39=1,Z39=2),"    ",MAX($B$8:B38)+1))</f>
        <v/>
      </c>
      <c r="C39" s="904" t="str">
        <f t="shared" si="40"/>
        <v/>
      </c>
      <c r="D39" s="904"/>
      <c r="E39" s="904"/>
      <c r="F39" s="905"/>
      <c r="G39" s="171" t="str">
        <f t="shared" si="1"/>
        <v/>
      </c>
      <c r="H39" s="134" t="str">
        <f t="shared" si="2"/>
        <v/>
      </c>
      <c r="I39" s="172" t="str">
        <f t="shared" si="2"/>
        <v/>
      </c>
      <c r="J39" s="173" t="s">
        <v>340</v>
      </c>
      <c r="K39" s="174" t="s">
        <v>340</v>
      </c>
      <c r="L39" s="1018"/>
      <c r="M39" s="1019"/>
      <c r="N39" s="1019"/>
      <c r="O39" s="1019"/>
      <c r="P39" s="1019"/>
      <c r="Q39" s="1019"/>
      <c r="R39" s="1020"/>
      <c r="T39" s="99">
        <v>32</v>
      </c>
      <c r="U39" s="88" t="e">
        <v>#N/A</v>
      </c>
      <c r="V39" s="453" t="e">
        <v>#N/A</v>
      </c>
      <c r="W39" s="453" t="e">
        <v>#N/A</v>
      </c>
      <c r="X39" s="453" t="e">
        <v>#N/A</v>
      </c>
      <c r="Y39" s="453" t="e">
        <v>#N/A</v>
      </c>
      <c r="Z39" s="146" t="e">
        <v>#N/A</v>
      </c>
      <c r="AA39" s="146" t="e">
        <v>#N/A</v>
      </c>
      <c r="AB39" s="146" t="e">
        <v>#N/A</v>
      </c>
      <c r="AC39" s="453" t="e">
        <v>#N/A</v>
      </c>
      <c r="AD39" s="453" t="e">
        <v>#N/A</v>
      </c>
      <c r="AE39" s="453" t="e">
        <v>#N/A</v>
      </c>
      <c r="AF39" s="453" t="e">
        <v>#N/A</v>
      </c>
      <c r="AG39" s="453" t="e">
        <f t="shared" si="3"/>
        <v>#N/A</v>
      </c>
      <c r="AH39" s="453" t="str">
        <f t="shared" si="4"/>
        <v/>
      </c>
      <c r="AI39" s="138" t="e">
        <f>IF(NOT(OR(Z39=1,Z39=2)),IF(AQ39&gt;0,$AR$44*AQ39/SUMIF($AQ$8:$AQ$39,"&gt;0"),IF(AU39&gt;0,$AV$44*AU39/SUMIF($AU$8:$AU$39,"&gt;0"),IF(AS39&gt;0,$AT$44*AS39/SUMIF($AS$8:$AS$39,"&gt;0"),""))),IF(SUMIF(AJ$39:$AJ40,"=" &amp; AJ39,AI$39:$AI40)=0,"",SUMIF(AJ$39:$AJ40,"=" &amp; AJ39,AI$39:$AI40)))</f>
        <v>#N/A</v>
      </c>
      <c r="AJ39" s="139" t="e">
        <f t="shared" si="34"/>
        <v>#N/A</v>
      </c>
      <c r="AK39" s="453" t="str">
        <f t="shared" si="27"/>
        <v/>
      </c>
      <c r="AL39" s="146" t="str">
        <f t="shared" si="28"/>
        <v/>
      </c>
      <c r="AM39" s="146" t="str">
        <f t="shared" si="35"/>
        <v/>
      </c>
      <c r="AN39" s="146" t="str">
        <f>IF(ISNUMBER(AH39),IF(AND(AB39=0,ISNUMBER(AC39),ISNUMBER(AL39)),1,""),"")</f>
        <v/>
      </c>
      <c r="AO39" s="146" t="e">
        <f t="shared" si="6"/>
        <v>#N/A</v>
      </c>
      <c r="AP39" s="453" t="str">
        <f t="shared" si="7"/>
        <v/>
      </c>
      <c r="AQ39" s="140">
        <f t="shared" si="29"/>
        <v>0</v>
      </c>
      <c r="AR39" s="141" t="str">
        <f t="shared" si="8"/>
        <v/>
      </c>
      <c r="AS39" s="142">
        <f t="shared" si="30"/>
        <v>0</v>
      </c>
      <c r="AT39" s="141" t="str">
        <f t="shared" si="9"/>
        <v/>
      </c>
      <c r="AU39" s="143">
        <f t="shared" si="10"/>
        <v>0</v>
      </c>
      <c r="AV39" s="144" t="str">
        <f t="shared" si="11"/>
        <v/>
      </c>
      <c r="AW39" s="143" t="b">
        <f t="shared" si="12"/>
        <v>0</v>
      </c>
      <c r="AX39" s="145" t="b">
        <f t="shared" si="13"/>
        <v>0</v>
      </c>
      <c r="AY39" s="143" t="b">
        <f t="shared" si="14"/>
        <v>0</v>
      </c>
      <c r="AZ39" s="145" t="b">
        <f t="shared" si="15"/>
        <v>0</v>
      </c>
      <c r="BA39" s="453" t="b">
        <f t="shared" si="16"/>
        <v>0</v>
      </c>
      <c r="BB39" s="453" t="b">
        <f t="shared" si="17"/>
        <v>0</v>
      </c>
      <c r="BC39" s="143" t="b">
        <f t="shared" si="18"/>
        <v>0</v>
      </c>
      <c r="BD39" s="146" t="b">
        <f t="shared" si="31"/>
        <v>0</v>
      </c>
      <c r="BE39" s="145" t="b">
        <f t="shared" si="37"/>
        <v>0</v>
      </c>
      <c r="BF39" s="147" t="b">
        <f t="shared" si="39"/>
        <v>0</v>
      </c>
      <c r="BG39" s="453" t="str">
        <f t="shared" si="38"/>
        <v>NA</v>
      </c>
      <c r="BH39" s="453" t="str">
        <f t="shared" si="32"/>
        <v/>
      </c>
      <c r="BI39" s="453" t="str">
        <f t="shared" si="22"/>
        <v/>
      </c>
      <c r="BJ39" s="453" t="str">
        <f t="shared" si="23"/>
        <v/>
      </c>
      <c r="BK39" s="453" t="str">
        <f t="shared" si="24"/>
        <v/>
      </c>
      <c r="BL39" s="453" t="str">
        <f t="shared" si="33"/>
        <v/>
      </c>
      <c r="BM39" s="453" t="str">
        <f t="shared" si="25"/>
        <v/>
      </c>
      <c r="BN39" s="453" t="str">
        <f t="shared" si="26"/>
        <v/>
      </c>
      <c r="BO39" s="1023"/>
      <c r="BP39" s="1024"/>
      <c r="BQ39" s="1024"/>
      <c r="BR39" s="1024"/>
      <c r="BS39" s="1024"/>
      <c r="BT39" s="1024"/>
      <c r="BU39" s="1025"/>
    </row>
    <row r="40" spans="2:73" s="91" customFormat="1" ht="8.25" customHeight="1" x14ac:dyDescent="0.2">
      <c r="B40" s="915" t="s">
        <v>374</v>
      </c>
      <c r="C40" s="916"/>
      <c r="D40" s="917"/>
      <c r="E40" s="452" t="s">
        <v>375</v>
      </c>
      <c r="F40" s="918" t="s">
        <v>376</v>
      </c>
      <c r="G40" s="919"/>
      <c r="H40" s="919" t="s">
        <v>377</v>
      </c>
      <c r="I40" s="919"/>
      <c r="J40" s="920" t="s">
        <v>378</v>
      </c>
      <c r="K40" s="921"/>
      <c r="L40" s="175" t="s">
        <v>379</v>
      </c>
      <c r="M40" s="922" t="s">
        <v>380</v>
      </c>
      <c r="N40" s="922"/>
      <c r="O40" s="923" t="str">
        <f>IF(U44,"DO REVIEW","DO REV N/A")</f>
        <v>DO REV N/A</v>
      </c>
      <c r="P40" s="924"/>
      <c r="Q40" s="176" t="str">
        <f>IF(U45,"ED REVIEW","ED REV N/A")</f>
        <v>ED REV N/A</v>
      </c>
      <c r="R40" s="177"/>
      <c r="S40" s="178">
        <v>0</v>
      </c>
      <c r="AI40" s="179"/>
      <c r="AJ40" s="92"/>
      <c r="AK40" s="92"/>
      <c r="AL40" s="92"/>
      <c r="AM40" s="92"/>
      <c r="AN40" s="92"/>
      <c r="AO40" s="88"/>
      <c r="AP40" s="92"/>
      <c r="AQ40" s="180"/>
      <c r="AR40" s="92"/>
      <c r="AS40" s="180"/>
      <c r="AT40" s="92"/>
      <c r="AU40" s="180"/>
      <c r="AV40" s="181"/>
      <c r="AW40" s="92"/>
      <c r="AX40" s="92"/>
      <c r="AY40" s="92"/>
      <c r="AZ40" s="92"/>
      <c r="BA40" s="92"/>
      <c r="BB40" s="92"/>
      <c r="BC40" s="92"/>
      <c r="BD40" s="92"/>
      <c r="BE40" s="92"/>
      <c r="BF40" s="92"/>
      <c r="BG40" s="92"/>
      <c r="BH40" s="88"/>
      <c r="BI40" s="88"/>
      <c r="BJ40" s="88"/>
      <c r="BK40" s="88"/>
      <c r="BL40" s="88"/>
      <c r="BM40" s="88"/>
      <c r="BN40" s="88"/>
      <c r="BO40" s="1026"/>
      <c r="BP40" s="1027"/>
      <c r="BQ40" s="1027"/>
      <c r="BR40" s="1027"/>
      <c r="BS40" s="1027"/>
      <c r="BT40" s="1027"/>
      <c r="BU40" s="1028"/>
    </row>
    <row r="41" spans="2:73" ht="18.75" customHeight="1" thickBot="1" x14ac:dyDescent="0.25">
      <c r="B41" s="925" t="str">
        <f>IF(ISERROR(AR46),"",TEXT(AR45,"0.0%"))</f>
        <v>91.9%</v>
      </c>
      <c r="C41" s="926"/>
      <c r="D41" s="927"/>
      <c r="E41" s="182" t="str">
        <f>IF(AU41=0,"N/A",CONCATENATE(TEXT(AV45,"0.0%")," of ",TEXT(AV44,"0.0%")))</f>
        <v>2.4% of 5.0%</v>
      </c>
      <c r="F41" s="929" t="str">
        <f>IF((graded_aca_events+graded_amn_events)&lt;1,"---",IF(AND(AW4,AX4),"INCOMPLETE",IF(AND(NOT(AW4),AX4),"ACA INC",IF(AND(AW4,NOT(AX4)),"AMN INC","COMPLETE"))))</f>
        <v>COMPLETE</v>
      </c>
      <c r="G41" s="929"/>
      <c r="H41" s="929" t="str">
        <f>IF(AU4,IF(OR(AY4="UNK",NOT(AN6)),"---",IF(AY4,"UNSAT",IF(AVERAGEIFS(AT8:AT39,AS8:AS39,"&gt;0")&lt;0.9,"MARG","SAT"))),"N/A")</f>
        <v>SAT</v>
      </c>
      <c r="I41" s="929"/>
      <c r="J41" s="930" t="str">
        <f>IF(OR(AZ4="UNK",NOT(AM6)),"---",IF(OR(AZ4,AR45&lt;0.7),"FAIL","PASS"))</f>
        <v>PASS</v>
      </c>
      <c r="K41" s="931"/>
      <c r="L41" s="430"/>
      <c r="M41" s="932"/>
      <c r="N41" s="932"/>
      <c r="O41" s="1021" t="s">
        <v>265</v>
      </c>
      <c r="P41" s="1021"/>
      <c r="Q41" s="1021" t="s">
        <v>265</v>
      </c>
      <c r="R41" s="1022"/>
      <c r="S41" s="183"/>
      <c r="T41" s="99" t="s">
        <v>381</v>
      </c>
      <c r="U41" s="146" t="s">
        <v>382</v>
      </c>
      <c r="V41" s="184"/>
      <c r="W41" s="184"/>
      <c r="X41" s="184"/>
      <c r="Y41" s="184"/>
      <c r="Z41" s="184"/>
      <c r="AA41" s="184"/>
      <c r="AB41" s="184"/>
      <c r="AC41" s="184"/>
      <c r="AD41" s="184"/>
      <c r="AE41" s="184"/>
      <c r="AF41" s="184"/>
      <c r="AG41" s="184"/>
      <c r="AH41" s="184"/>
      <c r="AI41" s="86"/>
      <c r="AJ41" s="85"/>
      <c r="AK41" s="184"/>
      <c r="AL41" s="184"/>
      <c r="AM41" s="184">
        <f>SUM(AM8:AM39)</f>
        <v>19</v>
      </c>
      <c r="AN41" s="184">
        <f>SUM(AN8:AN39)</f>
        <v>5</v>
      </c>
      <c r="AO41" s="99"/>
      <c r="AP41" s="85"/>
      <c r="AQ41" s="185">
        <f>SUMIF(AQ8:AQ39,"&gt;0")</f>
        <v>13</v>
      </c>
      <c r="AR41" s="186">
        <f>IF(AQ41=0,0,SUMPRODUCT($AQ$8:$AQ$39,AR8:AR39)/SUM($AQ$8:$AQ$39))</f>
        <v>0.91923076923076918</v>
      </c>
      <c r="AS41" s="187">
        <f>SUMIF(AS8:AS39,"&gt;0")</f>
        <v>5</v>
      </c>
      <c r="AT41" s="186">
        <f>IF(AS41=0,0,SUMPRODUCT($AS$8:$AS$39,AT8:AT39)/SUM($AS$8:$AS$39))</f>
        <v>0.91999999999999993</v>
      </c>
      <c r="AU41" s="187">
        <f>SUM(AU9:AU39)</f>
        <v>2</v>
      </c>
      <c r="AV41" s="186">
        <f>IF(AU41=0,0,SUMPRODUCT($AU$8:$AU$39,AV8:AV39)/SUM($AU$8:$AU$39))</f>
        <v>0.47499999999999998</v>
      </c>
      <c r="AW41" s="188"/>
      <c r="AX41" s="188"/>
      <c r="AY41" s="188"/>
      <c r="AZ41" s="188"/>
      <c r="BA41" s="188"/>
      <c r="BB41" s="188"/>
      <c r="BC41" s="88" t="s">
        <v>383</v>
      </c>
      <c r="BD41" s="88" t="s">
        <v>384</v>
      </c>
      <c r="BE41" s="88" t="s">
        <v>385</v>
      </c>
      <c r="BO41" s="1026"/>
      <c r="BP41" s="1027"/>
      <c r="BQ41" s="1027"/>
      <c r="BR41" s="1027"/>
      <c r="BS41" s="1027"/>
      <c r="BT41" s="1027"/>
      <c r="BU41" s="1028"/>
    </row>
    <row r="42" spans="2:73" ht="7.5" customHeight="1" thickTop="1" x14ac:dyDescent="0.2">
      <c r="L42" s="928" t="s">
        <v>946</v>
      </c>
      <c r="M42" s="928"/>
      <c r="N42" s="928"/>
      <c r="O42" s="928"/>
      <c r="P42" s="928"/>
      <c r="Q42" s="928"/>
      <c r="R42" s="928"/>
      <c r="AP42" s="184"/>
      <c r="AQ42" s="85"/>
      <c r="AR42" s="85"/>
      <c r="AT42" s="186"/>
      <c r="AU42" s="186"/>
      <c r="AV42" s="186"/>
      <c r="AW42" s="85"/>
      <c r="AX42" s="186"/>
      <c r="BO42" s="1029"/>
      <c r="BP42" s="1030"/>
      <c r="BQ42" s="1030"/>
      <c r="BR42" s="1030"/>
      <c r="BS42" s="1030"/>
      <c r="BT42" s="1030"/>
      <c r="BU42" s="1031"/>
    </row>
    <row r="43" spans="2:73" ht="30.75" customHeight="1" x14ac:dyDescent="0.2">
      <c r="T43" s="189" t="s">
        <v>386</v>
      </c>
      <c r="U43" s="146" t="b">
        <v>0</v>
      </c>
      <c r="AI43" s="89">
        <f ca="1">SUMIF(AJ8:$AJ$39,"=" &amp; AJ8,AI9:$AI$39)</f>
        <v>0.2</v>
      </c>
      <c r="AO43" s="190"/>
      <c r="AS43" s="118" t="s">
        <v>387</v>
      </c>
      <c r="AT43" s="191">
        <f>SUMIF(X8:X39,"&gt;0")/SUMIF(W8:W39,"&gt;0")</f>
        <v>0.38461538461538464</v>
      </c>
      <c r="AU43" s="118" t="s">
        <v>388</v>
      </c>
      <c r="AV43" s="192">
        <f>SUMIF(AU8:AU39,"&gt;0")/SUMIF(AQ8:AQ39,"&gt;0")</f>
        <v>0.15384615384615385</v>
      </c>
      <c r="AW43" s="193"/>
      <c r="BE43" s="88" t="b">
        <f>AND(ISBLANK($K30),J30&gt;0)</f>
        <v>0</v>
      </c>
      <c r="BO43" s="88"/>
      <c r="BP43" s="88"/>
      <c r="BQ43" s="90"/>
    </row>
    <row r="44" spans="2:73" ht="30.75" customHeight="1" x14ac:dyDescent="0.2">
      <c r="J44" s="194"/>
      <c r="T44" s="195" t="s">
        <v>389</v>
      </c>
      <c r="U44" s="88" t="b">
        <f>IF(AND(Flight?,OR(AW4,AY4,BA4,AZ4,AR45&lt;0.7,H41="MARG")),TRUE,FALSE)</f>
        <v>0</v>
      </c>
      <c r="AO44" s="196"/>
      <c r="AQ44" s="118" t="s">
        <v>390</v>
      </c>
      <c r="AR44" s="191">
        <f>1-AT44</f>
        <v>0.8</v>
      </c>
      <c r="AS44" s="118" t="s">
        <v>391</v>
      </c>
      <c r="AT44" s="191">
        <f>MIN(AT43,AT6)</f>
        <v>0.2</v>
      </c>
      <c r="AU44" s="118" t="s">
        <v>392</v>
      </c>
      <c r="AV44" s="89">
        <f>MIN(AV43,AV6)</f>
        <v>0.05</v>
      </c>
      <c r="BO44" s="88"/>
      <c r="BP44" s="88"/>
      <c r="BQ44" s="90"/>
    </row>
    <row r="45" spans="2:73" ht="25.5" x14ac:dyDescent="0.2">
      <c r="T45" s="195" t="s">
        <v>393</v>
      </c>
      <c r="U45" s="88" t="b">
        <f>IF(OR(AX4,AY4,AZ4,BB4,AR45&lt;0.7),TRUE,FALSE)</f>
        <v>0</v>
      </c>
      <c r="AO45" s="197"/>
      <c r="AQ45" s="118" t="s">
        <v>394</v>
      </c>
      <c r="AR45" s="89">
        <f>AR41*(1-AT44)+(AT41*AT44)</f>
        <v>0.91938461538461547</v>
      </c>
      <c r="AU45" s="88" t="s">
        <v>324</v>
      </c>
      <c r="AV45" s="89">
        <f>AV41*AV44</f>
        <v>2.375E-2</v>
      </c>
      <c r="BO45" s="88"/>
      <c r="BP45" s="88"/>
      <c r="BQ45" s="90"/>
    </row>
    <row r="46" spans="2:73" ht="25.5" x14ac:dyDescent="0.2">
      <c r="T46" s="195" t="s">
        <v>395</v>
      </c>
      <c r="U46" s="88" t="b">
        <v>0</v>
      </c>
      <c r="AO46" s="197"/>
      <c r="AQ46" s="118" t="s">
        <v>396</v>
      </c>
      <c r="AR46" s="89">
        <f>IF(NOT(OR(AY4,AZ4)),AR45+AV45,MIN(0.69,AR45+AV45))</f>
        <v>0.94313461538461552</v>
      </c>
      <c r="BO46" s="88"/>
      <c r="BP46" s="88"/>
      <c r="BQ46" s="90"/>
    </row>
    <row r="47" spans="2:73" x14ac:dyDescent="0.2">
      <c r="T47" s="195" t="s">
        <v>397</v>
      </c>
      <c r="U47" s="88" t="b">
        <f>IF(NOT(Flight?),TRUE,NOT(OR(ISBLANK(comments),ISBLANK(hdr_class),ISBLANK(hdr_date),ISBLANK(hdr_stud),ISBLANK(hdr_instr),ISBLANK(hdr_acft),ISBLANK(hdr_time),F41="---")))</f>
        <v>1</v>
      </c>
      <c r="AO47" s="197"/>
      <c r="AR47" s="118"/>
      <c r="AS47" s="89"/>
    </row>
    <row r="48" spans="2:73" x14ac:dyDescent="0.2">
      <c r="T48" s="195" t="s">
        <v>398</v>
      </c>
      <c r="U48" s="88" t="b">
        <f>IF(Flight?,TRUE,NOT(OR(ISBLANK(comments),ISBLANK(hdr_class),ISBLANK(hdr_date),ISBLANK(hdr_stud),ISBLANK(hdr_instr),F41="---")))</f>
        <v>1</v>
      </c>
      <c r="AO48" s="196"/>
      <c r="AP48" s="85" t="s">
        <v>399</v>
      </c>
      <c r="AQ48" s="85"/>
      <c r="AR48" s="85"/>
      <c r="AS48" s="85"/>
      <c r="AT48" s="85"/>
    </row>
    <row r="49" spans="20:50" x14ac:dyDescent="0.2">
      <c r="T49" s="195" t="s">
        <v>400</v>
      </c>
      <c r="U49" s="88" t="b">
        <f>AND(U47:U48)</f>
        <v>1</v>
      </c>
      <c r="AO49" s="196"/>
      <c r="AP49" s="85"/>
      <c r="AQ49" s="85"/>
      <c r="AR49" s="85">
        <v>0</v>
      </c>
      <c r="AS49" s="85">
        <v>1</v>
      </c>
      <c r="AT49" s="85">
        <v>2</v>
      </c>
      <c r="AU49" s="85">
        <v>3</v>
      </c>
      <c r="AV49" s="85">
        <v>4</v>
      </c>
    </row>
    <row r="50" spans="20:50" x14ac:dyDescent="0.2">
      <c r="AO50" s="196"/>
      <c r="AP50" s="85" t="s">
        <v>359</v>
      </c>
      <c r="AQ50" s="85">
        <v>1</v>
      </c>
      <c r="AR50" s="198">
        <v>0.7</v>
      </c>
      <c r="AS50" s="198">
        <v>0.9</v>
      </c>
      <c r="AT50" s="198">
        <v>0.93330000000000002</v>
      </c>
      <c r="AU50" s="198">
        <v>0.9667</v>
      </c>
      <c r="AV50" s="198">
        <v>1</v>
      </c>
    </row>
    <row r="51" spans="20:50" x14ac:dyDescent="0.2">
      <c r="AO51" s="196"/>
      <c r="AP51" s="85" t="s">
        <v>360</v>
      </c>
      <c r="AQ51" s="85">
        <v>2</v>
      </c>
      <c r="AR51" s="198">
        <v>0.7</v>
      </c>
      <c r="AS51" s="198">
        <v>0.8</v>
      </c>
      <c r="AT51" s="198">
        <v>0.9</v>
      </c>
      <c r="AU51" s="198">
        <v>0.95</v>
      </c>
      <c r="AV51" s="198">
        <v>1</v>
      </c>
    </row>
    <row r="52" spans="20:50" x14ac:dyDescent="0.2">
      <c r="AO52" s="196"/>
      <c r="AP52" s="85" t="s">
        <v>361</v>
      </c>
      <c r="AQ52" s="85">
        <v>3</v>
      </c>
      <c r="AR52" s="198">
        <v>0.7</v>
      </c>
      <c r="AS52" s="198">
        <v>0.76670000000000005</v>
      </c>
      <c r="AT52" s="198">
        <v>0.83330000000000004</v>
      </c>
      <c r="AU52" s="198">
        <v>0.9</v>
      </c>
      <c r="AV52" s="198">
        <v>1</v>
      </c>
    </row>
    <row r="53" spans="20:50" x14ac:dyDescent="0.2">
      <c r="AP53" s="199" t="s">
        <v>362</v>
      </c>
      <c r="AQ53" s="85">
        <v>11</v>
      </c>
      <c r="AR53" s="198">
        <v>0.6</v>
      </c>
      <c r="AS53" s="198">
        <v>0.9</v>
      </c>
      <c r="AT53" s="198">
        <v>0.93330000000000002</v>
      </c>
      <c r="AU53" s="198">
        <v>0.9667</v>
      </c>
      <c r="AV53" s="198">
        <v>1</v>
      </c>
    </row>
    <row r="54" spans="20:50" x14ac:dyDescent="0.2">
      <c r="AP54" s="199" t="s">
        <v>363</v>
      </c>
      <c r="AQ54" s="85">
        <v>12</v>
      </c>
      <c r="AR54" s="198">
        <v>0.6</v>
      </c>
      <c r="AS54" s="198">
        <v>0.7</v>
      </c>
      <c r="AT54" s="198">
        <v>0.9</v>
      </c>
      <c r="AU54" s="198">
        <v>0.95</v>
      </c>
      <c r="AV54" s="198">
        <v>1</v>
      </c>
    </row>
    <row r="55" spans="20:50" x14ac:dyDescent="0.2">
      <c r="AP55" s="199" t="s">
        <v>364</v>
      </c>
      <c r="AQ55" s="85">
        <v>13</v>
      </c>
      <c r="AR55" s="198">
        <v>0.6</v>
      </c>
      <c r="AS55" s="198">
        <v>0.7</v>
      </c>
      <c r="AT55" s="198">
        <v>0.8</v>
      </c>
      <c r="AU55" s="198">
        <v>0.9</v>
      </c>
      <c r="AV55" s="198">
        <v>1</v>
      </c>
    </row>
    <row r="56" spans="20:50" x14ac:dyDescent="0.2">
      <c r="AP56" s="199" t="s">
        <v>365</v>
      </c>
      <c r="AQ56" s="85">
        <v>22</v>
      </c>
      <c r="AR56" s="198">
        <v>0.3</v>
      </c>
      <c r="AS56" s="198">
        <v>0.6</v>
      </c>
      <c r="AT56" s="198">
        <v>0.9</v>
      </c>
      <c r="AU56" s="198">
        <v>0.95</v>
      </c>
      <c r="AV56" s="198">
        <v>1</v>
      </c>
    </row>
    <row r="57" spans="20:50" x14ac:dyDescent="0.2">
      <c r="AP57" s="199" t="s">
        <v>366</v>
      </c>
      <c r="AQ57" s="85">
        <v>23</v>
      </c>
      <c r="AR57" s="198">
        <v>0.3</v>
      </c>
      <c r="AS57" s="198">
        <v>0.6</v>
      </c>
      <c r="AT57" s="198">
        <v>0.7</v>
      </c>
      <c r="AU57" s="198">
        <v>0.9</v>
      </c>
      <c r="AV57" s="198">
        <v>1</v>
      </c>
    </row>
    <row r="58" spans="20:50" x14ac:dyDescent="0.2">
      <c r="AP58" s="199" t="s">
        <v>367</v>
      </c>
      <c r="AQ58" s="85">
        <v>33</v>
      </c>
      <c r="AR58" s="198">
        <v>0</v>
      </c>
      <c r="AS58" s="198">
        <v>0.3</v>
      </c>
      <c r="AT58" s="198">
        <v>0.6</v>
      </c>
      <c r="AU58" s="198">
        <v>0.9</v>
      </c>
      <c r="AV58" s="198">
        <v>1</v>
      </c>
      <c r="AW58" s="85"/>
    </row>
    <row r="60" spans="20:50" x14ac:dyDescent="0.2">
      <c r="AQ60" s="85"/>
      <c r="AW60" s="85"/>
      <c r="AX60" s="85"/>
    </row>
    <row r="61" spans="20:50" x14ac:dyDescent="0.2">
      <c r="AP61" s="200"/>
      <c r="AQ61" s="85"/>
      <c r="AW61" s="85"/>
      <c r="AX61" s="85"/>
    </row>
    <row r="62" spans="20:50" x14ac:dyDescent="0.2">
      <c r="AP62" s="85"/>
      <c r="AQ62" s="85"/>
      <c r="AW62" s="85"/>
      <c r="AX62" s="85"/>
    </row>
    <row r="63" spans="20:50" x14ac:dyDescent="0.2">
      <c r="AP63" s="85"/>
      <c r="AQ63" s="85"/>
      <c r="AW63" s="85"/>
    </row>
    <row r="64" spans="20:50" x14ac:dyDescent="0.2">
      <c r="AP64" s="85"/>
      <c r="AQ64" s="85"/>
      <c r="AW64" s="85"/>
    </row>
    <row r="65" spans="42:43" x14ac:dyDescent="0.2">
      <c r="AP65" s="85"/>
      <c r="AQ65" s="85"/>
    </row>
    <row r="66" spans="42:43" x14ac:dyDescent="0.2">
      <c r="AP66" s="85"/>
      <c r="AQ66" s="85"/>
    </row>
  </sheetData>
  <sheetProtection algorithmName="SHA-512" hashValue="Qqj8DR1I65XuiZp+TdeLhUNbdP9FjgOScJB/ArwHECnVDrI1oFicWBRdN9SAnEzpRY8YjTC2pz78kCaZoNtTKg==" saltValue="SZ7QIt62J/7L9ETo+kp/SQ==" spinCount="100000" sheet="1" objects="1" scenarios="1" selectLockedCells="1"/>
  <mergeCells count="76">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 ref="BO34:BU37"/>
    <mergeCell ref="C35:F35"/>
    <mergeCell ref="C36:F36"/>
    <mergeCell ref="C37:F37"/>
    <mergeCell ref="C38:F38"/>
    <mergeCell ref="BQ19:BU19"/>
    <mergeCell ref="C20:F20"/>
    <mergeCell ref="C21:F21"/>
    <mergeCell ref="BO21:BO29"/>
    <mergeCell ref="C22:F22"/>
    <mergeCell ref="C23:F23"/>
    <mergeCell ref="C24:F24"/>
    <mergeCell ref="C25:F25"/>
    <mergeCell ref="C26:F26"/>
    <mergeCell ref="C27:F27"/>
    <mergeCell ref="C28:F28"/>
    <mergeCell ref="C29:F29"/>
    <mergeCell ref="C32:F32"/>
    <mergeCell ref="C33:F33"/>
    <mergeCell ref="C34:F34"/>
    <mergeCell ref="C13:F13"/>
    <mergeCell ref="C14:F14"/>
    <mergeCell ref="C15:F15"/>
    <mergeCell ref="C16:F16"/>
    <mergeCell ref="C31:F31"/>
    <mergeCell ref="C18:F18"/>
    <mergeCell ref="C19:F19"/>
    <mergeCell ref="C30:F30"/>
    <mergeCell ref="Q5:R5"/>
    <mergeCell ref="B6:E6"/>
    <mergeCell ref="F6:G6"/>
    <mergeCell ref="H6:L6"/>
    <mergeCell ref="C17:F17"/>
    <mergeCell ref="M6:N6"/>
    <mergeCell ref="O6:P6"/>
    <mergeCell ref="Q6:R6"/>
    <mergeCell ref="B7:F7"/>
    <mergeCell ref="L7:R7"/>
    <mergeCell ref="C8:F8"/>
    <mergeCell ref="L8:R39"/>
    <mergeCell ref="C9:F9"/>
    <mergeCell ref="C10:F10"/>
    <mergeCell ref="C11:F11"/>
    <mergeCell ref="C12:F12"/>
    <mergeCell ref="B3:G3"/>
    <mergeCell ref="H3:N3"/>
    <mergeCell ref="O3:P3"/>
    <mergeCell ref="Q3:R3"/>
    <mergeCell ref="BO3:BT4"/>
    <mergeCell ref="B4:G4"/>
    <mergeCell ref="H4:N4"/>
    <mergeCell ref="O4:P4"/>
    <mergeCell ref="Q4:R4"/>
    <mergeCell ref="BH4:BK6"/>
    <mergeCell ref="BL4:BN6"/>
    <mergeCell ref="B5:E5"/>
    <mergeCell ref="F5:G5"/>
    <mergeCell ref="H5:L5"/>
    <mergeCell ref="M5:N5"/>
    <mergeCell ref="O5:P5"/>
  </mergeCells>
  <conditionalFormatting sqref="B8:F39">
    <cfRule type="expression" dxfId="378" priority="9" stopIfTrue="1">
      <formula>IF($Z8=1,TRUE,FALSE)</formula>
    </cfRule>
    <cfRule type="expression" dxfId="377" priority="10">
      <formula>IF($Z8=2,TRUE,FALSE)</formula>
    </cfRule>
  </conditionalFormatting>
  <conditionalFormatting sqref="C8:F39">
    <cfRule type="expression" dxfId="376" priority="2" stopIfTrue="1">
      <formula>IF($AF8=FALSE,TRUE,FALSE)</formula>
    </cfRule>
  </conditionalFormatting>
  <conditionalFormatting sqref="F5:G6 M5:P6">
    <cfRule type="expression" dxfId="375" priority="5" stopIfTrue="1">
      <formula>NOT($AU$4)</formula>
    </cfRule>
  </conditionalFormatting>
  <conditionalFormatting sqref="F6:G6">
    <cfRule type="cellIs" dxfId="374" priority="4" operator="equal">
      <formula>""</formula>
    </cfRule>
  </conditionalFormatting>
  <conditionalFormatting sqref="G8:K39">
    <cfRule type="expression" dxfId="373" priority="7" stopIfTrue="1">
      <formula>IF($Z8=1,TRUE,FALSE)</formula>
    </cfRule>
    <cfRule type="expression" dxfId="372" priority="8" stopIfTrue="1">
      <formula>IF($Z8=2,TRUE,FALSE)</formula>
    </cfRule>
  </conditionalFormatting>
  <conditionalFormatting sqref="H8:H39">
    <cfRule type="expression" dxfId="371" priority="11" stopIfTrue="1">
      <formula>IF($AB8=0,TRUE,FALSE)</formula>
    </cfRule>
  </conditionalFormatting>
  <conditionalFormatting sqref="H40:I41">
    <cfRule type="expression" dxfId="370" priority="3" stopIfTrue="1">
      <formula>IF($H$41="N/A",TRUE,FALSE)</formula>
    </cfRule>
  </conditionalFormatting>
  <conditionalFormatting sqref="H6:P6 O4:R4 B6 L8">
    <cfRule type="containsBlanks" dxfId="369" priority="6">
      <formula>LEN(TRIM(B4))=0</formula>
    </cfRule>
  </conditionalFormatting>
  <conditionalFormatting sqref="J8:J39">
    <cfRule type="expression" dxfId="368" priority="15">
      <formula>IF($Z8=1,FALSE,OR($BE8,$BD8))</formula>
    </cfRule>
  </conditionalFormatting>
  <conditionalFormatting sqref="J8:K39 C8:F39">
    <cfRule type="expression" dxfId="367" priority="14">
      <formula>IF($Z8=1,FALSE,OR($AW8,$AX8,$AY8,$AZ8))</formula>
    </cfRule>
  </conditionalFormatting>
  <conditionalFormatting sqref="J8:K39">
    <cfRule type="expression" dxfId="366" priority="12" stopIfTrue="1">
      <formula>IF(ISNA($Z8),TRUE,FALSE)</formula>
    </cfRule>
  </conditionalFormatting>
  <conditionalFormatting sqref="K8:K39">
    <cfRule type="expression" dxfId="365" priority="13">
      <formula>IF(OR($Z8=1,$Z8=2),FALSE,OR($BC8,$BE8,$BF8))</formula>
    </cfRule>
  </conditionalFormatting>
  <conditionalFormatting sqref="L41">
    <cfRule type="expression" dxfId="364" priority="1">
      <formula>NOT($U$49)</formula>
    </cfRule>
  </conditionalFormatting>
  <dataValidations count="6">
    <dataValidation type="date" allowBlank="1" showInputMessage="1" showErrorMessage="1" sqref="Q4:R4" xr:uid="{5F33F686-1A53-4BCB-B1EB-14CFD390F296}">
      <formula1>41151</formula1>
      <formula2>77433</formula2>
    </dataValidation>
    <dataValidation type="decimal" allowBlank="1" showInputMessage="1" showErrorMessage="1" sqref="O6:P6" xr:uid="{762EFA90-5164-40E2-8ABA-03EC73DC037D}">
      <formula1>0</formula1>
      <formula2>10</formula2>
    </dataValidation>
    <dataValidation showInputMessage="1" showErrorMessage="1" sqref="O41:R41" xr:uid="{8215DBA9-8F78-4731-85C6-7DAC3391EC79}"/>
    <dataValidation type="list" allowBlank="1" showInputMessage="1" showErrorMessage="1" sqref="K8:K39" xr:uid="{2D66E4CC-EACA-437C-B8EA-3CFC7652C506}">
      <formula1>"D,0,1,2,3,4"</formula1>
    </dataValidation>
    <dataValidation type="list" allowBlank="1" showInputMessage="1" showErrorMessage="1" sqref="J8:J39" xr:uid="{D23D3E85-8C4C-4E62-9B13-80C904E18425}">
      <formula1>"NA,0,1,2,3,4,5,6,7,8,9,10,11,12,13,14,15"</formula1>
    </dataValidation>
    <dataValidation type="list" allowBlank="1" showInputMessage="1" showErrorMessage="1" sqref="F6:G6" xr:uid="{B1A94FE6-FC0A-499B-B311-4FB007AC1016}">
      <formula1>"No,Yes"</formula1>
    </dataValidation>
  </dataValidations>
  <hyperlinks>
    <hyperlink ref="BO3" location="PF!A1" display="PF phase Summary Page" xr:uid="{284CDA49-32C7-42E3-ADCC-3B0EAF18C645}"/>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5154"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305155"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305156"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305157"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305158"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2B535D-FCCE-4972-9932-20939B943945}">
  <sheetPr>
    <tabColor rgb="FF00B0F0"/>
    <pageSetUpPr autoPageBreaks="0"/>
  </sheetPr>
  <dimension ref="B1:BU66"/>
  <sheetViews>
    <sheetView showGridLines="0" showRowColHeaders="0" topLeftCell="A2" zoomScaleNormal="100" zoomScaleSheetLayoutView="100" workbookViewId="0"/>
  </sheetViews>
  <sheetFormatPr defaultColWidth="9.140625" defaultRowHeight="12.75" x14ac:dyDescent="0.2"/>
  <cols>
    <col min="1" max="1" width="1.5703125" style="87" customWidth="1"/>
    <col min="2" max="2" width="3.5703125" style="87" customWidth="1"/>
    <col min="3" max="3" width="5.5703125" style="87" customWidth="1"/>
    <col min="4" max="4" width="9.140625" style="87" customWidth="1"/>
    <col min="5" max="5" width="14" style="87" customWidth="1"/>
    <col min="6" max="6" width="7.85546875" style="87" customWidth="1"/>
    <col min="7" max="11" width="5.140625" style="87" customWidth="1"/>
    <col min="12" max="12" width="21.5703125" style="87" customWidth="1"/>
    <col min="13" max="13" width="6.5703125" style="87" customWidth="1"/>
    <col min="14" max="14" width="12.5703125" style="87" customWidth="1"/>
    <col min="15" max="15" width="7.85546875" style="87" customWidth="1"/>
    <col min="16" max="16" width="2.7109375" style="87" customWidth="1"/>
    <col min="17" max="17" width="4.85546875" style="87" customWidth="1"/>
    <col min="18" max="18" width="7.28515625" style="87" customWidth="1"/>
    <col min="19" max="19" width="1.7109375" style="87" customWidth="1"/>
    <col min="20" max="20" width="19.140625" style="88" hidden="1" customWidth="1"/>
    <col min="21" max="21" width="31.140625" style="88" hidden="1" customWidth="1"/>
    <col min="22" max="22" width="5.140625" style="88" hidden="1" customWidth="1"/>
    <col min="23" max="24" width="6.28515625" style="88" hidden="1" customWidth="1"/>
    <col min="25" max="25" width="8.42578125" style="88" hidden="1" customWidth="1"/>
    <col min="26" max="26" width="7.85546875" style="88" hidden="1" customWidth="1"/>
    <col min="27" max="27" width="10.7109375" style="88" hidden="1" customWidth="1"/>
    <col min="28" max="28" width="8" style="88" hidden="1" customWidth="1"/>
    <col min="29" max="31" width="5.140625" style="88" hidden="1" customWidth="1"/>
    <col min="32" max="34" width="5.85546875" style="88" hidden="1" customWidth="1"/>
    <col min="35" max="35" width="8.5703125" style="89" hidden="1" customWidth="1"/>
    <col min="36" max="36" width="7" style="88" hidden="1" customWidth="1"/>
    <col min="37" max="38" width="5.28515625" style="88" hidden="1" customWidth="1"/>
    <col min="39" max="40" width="7" style="88" hidden="1" customWidth="1"/>
    <col min="41" max="41" width="5.140625" style="88" hidden="1" customWidth="1"/>
    <col min="42" max="42" width="11.28515625" style="88" hidden="1" customWidth="1"/>
    <col min="43" max="43" width="6.42578125" style="88" hidden="1" customWidth="1"/>
    <col min="44" max="44" width="8.28515625" style="88" hidden="1" customWidth="1"/>
    <col min="45" max="45" width="8.85546875" style="88" hidden="1" customWidth="1"/>
    <col min="46" max="46" width="10.7109375" style="88" hidden="1" customWidth="1"/>
    <col min="47" max="47" width="8.85546875" style="88" hidden="1" customWidth="1"/>
    <col min="48" max="48" width="6.28515625" style="88" hidden="1" customWidth="1"/>
    <col min="49" max="49" width="10" style="88" hidden="1" customWidth="1"/>
    <col min="50" max="50" width="7.5703125" style="88" hidden="1" customWidth="1"/>
    <col min="51" max="51" width="7" style="88" hidden="1" customWidth="1"/>
    <col min="52" max="52" width="8.140625" style="88" hidden="1" customWidth="1"/>
    <col min="53" max="53" width="12.5703125" style="88" hidden="1" customWidth="1"/>
    <col min="54" max="54" width="7.7109375" style="88" hidden="1" customWidth="1"/>
    <col min="55" max="55" width="12.7109375" style="88" hidden="1" customWidth="1"/>
    <col min="56" max="56" width="7" style="88" hidden="1" customWidth="1"/>
    <col min="57" max="57" width="15.5703125" style="88" hidden="1" customWidth="1"/>
    <col min="58" max="58" width="9.140625" style="88" hidden="1" customWidth="1"/>
    <col min="59" max="59" width="10" style="88" hidden="1" customWidth="1"/>
    <col min="60" max="60" width="5.28515625" style="88" hidden="1" customWidth="1"/>
    <col min="61" max="61" width="4" style="88" hidden="1" customWidth="1"/>
    <col min="62" max="62" width="4.7109375" style="88" hidden="1" customWidth="1"/>
    <col min="63" max="63" width="5.5703125" style="88" hidden="1" customWidth="1"/>
    <col min="64" max="64" width="5.28515625" style="88" hidden="1" customWidth="1"/>
    <col min="65" max="65" width="4" style="88" hidden="1" customWidth="1"/>
    <col min="66" max="66" width="5.5703125" style="88" hidden="1" customWidth="1"/>
    <col min="67" max="67" width="5.140625" style="90" customWidth="1"/>
    <col min="68" max="73" width="5.140625" style="87" customWidth="1"/>
    <col min="74" max="16384" width="9.140625" style="87"/>
  </cols>
  <sheetData>
    <row r="1" spans="2:73" s="84" customFormat="1" ht="12" hidden="1" x14ac:dyDescent="0.2">
      <c r="T1" s="85"/>
      <c r="U1" s="85"/>
      <c r="V1" s="85"/>
      <c r="W1" s="85"/>
      <c r="X1" s="85"/>
      <c r="Y1" s="85"/>
      <c r="Z1" s="85"/>
      <c r="AA1" s="85"/>
      <c r="AB1" s="85"/>
      <c r="AC1" s="85"/>
      <c r="AD1" s="85"/>
      <c r="AE1" s="85"/>
      <c r="AF1" s="85"/>
      <c r="AG1" s="85"/>
      <c r="AH1" s="85"/>
      <c r="AI1" s="86"/>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row>
    <row r="2" spans="2:73" ht="13.5" thickBot="1" x14ac:dyDescent="0.25"/>
    <row r="3" spans="2:73" ht="13.5" customHeight="1" thickTop="1" x14ac:dyDescent="0.2">
      <c r="B3" s="967" t="s">
        <v>267</v>
      </c>
      <c r="C3" s="968"/>
      <c r="D3" s="968"/>
      <c r="E3" s="968"/>
      <c r="F3" s="968"/>
      <c r="G3" s="969"/>
      <c r="H3" s="970" t="s">
        <v>947</v>
      </c>
      <c r="I3" s="971"/>
      <c r="J3" s="971"/>
      <c r="K3" s="971"/>
      <c r="L3" s="971"/>
      <c r="M3" s="971"/>
      <c r="N3" s="972"/>
      <c r="O3" s="973" t="s">
        <v>269</v>
      </c>
      <c r="P3" s="974"/>
      <c r="Q3" s="973" t="s">
        <v>270</v>
      </c>
      <c r="R3" s="975"/>
      <c r="S3" s="91"/>
      <c r="T3" s="92"/>
      <c r="U3" s="92"/>
      <c r="V3" s="92"/>
      <c r="W3" s="92"/>
      <c r="X3" s="92"/>
      <c r="Y3" s="92"/>
      <c r="Z3" s="92"/>
      <c r="AA3" s="92"/>
      <c r="AB3" s="92"/>
      <c r="AC3" s="92"/>
      <c r="AD3" s="92"/>
      <c r="AE3" s="92"/>
      <c r="AF3" s="92"/>
      <c r="AG3" s="92"/>
      <c r="AH3" s="92"/>
      <c r="AI3" s="93"/>
      <c r="AJ3" s="92"/>
      <c r="AK3" s="92"/>
      <c r="AL3" s="92"/>
      <c r="AM3" s="92"/>
      <c r="AN3" s="92"/>
      <c r="AO3" s="92"/>
      <c r="AP3" s="92"/>
      <c r="AQ3" s="85"/>
      <c r="AR3" s="85"/>
      <c r="AW3" s="88" t="s">
        <v>271</v>
      </c>
      <c r="AX3" s="88" t="s">
        <v>272</v>
      </c>
      <c r="AY3" s="88" t="s">
        <v>273</v>
      </c>
      <c r="AZ3" s="88" t="s">
        <v>274</v>
      </c>
      <c r="BA3" s="88" t="s">
        <v>275</v>
      </c>
      <c r="BB3" s="88" t="s">
        <v>276</v>
      </c>
      <c r="BO3" s="976" t="s">
        <v>842</v>
      </c>
      <c r="BP3" s="976"/>
      <c r="BQ3" s="976"/>
      <c r="BR3" s="976"/>
      <c r="BS3" s="976"/>
      <c r="BT3" s="976"/>
    </row>
    <row r="4" spans="2:73" s="94" customFormat="1" ht="15.75" customHeight="1" x14ac:dyDescent="0.3">
      <c r="B4" s="994" t="s">
        <v>277</v>
      </c>
      <c r="C4" s="995"/>
      <c r="D4" s="995"/>
      <c r="E4" s="995"/>
      <c r="F4" s="995"/>
      <c r="G4" s="996"/>
      <c r="H4" s="937" t="s">
        <v>929</v>
      </c>
      <c r="I4" s="938"/>
      <c r="J4" s="938"/>
      <c r="K4" s="938"/>
      <c r="L4" s="938"/>
      <c r="M4" s="938"/>
      <c r="N4" s="939"/>
      <c r="O4" s="940" t="s">
        <v>1029</v>
      </c>
      <c r="P4" s="941"/>
      <c r="Q4" s="942">
        <v>46111</v>
      </c>
      <c r="R4" s="943"/>
      <c r="S4" s="95"/>
      <c r="T4" s="96"/>
      <c r="U4" s="96"/>
      <c r="V4" s="96"/>
      <c r="W4" s="96"/>
      <c r="X4" s="96"/>
      <c r="Y4" s="96"/>
      <c r="Z4" s="96"/>
      <c r="AA4" s="96"/>
      <c r="AB4" s="96"/>
      <c r="AC4" s="96"/>
      <c r="AD4" s="96"/>
      <c r="AE4" s="96"/>
      <c r="AF4" s="96"/>
      <c r="AG4" s="96"/>
      <c r="AH4" s="96"/>
      <c r="AI4" s="97"/>
      <c r="AJ4" s="96"/>
      <c r="AK4" s="96"/>
      <c r="AL4" s="96"/>
      <c r="AM4" s="96"/>
      <c r="AN4" s="96"/>
      <c r="AO4" s="96"/>
      <c r="AP4" s="96"/>
      <c r="AQ4" s="98"/>
      <c r="AR4" s="98"/>
      <c r="AS4" s="99"/>
      <c r="AT4" s="100" t="s">
        <v>278</v>
      </c>
      <c r="AU4" s="101" t="b">
        <v>1</v>
      </c>
      <c r="AV4" s="99">
        <v>3</v>
      </c>
      <c r="AW4" s="99" t="b">
        <f>IF(ISERR(OR(AW8:AW39)),"UNK",IF(AND(graded_aca_events&gt;=1,input_test),FALSE,OR(AW8:AW39)))</f>
        <v>0</v>
      </c>
      <c r="AX4" s="99" t="b">
        <f>IF(ISERR(OR(AX8:AX39)),"UNK",IF(AND(graded_aca_events&gt;=1,input_test),FALSE,OR(AX8:AX39)))</f>
        <v>0</v>
      </c>
      <c r="AY4" s="99" t="b">
        <f>IF(ISERR(OR(AY8:AY39)),"UNK",OR(AY8:AY39))</f>
        <v>0</v>
      </c>
      <c r="AZ4" s="99" t="b">
        <f>IF(ISERR(OR(AZ8:AZ39)),"UNK",OR(AZ8:AZ39))</f>
        <v>0</v>
      </c>
      <c r="BA4" s="99" t="b">
        <f>IF(ISERR(OR(BA8:BA39)),"UNK",OR(BA8:BA39))</f>
        <v>0</v>
      </c>
      <c r="BB4" s="99" t="b">
        <f>IF(ISERR(OR(BB8:BB39)),"UNK",OR(BB8:BB39))</f>
        <v>0</v>
      </c>
      <c r="BC4" s="102" t="b">
        <f>OR(BC8:BC39)</f>
        <v>0</v>
      </c>
      <c r="BD4" s="102" t="b">
        <f>OR(BD8:BD39)</f>
        <v>0</v>
      </c>
      <c r="BE4" s="102" t="b">
        <f>OR(BE8:BE39)</f>
        <v>0</v>
      </c>
      <c r="BF4" s="102"/>
      <c r="BG4" s="99"/>
      <c r="BH4" s="944" t="s">
        <v>279</v>
      </c>
      <c r="BI4" s="944"/>
      <c r="BJ4" s="944"/>
      <c r="BK4" s="944"/>
      <c r="BL4" s="977" t="s">
        <v>280</v>
      </c>
      <c r="BM4" s="977"/>
      <c r="BN4" s="977"/>
      <c r="BO4" s="976"/>
      <c r="BP4" s="976"/>
      <c r="BQ4" s="976"/>
      <c r="BR4" s="976"/>
      <c r="BS4" s="976"/>
      <c r="BT4" s="976"/>
      <c r="BU4" s="445"/>
    </row>
    <row r="5" spans="2:73" s="91" customFormat="1" ht="7.5" customHeight="1" x14ac:dyDescent="0.25">
      <c r="B5" s="978" t="s">
        <v>281</v>
      </c>
      <c r="C5" s="979"/>
      <c r="D5" s="979"/>
      <c r="E5" s="980"/>
      <c r="F5" s="981" t="s">
        <v>282</v>
      </c>
      <c r="G5" s="980"/>
      <c r="H5" s="981" t="s">
        <v>283</v>
      </c>
      <c r="I5" s="979"/>
      <c r="J5" s="979"/>
      <c r="K5" s="979"/>
      <c r="L5" s="980"/>
      <c r="M5" s="982" t="s">
        <v>284</v>
      </c>
      <c r="N5" s="983"/>
      <c r="O5" s="984" t="s">
        <v>285</v>
      </c>
      <c r="P5" s="985"/>
      <c r="Q5" s="981" t="str">
        <f>IF(AU41=0,"GRADE","GRADE (inc. bonus)")</f>
        <v>GRADE (inc. bonus)</v>
      </c>
      <c r="R5" s="986"/>
      <c r="T5" s="92"/>
      <c r="U5" s="92"/>
      <c r="V5" s="92"/>
      <c r="W5" s="92"/>
      <c r="X5" s="92"/>
      <c r="Y5" s="92"/>
      <c r="Z5" s="92"/>
      <c r="AA5" s="92"/>
      <c r="AB5" s="92"/>
      <c r="AC5" s="92"/>
      <c r="AD5" s="92"/>
      <c r="AE5" s="92"/>
      <c r="AF5" s="92"/>
      <c r="AG5" s="92"/>
      <c r="AH5" s="92"/>
      <c r="AI5" s="93"/>
      <c r="AJ5" s="92"/>
      <c r="AK5" s="92"/>
      <c r="AL5" s="92"/>
      <c r="AM5" s="92"/>
      <c r="AN5" s="92"/>
      <c r="AO5" s="92"/>
      <c r="AP5" s="92"/>
      <c r="AQ5" s="92"/>
      <c r="AR5" s="92"/>
      <c r="AS5" s="92"/>
      <c r="AT5" s="92"/>
      <c r="AU5" s="92"/>
      <c r="AV5" s="92"/>
      <c r="AW5" s="92"/>
      <c r="AX5" s="92"/>
      <c r="AY5" s="92"/>
      <c r="AZ5" s="92"/>
      <c r="BA5" s="92"/>
      <c r="BB5" s="92"/>
      <c r="BC5" s="92"/>
      <c r="BD5" s="92"/>
      <c r="BE5" s="92"/>
      <c r="BF5" s="92"/>
      <c r="BG5" s="92"/>
      <c r="BH5" s="944"/>
      <c r="BI5" s="944"/>
      <c r="BJ5" s="944"/>
      <c r="BK5" s="944"/>
      <c r="BL5" s="977"/>
      <c r="BM5" s="977"/>
      <c r="BN5" s="977"/>
      <c r="BO5" s="103"/>
    </row>
    <row r="6" spans="2:73" s="94" customFormat="1" ht="15.75" customHeight="1" thickBot="1" x14ac:dyDescent="0.25">
      <c r="B6" s="987" t="s">
        <v>1026</v>
      </c>
      <c r="C6" s="988"/>
      <c r="D6" s="988"/>
      <c r="E6" s="989"/>
      <c r="F6" s="990" t="s">
        <v>286</v>
      </c>
      <c r="G6" s="991"/>
      <c r="H6" s="992" t="s">
        <v>1032</v>
      </c>
      <c r="I6" s="993"/>
      <c r="J6" s="993"/>
      <c r="K6" s="993"/>
      <c r="L6" s="991"/>
      <c r="M6" s="945" t="s">
        <v>805</v>
      </c>
      <c r="N6" s="946"/>
      <c r="O6" s="947">
        <v>1.1000000000000001</v>
      </c>
      <c r="P6" s="948"/>
      <c r="Q6" s="949">
        <f>IF((graded_aca_events+graded_amn_events)&lt;1,"0",IF(ISERROR(AR46),"",IF(F41&lt;&gt;"COMPLETE","INCOMPLETE",AR46)))</f>
        <v>0.91340833333333327</v>
      </c>
      <c r="R6" s="950"/>
      <c r="S6" s="87"/>
      <c r="T6" s="99"/>
      <c r="U6" s="99">
        <v>2</v>
      </c>
      <c r="V6" s="99">
        <v>3</v>
      </c>
      <c r="W6" s="99">
        <v>6</v>
      </c>
      <c r="X6" s="99">
        <v>7</v>
      </c>
      <c r="Y6" s="99">
        <v>11</v>
      </c>
      <c r="Z6" s="99">
        <v>8</v>
      </c>
      <c r="AA6" s="99">
        <v>9</v>
      </c>
      <c r="AB6" s="99">
        <v>10</v>
      </c>
      <c r="AC6" s="99">
        <v>5</v>
      </c>
      <c r="AD6" s="99">
        <v>4</v>
      </c>
      <c r="AE6" s="99">
        <v>12</v>
      </c>
      <c r="AF6" s="99">
        <v>13</v>
      </c>
      <c r="AG6" s="99"/>
      <c r="AH6" s="99"/>
      <c r="AI6" s="104"/>
      <c r="AJ6" s="105"/>
      <c r="AK6" s="105"/>
      <c r="AL6" s="105"/>
      <c r="AM6" s="105" t="b">
        <f>IF(COUNT(AM8:AM39)&gt;0,TRUE,FALSE)</f>
        <v>1</v>
      </c>
      <c r="AN6" s="105" t="b">
        <f>IF(COUNT(AN8:AN39)&gt;0,TRUE,FALSE)</f>
        <v>1</v>
      </c>
      <c r="AO6" s="99"/>
      <c r="AP6" s="99"/>
      <c r="AQ6" s="98"/>
      <c r="AR6" s="98"/>
      <c r="AS6" s="99"/>
      <c r="AT6" s="106">
        <v>0.2</v>
      </c>
      <c r="AU6" s="99"/>
      <c r="AV6" s="107">
        <f>0.01*input_maxb</f>
        <v>0.03</v>
      </c>
      <c r="AW6" s="108" t="s">
        <v>287</v>
      </c>
      <c r="AX6" s="109"/>
      <c r="AY6" s="108" t="s">
        <v>288</v>
      </c>
      <c r="AZ6" s="109"/>
      <c r="BA6" s="110" t="s">
        <v>289</v>
      </c>
      <c r="BB6" s="110"/>
      <c r="BC6" s="108" t="s">
        <v>290</v>
      </c>
      <c r="BD6" s="110"/>
      <c r="BE6" s="111"/>
      <c r="BF6" s="112"/>
      <c r="BG6" s="99" t="s">
        <v>291</v>
      </c>
      <c r="BH6" s="944"/>
      <c r="BI6" s="944"/>
      <c r="BJ6" s="944"/>
      <c r="BK6" s="944"/>
      <c r="BL6" s="977"/>
      <c r="BM6" s="977"/>
      <c r="BN6" s="977"/>
      <c r="BO6" s="90"/>
    </row>
    <row r="7" spans="2:73" ht="27" customHeight="1" thickBot="1" x14ac:dyDescent="0.25">
      <c r="B7" s="951" t="s">
        <v>292</v>
      </c>
      <c r="C7" s="952"/>
      <c r="D7" s="952"/>
      <c r="E7" s="952"/>
      <c r="F7" s="953"/>
      <c r="G7" s="113" t="s">
        <v>293</v>
      </c>
      <c r="H7" s="114" t="s">
        <v>294</v>
      </c>
      <c r="I7" s="115" t="s">
        <v>295</v>
      </c>
      <c r="J7" s="116" t="s">
        <v>296</v>
      </c>
      <c r="K7" s="117" t="s">
        <v>297</v>
      </c>
      <c r="L7" s="954" t="s">
        <v>298</v>
      </c>
      <c r="M7" s="952"/>
      <c r="N7" s="952"/>
      <c r="O7" s="952"/>
      <c r="P7" s="952"/>
      <c r="Q7" s="952"/>
      <c r="R7" s="955"/>
      <c r="T7" s="118" t="s">
        <v>299</v>
      </c>
      <c r="U7" s="118"/>
      <c r="V7" s="118" t="s">
        <v>300</v>
      </c>
      <c r="W7" s="118" t="s">
        <v>301</v>
      </c>
      <c r="X7" s="118" t="s">
        <v>302</v>
      </c>
      <c r="Y7" s="118" t="s">
        <v>303</v>
      </c>
      <c r="Z7" s="118" t="s">
        <v>304</v>
      </c>
      <c r="AA7" s="118" t="s">
        <v>305</v>
      </c>
      <c r="AB7" s="118" t="s">
        <v>306</v>
      </c>
      <c r="AC7" s="118" t="s">
        <v>307</v>
      </c>
      <c r="AD7" s="118" t="s">
        <v>308</v>
      </c>
      <c r="AE7" s="118" t="s">
        <v>309</v>
      </c>
      <c r="AF7" s="118" t="s">
        <v>310</v>
      </c>
      <c r="AG7" s="118" t="s">
        <v>311</v>
      </c>
      <c r="AH7" s="118" t="s">
        <v>312</v>
      </c>
      <c r="AI7" s="119" t="s">
        <v>313</v>
      </c>
      <c r="AJ7" s="120" t="s">
        <v>314</v>
      </c>
      <c r="AK7" s="121" t="s">
        <v>315</v>
      </c>
      <c r="AL7" s="121" t="s">
        <v>316</v>
      </c>
      <c r="AM7" s="121" t="s">
        <v>317</v>
      </c>
      <c r="AN7" s="121" t="s">
        <v>318</v>
      </c>
      <c r="AO7" s="120" t="s">
        <v>319</v>
      </c>
      <c r="AP7" s="120" t="s">
        <v>320</v>
      </c>
      <c r="AQ7" s="122" t="s">
        <v>321</v>
      </c>
      <c r="AR7" s="123" t="s">
        <v>1</v>
      </c>
      <c r="AS7" s="122" t="s">
        <v>322</v>
      </c>
      <c r="AT7" s="123" t="s">
        <v>1</v>
      </c>
      <c r="AU7" s="122" t="s">
        <v>323</v>
      </c>
      <c r="AV7" s="124" t="s">
        <v>324</v>
      </c>
      <c r="AW7" s="125" t="s">
        <v>325</v>
      </c>
      <c r="AX7" s="126" t="s">
        <v>326</v>
      </c>
      <c r="AY7" s="125" t="s">
        <v>327</v>
      </c>
      <c r="AZ7" s="126" t="s">
        <v>328</v>
      </c>
      <c r="BA7" s="127" t="s">
        <v>329</v>
      </c>
      <c r="BB7" s="127" t="s">
        <v>330</v>
      </c>
      <c r="BC7" s="128" t="s">
        <v>331</v>
      </c>
      <c r="BD7" s="129" t="s">
        <v>332</v>
      </c>
      <c r="BE7" s="130" t="s">
        <v>333</v>
      </c>
      <c r="BF7" s="131" t="s">
        <v>334</v>
      </c>
      <c r="BH7" s="88" t="s">
        <v>335</v>
      </c>
      <c r="BI7" s="88" t="s">
        <v>336</v>
      </c>
      <c r="BJ7" s="118" t="s">
        <v>337</v>
      </c>
      <c r="BK7" s="88" t="s">
        <v>338</v>
      </c>
      <c r="BL7" s="88" t="s">
        <v>335</v>
      </c>
      <c r="BM7" s="88" t="s">
        <v>336</v>
      </c>
      <c r="BN7" s="88" t="s">
        <v>338</v>
      </c>
    </row>
    <row r="8" spans="2:73" ht="12.95" customHeight="1" x14ac:dyDescent="0.2">
      <c r="B8" s="132" t="str">
        <f>IF(ISNA(Z8),"",IF(OR(Z8=1,Z8=2),"",1))</f>
        <v/>
      </c>
      <c r="C8" s="956" t="str">
        <f t="shared" ref="C8:C36" si="0">IF(ISNA(Z8),"",CONCATENATE($U8,IF(ISNUMBER(AI8),TEXT(ROUND($AI8,3)," (0.0%)"),""),IF(AU8&gt;0," Bonus","")))</f>
        <v>Airmanship Tasks (16.7%)</v>
      </c>
      <c r="D8" s="956"/>
      <c r="E8" s="956"/>
      <c r="F8" s="957"/>
      <c r="G8" s="133" t="str">
        <f t="shared" ref="G8:G39" si="1">BH8</f>
        <v/>
      </c>
      <c r="H8" s="134" t="str">
        <f t="shared" ref="H8:I39" si="2">BJ8</f>
        <v/>
      </c>
      <c r="I8" s="135" t="str">
        <f t="shared" si="2"/>
        <v/>
      </c>
      <c r="J8" s="136" t="s">
        <v>340</v>
      </c>
      <c r="K8" s="137" t="s">
        <v>340</v>
      </c>
      <c r="L8" s="958" t="s">
        <v>1033</v>
      </c>
      <c r="M8" s="959"/>
      <c r="N8" s="959"/>
      <c r="O8" s="959"/>
      <c r="P8" s="959"/>
      <c r="Q8" s="959"/>
      <c r="R8" s="960"/>
      <c r="T8" s="88">
        <v>1</v>
      </c>
      <c r="U8" s="88" t="s">
        <v>339</v>
      </c>
      <c r="V8" s="453" t="s">
        <v>340</v>
      </c>
      <c r="W8" s="453" t="s">
        <v>340</v>
      </c>
      <c r="X8" s="453" t="s">
        <v>340</v>
      </c>
      <c r="Y8" s="453" t="s">
        <v>340</v>
      </c>
      <c r="Z8" s="453">
        <v>1</v>
      </c>
      <c r="AA8" s="453">
        <v>0</v>
      </c>
      <c r="AB8" s="453">
        <v>0</v>
      </c>
      <c r="AC8" s="453" t="s">
        <v>340</v>
      </c>
      <c r="AD8" s="453" t="s">
        <v>340</v>
      </c>
      <c r="AE8" s="453">
        <v>0</v>
      </c>
      <c r="AF8" s="453" t="s">
        <v>340</v>
      </c>
      <c r="AG8" s="453" t="str">
        <f t="shared" ref="AG8:AG39" si="3">IF(CrewSoloQual="Yes",$AC8,$AD8)</f>
        <v/>
      </c>
      <c r="AH8" s="453" t="str">
        <f t="shared" ref="AH8:AH39" si="4">IF(ISNUMBER(AC8),IF(CrewSoloQual="Yes",$AC8-1,$AD8-1),"")</f>
        <v/>
      </c>
      <c r="AI8" s="138">
        <f>IF(NOT(OR(Z8=1,Z8=2)),IF(AQ8&gt;0,$AR$44*AQ8/SUMIF($AQ$8:$AQ$39,"&gt;0"),IF(AU8&gt;0,$AV$44*AU8/SUMIF($AU$8:$AU$39,"&gt;0"),IF(AS8&gt;0,$AT$44*AS8/SUMIF($AS$8:$AS$39,"&gt;0"),""))),IF(SUMIF(AJ9:$AJ$39,"=" &amp; AJ8,AI9:$AI$39)=0,"",SUMIF(AJ9:$AJ$39,"=" &amp; AJ8,AI9:$AI$39)))</f>
        <v>0.16666666666666666</v>
      </c>
      <c r="AJ8" s="139">
        <f>0</f>
        <v>0</v>
      </c>
      <c r="AK8" s="453" t="str">
        <f>BI8</f>
        <v/>
      </c>
      <c r="AL8" s="453" t="str">
        <f>IF(ISBLANK(K8),"",K8)</f>
        <v/>
      </c>
      <c r="AM8" s="453" t="str">
        <f>IF(ISNUMBER(AK8),IF(ISNUMBER(AL8),1,""),"")</f>
        <v/>
      </c>
      <c r="AN8" s="453" t="str">
        <f t="shared" ref="AN8:AN36" si="5">IF(ISNUMBER(AH8),IF(AND(AB8=0,ISNUMBER(AC8),ISNUMBER(AL8)),1,""),"")</f>
        <v/>
      </c>
      <c r="AO8" s="453" t="str">
        <f t="shared" ref="AO8:AO39" si="6">IF(AB8=0,IF(CrewSoloQual="No",BI8,BK8),"")</f>
        <v/>
      </c>
      <c r="AP8" s="453" t="str">
        <f t="shared" ref="AP8:AP39" si="7">IF(ISNA(Z8),"",IF(AND(ISNUMBER(B8),G8&gt;=1,H8&lt;&gt;"NG"),IF(K8&lt;BK8,TRUE,FALSE),IF(AND(G8&gt;=1,J8="NA"),TRUE,IF(AND(AM8=1,G8=0,AL8&lt;BI8),TRUE,""))))</f>
        <v/>
      </c>
      <c r="AQ8" s="140">
        <f>IF(ISNA(Z8),0,IF(OR(J8="NA",W8="",AB8=0),0,W8))</f>
        <v>0</v>
      </c>
      <c r="AR8" s="141" t="str">
        <f t="shared" ref="AR8:AR39" si="8">IF(ISNA(Z8),"",IF(AND(NOT(OR(Z8=1,Z8=2,AK8="NG",AB8=0)),IF(ISNUMBER(AL8),AL8&gt;=0,FALSE)),VLOOKUP((10*AD8+AC8),$AQ$50:$AV$58,2+AL8,FALSE),IF(AND(input_test=TRUE,ISNUMBER(AD8),V8&lt;&gt;0),VLOOKUP((10*AD8+AC8),$AQ$50:$AV$58,2,FALSE),"")))</f>
        <v/>
      </c>
      <c r="AS8" s="142">
        <f>IF(ISNA(Z8),0,IF(OR(J8="NA",X8="",AB8=1),0,X8))</f>
        <v>0</v>
      </c>
      <c r="AT8" s="141" t="str">
        <f t="shared" ref="AT8:AT39" si="9">IF(ISNA(Z8),"",IF(AND(NOT(OR(Z8=1,Z8=2,AK8="NG",AB8=1)),IF(ISNUMBER(AL8),AL8&gt;=0,FALSE)),VLOOKUP((10*AH8+AG8),$AQ$50:$AV$58,2+AL8,FALSE),IF(AND(input_test=TRUE,ISNUMBER(AD8),V8&lt;&gt;0),VLOOKUP((10*AH8+AG8),$AQ$50:$AV$58,2,FALSE),"")))</f>
        <v/>
      </c>
      <c r="AU8" s="143">
        <f t="shared" ref="AU8:AU39" si="10">IF(ISNA(Z8),0,IF(OR(J8="NA",Y8=""),0,Y8))</f>
        <v>0</v>
      </c>
      <c r="AV8" s="144" t="str">
        <f t="shared" ref="AV8:AV39" si="11">AR8</f>
        <v/>
      </c>
      <c r="AW8" s="143" t="b">
        <f t="shared" ref="AW8:AW39" si="12">IF(ISNA(Z8),FALSE,IF(OR(AB8=1,G8=0,Z8=1,Z8=2),FALSE,IF(OR(J8="NA",J8&gt;=G8),FALSE,TRUE)))</f>
        <v>0</v>
      </c>
      <c r="AX8" s="145" t="b">
        <f t="shared" ref="AX8:AX39" si="13">IF(ISNA(Z8),FALSE,IF(OR(AB8=0,G8=0,Z8=1,Z8=2,J8="NA"),FALSE,IF(AK8="NG",IF(NOT(ISBLANK(K8)),FALSE,TRUE),IF(J8&gt;=G8,FALSE,TRUE))))</f>
        <v>0</v>
      </c>
      <c r="AY8" s="143" t="b">
        <f t="shared" ref="AY8:AY39" si="14">IF(ISNA(Z8),FALSE,IF(OR(AB8=1,G8&lt;1,Z8=1,Z8=2,AE8=0,ISBLANK(K8)),FALSE,IF(OR(J8="NA",K8&gt;=BI8),FALSE,TRUE)))</f>
        <v>0</v>
      </c>
      <c r="AZ8" s="145" t="b">
        <f t="shared" ref="AZ8:AZ39" si="15">IF(ISNA(Z8),FALSE,IF(OR(AB8=0,G8=0,Z8=1,Z8=2,AE8=0,BI8="NG",K8="",ISBLANK(K8)),FALSE,IF(OR(J8="NA",K8&gt;=AK8),FALSE,TRUE)))</f>
        <v>0</v>
      </c>
      <c r="BA8" s="453" t="b">
        <f t="shared" ref="BA8:BA39" si="16">IF(ISNA(Z8),FALSE,IF(OR(AB8=1,G8&lt;1,Z8=1,Z8=2,AE8=0),FALSE,IF(J8="NA",TRUE,FALSE)))</f>
        <v>0</v>
      </c>
      <c r="BB8" s="453" t="b">
        <f t="shared" ref="BB8:BB39" si="17">IF(ISNA(Z8),FALSE,IF(OR(AB8=0,G8=0,Z8=1,Z8=2),FALSE,IF(J8="NA",TRUE,FALSE)))</f>
        <v>0</v>
      </c>
      <c r="BC8" s="143" t="b">
        <f t="shared" ref="BC8:BC39" si="18">IF(OR(ISNA($Z8),ISNUMBER($Z8),NOT(ISNUMBER($J8)),K8="D"),FALSE,IF(AND(NOT(ISNUMBER($K8)),J8&gt;0),TRUE,FALSE))</f>
        <v>0</v>
      </c>
      <c r="BD8" s="146" t="b">
        <f>IF(OR(ISNA($Z8),ISNUMBER($Z8),NOT(ISNUMBER(K8))),FALSE,OR(NOT(ISNUMBER(J8)),J8=0,AND(J8=0,K8&lt;&gt;0)))</f>
        <v>0</v>
      </c>
      <c r="BE8" s="145" t="b">
        <f t="shared" ref="BE8:BE21" si="19">IF(OR(ISNA($Z8),K8&lt;&gt;"D"),FALSE,IF(OR(AND(H8="NG",J8=0),AND(H8&lt;&gt;"NG",NOT(OR(J8="NA",J8=0)))),TRUE,FALSE))</f>
        <v>0</v>
      </c>
      <c r="BF8" s="147" t="b">
        <f t="shared" ref="BF8:BF30" si="20">IF(OR(ISNA($Z8),H8&lt;&gt;"NG"),FALSE,IF(AND(J8="NA",K8&lt;&gt;""),TRUE,FALSE))</f>
        <v>0</v>
      </c>
      <c r="BG8" s="453" t="b">
        <f t="shared" ref="BG8:BG21" si="21">IF(ISNA($Z8),"NA",IF(OR(AZ8,AY8,AX8,AW8,AP8,BA8,BB8),TRUE,FALSE))</f>
        <v>0</v>
      </c>
      <c r="BH8" s="148" t="str">
        <f>IF(ISNA($Z8),"",IF(OR($Z8=1,$Z8=2),"",$V8))</f>
        <v/>
      </c>
      <c r="BI8" s="453" t="str">
        <f t="shared" ref="BI8:BI39" si="22">IF(ISNA($Z8),"",IF(OR($Z8=1,$Z8=2,$G8=""),"",IF(AB8=0,AH8,$AD8)))</f>
        <v/>
      </c>
      <c r="BJ8" s="453" t="str">
        <f t="shared" ref="BJ8:BJ39" si="23">IF(ISNA(AE8),"",IF(OR(Z8=1,Z8=2),"",IF(OR(AE8=0,AD8="NG"),TEXT(BI8,"0"),CONCATENATE(TEXT(BI8,"0"),"*"))))</f>
        <v/>
      </c>
      <c r="BK8" s="453" t="str">
        <f t="shared" ref="BK8:BK39" si="24">IF(ISNA($Z8),"",IF(OR($Z8=1,$Z8=2,$G8=""),"",IF(AB8=0,AG8,$AC8)))</f>
        <v/>
      </c>
      <c r="BL8" s="148" t="str">
        <f>IF(ISBLANK(BH8),"",IF(BH8=0,"",BH8))</f>
        <v/>
      </c>
      <c r="BM8" s="453" t="str">
        <f t="shared" ref="BM8:BM39" si="25">IF($BH8=0,"",IF($BI8="NG","D",$BI8))</f>
        <v/>
      </c>
      <c r="BN8" s="453" t="str">
        <f t="shared" ref="BN8:BN39" si="26">IF(ISNA(U8),"",IF($BH8=0,"",IF($BI8="NG","D",BK8)))</f>
        <v/>
      </c>
      <c r="BO8" s="149" t="s">
        <v>341</v>
      </c>
      <c r="BP8" s="150"/>
    </row>
    <row r="9" spans="2:73" s="94" customFormat="1" ht="12.95" customHeight="1" x14ac:dyDescent="0.2">
      <c r="B9" s="151">
        <f>IF(ISNA(Z9),"",IF(OR(Z9=1,Z9=2),"    ",MAX($B$8:B8)+1))</f>
        <v>1</v>
      </c>
      <c r="C9" s="904" t="str">
        <f t="shared" si="0"/>
        <v>Basic Aircraft Procedures (3.3%)</v>
      </c>
      <c r="D9" s="904"/>
      <c r="E9" s="904"/>
      <c r="F9" s="905"/>
      <c r="G9" s="133">
        <f t="shared" si="1"/>
        <v>1</v>
      </c>
      <c r="H9" s="134" t="str">
        <f t="shared" si="2"/>
        <v>2*</v>
      </c>
      <c r="I9" s="152">
        <f t="shared" si="2"/>
        <v>3</v>
      </c>
      <c r="J9" s="480">
        <v>1</v>
      </c>
      <c r="K9" s="159">
        <v>4</v>
      </c>
      <c r="L9" s="961"/>
      <c r="M9" s="962"/>
      <c r="N9" s="962"/>
      <c r="O9" s="962"/>
      <c r="P9" s="962"/>
      <c r="Q9" s="962"/>
      <c r="R9" s="963"/>
      <c r="T9" s="99">
        <v>2</v>
      </c>
      <c r="U9" s="88" t="s">
        <v>342</v>
      </c>
      <c r="V9" s="453">
        <v>1</v>
      </c>
      <c r="W9" s="453" t="s">
        <v>340</v>
      </c>
      <c r="X9" s="453">
        <v>1</v>
      </c>
      <c r="Y9" s="453" t="s">
        <v>340</v>
      </c>
      <c r="Z9" s="146" t="s">
        <v>340</v>
      </c>
      <c r="AA9" s="146">
        <v>1</v>
      </c>
      <c r="AB9" s="146">
        <v>0</v>
      </c>
      <c r="AC9" s="453">
        <v>3</v>
      </c>
      <c r="AD9" s="453">
        <v>2</v>
      </c>
      <c r="AE9" s="453">
        <v>1</v>
      </c>
      <c r="AF9" s="453" t="b">
        <v>1</v>
      </c>
      <c r="AG9" s="453">
        <f t="shared" si="3"/>
        <v>3</v>
      </c>
      <c r="AH9" s="453">
        <f t="shared" si="4"/>
        <v>2</v>
      </c>
      <c r="AI9" s="138">
        <f>IF(NOT(OR(Z9=1,Z9=2)),IF(AQ9&gt;0,$AR$44*AQ9/SUMIF($AQ$8:$AQ$39,"&gt;0"),IF(AU9&gt;0,$AV$44*AU9/SUMIF($AU$8:$AU$39,"&gt;0"),IF(AS9&gt;0,$AT$44*AS9/SUMIF($AS$8:$AS$39,"&gt;0"),""))),IF(SUMIF(AJ10:$AJ$39,"=" &amp; AJ9,AI10:$AI$39)=0,"",SUMIF(AJ10:$AJ$39,"=" &amp; AJ9,AI10:$AI$39)))</f>
        <v>3.3333333333333333E-2</v>
      </c>
      <c r="AJ9" s="139">
        <f>IF(OR(Z9=1,Z9=2,AA9&lt;AA8),AJ8+1,AJ8)</f>
        <v>0</v>
      </c>
      <c r="AK9" s="453">
        <f t="shared" ref="AK9:AK39" si="27">BI9</f>
        <v>2</v>
      </c>
      <c r="AL9" s="146">
        <f t="shared" ref="AL9:AL39" si="28">IF(ISBLANK(K9),"",K9)</f>
        <v>4</v>
      </c>
      <c r="AM9" s="146">
        <f>IF(ISNUMBER(AK9),IF(ISNUMBER(AL9),1,""),"")</f>
        <v>1</v>
      </c>
      <c r="AN9" s="146">
        <f t="shared" si="5"/>
        <v>1</v>
      </c>
      <c r="AO9" s="146">
        <f t="shared" si="6"/>
        <v>3</v>
      </c>
      <c r="AP9" s="453" t="b">
        <f>IF(ISNA(Z9),"",IF(AND(ISNUMBER(B9),G9&gt;=1,H9&lt;&gt;"NG"),IF(K9&lt;BK9,TRUE,FALSE),IF(AND(G9&gt;=1,J9="NA"),TRUE,IF(AND(AM9=1,G9=0,AL9&lt;BI9),TRUE,""))))</f>
        <v>0</v>
      </c>
      <c r="AQ9" s="140">
        <f t="shared" ref="AQ9:AQ39" si="29">IF(ISNA(Z9),0,IF(OR(J9="NA",W9="",AB9=0),0,W9))</f>
        <v>0</v>
      </c>
      <c r="AR9" s="141" t="str">
        <f>IF(ISNA(Z9),"",IF(AND(NOT(OR(Z9=1,Z9=2,AK9="NG",AB9=0)),IF(ISNUMBER(AL9),AL9&gt;=0,FALSE)),VLOOKUP((10*AD9+AC9),$AQ$50:$AV$58,2+AL9,FALSE),IF(AND(input_test=TRUE,ISNUMBER(AD9),V9&lt;&gt;0),VLOOKUP((10*AD9+AC9),$AQ$50:$AV$58,2,FALSE),"")))</f>
        <v/>
      </c>
      <c r="AS9" s="142">
        <f t="shared" ref="AS9:AS39" si="30">IF(ISNA(Z9),0,IF(OR(J9="NA",X9="",AB9=1),0,X9))</f>
        <v>1</v>
      </c>
      <c r="AT9" s="141">
        <f>IF(ISNA(Z9),"",IF(AND(NOT(OR(Z9=1,Z9=2,AK9="NG",AB9=1)),IF(ISNUMBER(AL9),AL9&gt;=0,FALSE)),VLOOKUP((10*AH9+AG9),$AQ$50:$AV$58,2+AL9,FALSE),IF(AND(input_test=TRUE,ISNUMBER(AD9),V9&lt;&gt;0),VLOOKUP((10*AH9+AG9),$AQ$50:$AV$58,2,FALSE),"")))</f>
        <v>1</v>
      </c>
      <c r="AU9" s="143">
        <f t="shared" si="10"/>
        <v>0</v>
      </c>
      <c r="AV9" s="144" t="str">
        <f t="shared" si="11"/>
        <v/>
      </c>
      <c r="AW9" s="143" t="b">
        <f t="shared" si="12"/>
        <v>0</v>
      </c>
      <c r="AX9" s="145" t="b">
        <f t="shared" si="13"/>
        <v>0</v>
      </c>
      <c r="AY9" s="143" t="b">
        <f t="shared" si="14"/>
        <v>0</v>
      </c>
      <c r="AZ9" s="145" t="b">
        <f t="shared" si="15"/>
        <v>0</v>
      </c>
      <c r="BA9" s="453" t="b">
        <f t="shared" si="16"/>
        <v>0</v>
      </c>
      <c r="BB9" s="453" t="b">
        <f t="shared" si="17"/>
        <v>0</v>
      </c>
      <c r="BC9" s="143" t="b">
        <f t="shared" si="18"/>
        <v>0</v>
      </c>
      <c r="BD9" s="146" t="b">
        <f t="shared" ref="BD9:BD39" si="31">IF(OR(ISNA($Z9),ISNUMBER($Z9),NOT(ISNUMBER(K9))),FALSE,OR(NOT(ISNUMBER(J9)),J9=0,AND(J9=0,K9&lt;&gt;0)))</f>
        <v>0</v>
      </c>
      <c r="BE9" s="145" t="b">
        <f t="shared" si="19"/>
        <v>0</v>
      </c>
      <c r="BF9" s="147" t="b">
        <f t="shared" si="20"/>
        <v>0</v>
      </c>
      <c r="BG9" s="453" t="b">
        <f t="shared" si="21"/>
        <v>0</v>
      </c>
      <c r="BH9" s="453">
        <f t="shared" ref="BH9:BH39" si="32">IF(ISNA($Z9),"",IF(OR($Z9=1,$Z9=2),"",$V9))</f>
        <v>1</v>
      </c>
      <c r="BI9" s="453">
        <f t="shared" si="22"/>
        <v>2</v>
      </c>
      <c r="BJ9" s="453" t="str">
        <f t="shared" si="23"/>
        <v>2*</v>
      </c>
      <c r="BK9" s="453">
        <f t="shared" si="24"/>
        <v>3</v>
      </c>
      <c r="BL9" s="148">
        <f t="shared" ref="BL9:BL39" si="33">IF(ISBLANK(BH9),"",IF(BH9=0,"",BH9))</f>
        <v>1</v>
      </c>
      <c r="BM9" s="453">
        <f t="shared" si="25"/>
        <v>2</v>
      </c>
      <c r="BN9" s="453">
        <f t="shared" si="26"/>
        <v>3</v>
      </c>
      <c r="BO9" s="155" t="s">
        <v>343</v>
      </c>
      <c r="BP9" s="156" t="s">
        <v>344</v>
      </c>
    </row>
    <row r="10" spans="2:73" s="94" customFormat="1" ht="12.95" customHeight="1" x14ac:dyDescent="0.2">
      <c r="B10" s="151">
        <f>IF(ISNA(Z10),"",IF(OR(Z10=1,Z10=2),"    ",MAX($B$8:B9)+1))</f>
        <v>2</v>
      </c>
      <c r="C10" s="904" t="str">
        <f t="shared" si="0"/>
        <v>Basic Aircraft Handling (3.3%)</v>
      </c>
      <c r="D10" s="904"/>
      <c r="E10" s="904"/>
      <c r="F10" s="905"/>
      <c r="G10" s="133">
        <f t="shared" si="1"/>
        <v>1</v>
      </c>
      <c r="H10" s="134" t="str">
        <f t="shared" si="2"/>
        <v>2*</v>
      </c>
      <c r="I10" s="152">
        <f t="shared" si="2"/>
        <v>3</v>
      </c>
      <c r="J10" s="158">
        <v>1</v>
      </c>
      <c r="K10" s="159">
        <v>3</v>
      </c>
      <c r="L10" s="961"/>
      <c r="M10" s="962"/>
      <c r="N10" s="962"/>
      <c r="O10" s="962"/>
      <c r="P10" s="962"/>
      <c r="Q10" s="962"/>
      <c r="R10" s="963"/>
      <c r="T10" s="99">
        <v>3</v>
      </c>
      <c r="U10" s="88" t="s">
        <v>551</v>
      </c>
      <c r="V10" s="453">
        <v>1</v>
      </c>
      <c r="W10" s="453" t="s">
        <v>340</v>
      </c>
      <c r="X10" s="453">
        <v>1</v>
      </c>
      <c r="Y10" s="453" t="s">
        <v>340</v>
      </c>
      <c r="Z10" s="146" t="s">
        <v>340</v>
      </c>
      <c r="AA10" s="146">
        <v>1</v>
      </c>
      <c r="AB10" s="146">
        <v>0</v>
      </c>
      <c r="AC10" s="453">
        <v>3</v>
      </c>
      <c r="AD10" s="453">
        <v>2</v>
      </c>
      <c r="AE10" s="453">
        <v>1</v>
      </c>
      <c r="AF10" s="453" t="b">
        <v>1</v>
      </c>
      <c r="AG10" s="453">
        <f t="shared" si="3"/>
        <v>3</v>
      </c>
      <c r="AH10" s="453">
        <f t="shared" si="4"/>
        <v>2</v>
      </c>
      <c r="AI10" s="138">
        <f>IF(NOT(OR(Z10=1,Z10=2)),IF(AQ10&gt;0,$AR$44*AQ10/SUMIF($AQ$8:$AQ$39,"&gt;0"),IF(AU10&gt;0,$AV$44*AU10/SUMIF($AU$8:$AU$39,"&gt;0"),IF(AS10&gt;0,$AT$44*AS10/SUMIF($AS$8:$AS$39,"&gt;0"),""))),IF(SUMIF(AJ11:$AJ$39,"=" &amp; AJ10,AI11:$AI$39)=0,"",SUMIF(AJ11:$AJ$39,"=" &amp; AJ10,AI11:$AI$39)))</f>
        <v>3.3333333333333333E-2</v>
      </c>
      <c r="AJ10" s="139">
        <f t="shared" ref="AJ10:AJ39" si="34">IF(OR(Z10=1,Z10=2,AA10&lt;AA9),AJ9+1,AJ9)</f>
        <v>0</v>
      </c>
      <c r="AK10" s="453">
        <f t="shared" si="27"/>
        <v>2</v>
      </c>
      <c r="AL10" s="146">
        <f t="shared" si="28"/>
        <v>3</v>
      </c>
      <c r="AM10" s="146">
        <f t="shared" ref="AM10:AM39" si="35">IF(ISNUMBER(AK10),IF(ISNUMBER(AL10),1,""),"")</f>
        <v>1</v>
      </c>
      <c r="AN10" s="146">
        <f t="shared" si="5"/>
        <v>1</v>
      </c>
      <c r="AO10" s="146">
        <f t="shared" si="6"/>
        <v>3</v>
      </c>
      <c r="AP10" s="453" t="b">
        <f t="shared" si="7"/>
        <v>0</v>
      </c>
      <c r="AQ10" s="140">
        <f t="shared" si="29"/>
        <v>0</v>
      </c>
      <c r="AR10" s="141" t="str">
        <f t="shared" si="8"/>
        <v/>
      </c>
      <c r="AS10" s="142">
        <f t="shared" si="30"/>
        <v>1</v>
      </c>
      <c r="AT10" s="141">
        <f t="shared" si="9"/>
        <v>0.9</v>
      </c>
      <c r="AU10" s="143">
        <f t="shared" si="10"/>
        <v>0</v>
      </c>
      <c r="AV10" s="144" t="str">
        <f t="shared" si="11"/>
        <v/>
      </c>
      <c r="AW10" s="143" t="b">
        <f t="shared" si="12"/>
        <v>0</v>
      </c>
      <c r="AX10" s="145" t="b">
        <f t="shared" si="13"/>
        <v>0</v>
      </c>
      <c r="AY10" s="143" t="b">
        <f t="shared" si="14"/>
        <v>0</v>
      </c>
      <c r="AZ10" s="145" t="b">
        <f t="shared" si="15"/>
        <v>0</v>
      </c>
      <c r="BA10" s="453" t="b">
        <f t="shared" si="16"/>
        <v>0</v>
      </c>
      <c r="BB10" s="453" t="b">
        <f t="shared" si="17"/>
        <v>0</v>
      </c>
      <c r="BC10" s="143" t="b">
        <f t="shared" si="18"/>
        <v>0</v>
      </c>
      <c r="BD10" s="146" t="b">
        <f t="shared" si="31"/>
        <v>0</v>
      </c>
      <c r="BE10" s="145" t="b">
        <f t="shared" si="19"/>
        <v>0</v>
      </c>
      <c r="BF10" s="147" t="b">
        <f t="shared" si="20"/>
        <v>0</v>
      </c>
      <c r="BG10" s="453" t="b">
        <f t="shared" si="21"/>
        <v>0</v>
      </c>
      <c r="BH10" s="453">
        <f t="shared" si="32"/>
        <v>1</v>
      </c>
      <c r="BI10" s="453">
        <f t="shared" si="22"/>
        <v>2</v>
      </c>
      <c r="BJ10" s="453" t="str">
        <f t="shared" si="23"/>
        <v>2*</v>
      </c>
      <c r="BK10" s="453">
        <f t="shared" si="24"/>
        <v>3</v>
      </c>
      <c r="BL10" s="148">
        <f t="shared" si="33"/>
        <v>1</v>
      </c>
      <c r="BM10" s="453">
        <f t="shared" si="25"/>
        <v>2</v>
      </c>
      <c r="BN10" s="453">
        <f t="shared" si="26"/>
        <v>3</v>
      </c>
      <c r="BO10" s="155">
        <v>0</v>
      </c>
      <c r="BP10" s="156" t="s">
        <v>346</v>
      </c>
    </row>
    <row r="11" spans="2:73" s="94" customFormat="1" ht="12.95" customHeight="1" x14ac:dyDescent="0.2">
      <c r="B11" s="151">
        <f>IF(ISNA(Z11),"",IF(OR(Z11=1,Z11=2),"    ",MAX($B$8:B10)+1))</f>
        <v>3</v>
      </c>
      <c r="C11" s="904" t="str">
        <f t="shared" si="0"/>
        <v>Local Area Proc./Orientation/Comm (3.3%)</v>
      </c>
      <c r="D11" s="904"/>
      <c r="E11" s="904"/>
      <c r="F11" s="905"/>
      <c r="G11" s="133">
        <f t="shared" si="1"/>
        <v>1</v>
      </c>
      <c r="H11" s="134" t="str">
        <f t="shared" si="2"/>
        <v>2*</v>
      </c>
      <c r="I11" s="152">
        <f t="shared" si="2"/>
        <v>3</v>
      </c>
      <c r="J11" s="158">
        <v>1</v>
      </c>
      <c r="K11" s="159">
        <v>3</v>
      </c>
      <c r="L11" s="961"/>
      <c r="M11" s="962"/>
      <c r="N11" s="962"/>
      <c r="O11" s="962"/>
      <c r="P11" s="962"/>
      <c r="Q11" s="962"/>
      <c r="R11" s="963"/>
      <c r="T11" s="99">
        <v>4</v>
      </c>
      <c r="U11" s="88" t="s">
        <v>345</v>
      </c>
      <c r="V11" s="453">
        <v>1</v>
      </c>
      <c r="W11" s="453" t="s">
        <v>340</v>
      </c>
      <c r="X11" s="453">
        <v>1</v>
      </c>
      <c r="Y11" s="453" t="s">
        <v>340</v>
      </c>
      <c r="Z11" s="146" t="s">
        <v>340</v>
      </c>
      <c r="AA11" s="146">
        <v>1</v>
      </c>
      <c r="AB11" s="146">
        <v>0</v>
      </c>
      <c r="AC11" s="453">
        <v>3</v>
      </c>
      <c r="AD11" s="453">
        <v>3</v>
      </c>
      <c r="AE11" s="453">
        <v>1</v>
      </c>
      <c r="AF11" s="453" t="b">
        <v>1</v>
      </c>
      <c r="AG11" s="453">
        <f t="shared" si="3"/>
        <v>3</v>
      </c>
      <c r="AH11" s="453">
        <f t="shared" si="4"/>
        <v>2</v>
      </c>
      <c r="AI11" s="138">
        <f>IF(NOT(OR(Z11=1,Z11=2)),IF(AQ11&gt;0,$AR$44*AQ11/SUMIF($AQ$8:$AQ$39,"&gt;0"),IF(AU11&gt;0,$AV$44*AU11/SUMIF($AU$8:$AU$39,"&gt;0"),IF(AS11&gt;0,$AT$44*AS11/SUMIF($AS$8:$AS$39,"&gt;0"),""))),IF(SUMIF(AJ12:$AJ$39,"=" &amp; AJ11,AI12:$AI$39)=0,"",SUMIF(AJ12:$AJ$39,"=" &amp; AJ11,AI12:$AI$39)))</f>
        <v>3.3333333333333333E-2</v>
      </c>
      <c r="AJ11" s="139">
        <f t="shared" si="34"/>
        <v>0</v>
      </c>
      <c r="AK11" s="453">
        <f t="shared" si="27"/>
        <v>2</v>
      </c>
      <c r="AL11" s="146">
        <f t="shared" si="28"/>
        <v>3</v>
      </c>
      <c r="AM11" s="146">
        <f t="shared" si="35"/>
        <v>1</v>
      </c>
      <c r="AN11" s="146">
        <f t="shared" si="5"/>
        <v>1</v>
      </c>
      <c r="AO11" s="146">
        <f t="shared" si="6"/>
        <v>3</v>
      </c>
      <c r="AP11" s="453" t="b">
        <f t="shared" si="7"/>
        <v>0</v>
      </c>
      <c r="AQ11" s="140">
        <f t="shared" si="29"/>
        <v>0</v>
      </c>
      <c r="AR11" s="141" t="str">
        <f t="shared" si="8"/>
        <v/>
      </c>
      <c r="AS11" s="142">
        <f t="shared" si="30"/>
        <v>1</v>
      </c>
      <c r="AT11" s="141">
        <f t="shared" si="9"/>
        <v>0.9</v>
      </c>
      <c r="AU11" s="143">
        <f t="shared" si="10"/>
        <v>0</v>
      </c>
      <c r="AV11" s="144" t="str">
        <f t="shared" si="11"/>
        <v/>
      </c>
      <c r="AW11" s="143" t="b">
        <f t="shared" si="12"/>
        <v>0</v>
      </c>
      <c r="AX11" s="145" t="b">
        <f t="shared" si="13"/>
        <v>0</v>
      </c>
      <c r="AY11" s="143" t="b">
        <f t="shared" si="14"/>
        <v>0</v>
      </c>
      <c r="AZ11" s="145" t="b">
        <f t="shared" si="15"/>
        <v>0</v>
      </c>
      <c r="BA11" s="453" t="b">
        <f t="shared" si="16"/>
        <v>0</v>
      </c>
      <c r="BB11" s="453" t="b">
        <f t="shared" si="17"/>
        <v>0</v>
      </c>
      <c r="BC11" s="143" t="b">
        <f t="shared" si="18"/>
        <v>0</v>
      </c>
      <c r="BD11" s="146" t="b">
        <f t="shared" si="31"/>
        <v>0</v>
      </c>
      <c r="BE11" s="145" t="b">
        <f t="shared" si="19"/>
        <v>0</v>
      </c>
      <c r="BF11" s="147" t="b">
        <f t="shared" si="20"/>
        <v>0</v>
      </c>
      <c r="BG11" s="453" t="b">
        <f t="shared" si="21"/>
        <v>0</v>
      </c>
      <c r="BH11" s="453">
        <f t="shared" si="32"/>
        <v>1</v>
      </c>
      <c r="BI11" s="453">
        <f t="shared" si="22"/>
        <v>2</v>
      </c>
      <c r="BJ11" s="453" t="str">
        <f t="shared" si="23"/>
        <v>2*</v>
      </c>
      <c r="BK11" s="453">
        <f t="shared" si="24"/>
        <v>3</v>
      </c>
      <c r="BL11" s="148">
        <f t="shared" si="33"/>
        <v>1</v>
      </c>
      <c r="BM11" s="453">
        <f t="shared" si="25"/>
        <v>2</v>
      </c>
      <c r="BN11" s="453">
        <f t="shared" si="26"/>
        <v>3</v>
      </c>
      <c r="BO11" s="155">
        <v>1</v>
      </c>
      <c r="BP11" s="156" t="s">
        <v>348</v>
      </c>
    </row>
    <row r="12" spans="2:73" s="94" customFormat="1" ht="12.95" customHeight="1" x14ac:dyDescent="0.2">
      <c r="B12" s="151">
        <f>IF(ISNA(Z12),"",IF(OR(Z12=1,Z12=2),"    ",MAX($B$8:B11)+1))</f>
        <v>4</v>
      </c>
      <c r="C12" s="904" t="str">
        <f t="shared" si="0"/>
        <v>Situational Awareness/Judgement (3.3%)</v>
      </c>
      <c r="D12" s="904"/>
      <c r="E12" s="904"/>
      <c r="F12" s="905"/>
      <c r="G12" s="133">
        <f t="shared" si="1"/>
        <v>1</v>
      </c>
      <c r="H12" s="134" t="str">
        <f t="shared" si="2"/>
        <v>2*</v>
      </c>
      <c r="I12" s="152">
        <f t="shared" si="2"/>
        <v>3</v>
      </c>
      <c r="J12" s="158">
        <v>1</v>
      </c>
      <c r="K12" s="159">
        <v>4</v>
      </c>
      <c r="L12" s="961"/>
      <c r="M12" s="962"/>
      <c r="N12" s="962"/>
      <c r="O12" s="962"/>
      <c r="P12" s="962"/>
      <c r="Q12" s="962"/>
      <c r="R12" s="963"/>
      <c r="T12" s="99">
        <v>5</v>
      </c>
      <c r="U12" s="88" t="s">
        <v>347</v>
      </c>
      <c r="V12" s="453">
        <v>1</v>
      </c>
      <c r="W12" s="453" t="s">
        <v>340</v>
      </c>
      <c r="X12" s="453">
        <v>1</v>
      </c>
      <c r="Y12" s="453" t="s">
        <v>340</v>
      </c>
      <c r="Z12" s="146" t="s">
        <v>340</v>
      </c>
      <c r="AA12" s="146">
        <v>1</v>
      </c>
      <c r="AB12" s="146">
        <v>0</v>
      </c>
      <c r="AC12" s="453">
        <v>3</v>
      </c>
      <c r="AD12" s="453">
        <v>3</v>
      </c>
      <c r="AE12" s="453">
        <v>1</v>
      </c>
      <c r="AF12" s="453" t="b">
        <v>1</v>
      </c>
      <c r="AG12" s="453">
        <f t="shared" si="3"/>
        <v>3</v>
      </c>
      <c r="AH12" s="453">
        <f t="shared" si="4"/>
        <v>2</v>
      </c>
      <c r="AI12" s="138">
        <f>IF(NOT(OR(Z12=1,Z12=2)),IF(AQ12&gt;0,$AR$44*AQ12/SUMIF($AQ$8:$AQ$39,"&gt;0"),IF(AU12&gt;0,$AV$44*AU12/SUMIF($AU$8:$AU$39,"&gt;0"),IF(AS12&gt;0,$AT$44*AS12/SUMIF($AS$8:$AS$39,"&gt;0"),""))),IF(SUMIF(AJ13:$AJ$39,"=" &amp; AJ12,AI13:$AI$39)=0,"",SUMIF(AJ13:$AJ$39,"=" &amp; AJ12,AI13:$AI$39)))</f>
        <v>3.3333333333333333E-2</v>
      </c>
      <c r="AJ12" s="139">
        <f t="shared" si="34"/>
        <v>0</v>
      </c>
      <c r="AK12" s="453">
        <f t="shared" si="27"/>
        <v>2</v>
      </c>
      <c r="AL12" s="146">
        <f t="shared" si="28"/>
        <v>4</v>
      </c>
      <c r="AM12" s="146">
        <f t="shared" si="35"/>
        <v>1</v>
      </c>
      <c r="AN12" s="146">
        <f t="shared" si="5"/>
        <v>1</v>
      </c>
      <c r="AO12" s="146">
        <f t="shared" si="6"/>
        <v>3</v>
      </c>
      <c r="AP12" s="453" t="b">
        <f t="shared" si="7"/>
        <v>0</v>
      </c>
      <c r="AQ12" s="140">
        <f t="shared" si="29"/>
        <v>0</v>
      </c>
      <c r="AR12" s="141" t="str">
        <f t="shared" si="8"/>
        <v/>
      </c>
      <c r="AS12" s="142">
        <f t="shared" si="30"/>
        <v>1</v>
      </c>
      <c r="AT12" s="141">
        <f t="shared" si="9"/>
        <v>1</v>
      </c>
      <c r="AU12" s="143">
        <f t="shared" si="10"/>
        <v>0</v>
      </c>
      <c r="AV12" s="144" t="str">
        <f t="shared" si="11"/>
        <v/>
      </c>
      <c r="AW12" s="143" t="b">
        <f t="shared" si="12"/>
        <v>0</v>
      </c>
      <c r="AX12" s="145" t="b">
        <f t="shared" si="13"/>
        <v>0</v>
      </c>
      <c r="AY12" s="143" t="b">
        <f t="shared" si="14"/>
        <v>0</v>
      </c>
      <c r="AZ12" s="145" t="b">
        <f t="shared" si="15"/>
        <v>0</v>
      </c>
      <c r="BA12" s="453" t="b">
        <f t="shared" si="16"/>
        <v>0</v>
      </c>
      <c r="BB12" s="453" t="b">
        <f t="shared" si="17"/>
        <v>0</v>
      </c>
      <c r="BC12" s="143" t="b">
        <f t="shared" si="18"/>
        <v>0</v>
      </c>
      <c r="BD12" s="146" t="b">
        <f t="shared" si="31"/>
        <v>0</v>
      </c>
      <c r="BE12" s="145" t="b">
        <f t="shared" si="19"/>
        <v>0</v>
      </c>
      <c r="BF12" s="147" t="b">
        <f t="shared" si="20"/>
        <v>0</v>
      </c>
      <c r="BG12" s="453" t="b">
        <f t="shared" si="21"/>
        <v>0</v>
      </c>
      <c r="BH12" s="453">
        <f t="shared" si="32"/>
        <v>1</v>
      </c>
      <c r="BI12" s="453">
        <f t="shared" si="22"/>
        <v>2</v>
      </c>
      <c r="BJ12" s="453" t="str">
        <f t="shared" si="23"/>
        <v>2*</v>
      </c>
      <c r="BK12" s="453">
        <f t="shared" si="24"/>
        <v>3</v>
      </c>
      <c r="BL12" s="148">
        <f t="shared" si="33"/>
        <v>1</v>
      </c>
      <c r="BM12" s="453">
        <f t="shared" si="25"/>
        <v>2</v>
      </c>
      <c r="BN12" s="453">
        <f t="shared" si="26"/>
        <v>3</v>
      </c>
      <c r="BO12" s="155">
        <v>2</v>
      </c>
      <c r="BP12" s="156" t="s">
        <v>350</v>
      </c>
    </row>
    <row r="13" spans="2:73" s="94" customFormat="1" ht="12.95" customHeight="1" x14ac:dyDescent="0.2">
      <c r="B13" s="151">
        <f>IF(ISNA(Z13),"",IF(OR(Z13=1,Z13=2),"    ",MAX($B$8:B12)+1))</f>
        <v>5</v>
      </c>
      <c r="C13" s="904" t="str">
        <f t="shared" si="0"/>
        <v>Clearing/Visual Lookout (3.3%)</v>
      </c>
      <c r="D13" s="904"/>
      <c r="E13" s="904"/>
      <c r="F13" s="905"/>
      <c r="G13" s="133">
        <f t="shared" si="1"/>
        <v>1</v>
      </c>
      <c r="H13" s="134" t="str">
        <f t="shared" si="2"/>
        <v>2*</v>
      </c>
      <c r="I13" s="152">
        <f t="shared" si="2"/>
        <v>3</v>
      </c>
      <c r="J13" s="158">
        <v>1</v>
      </c>
      <c r="K13" s="159">
        <v>4</v>
      </c>
      <c r="L13" s="961"/>
      <c r="M13" s="962"/>
      <c r="N13" s="962"/>
      <c r="O13" s="962"/>
      <c r="P13" s="962"/>
      <c r="Q13" s="962"/>
      <c r="R13" s="963"/>
      <c r="T13" s="99">
        <v>6</v>
      </c>
      <c r="U13" s="88" t="s">
        <v>349</v>
      </c>
      <c r="V13" s="453">
        <v>1</v>
      </c>
      <c r="W13" s="453" t="s">
        <v>340</v>
      </c>
      <c r="X13" s="453">
        <v>1</v>
      </c>
      <c r="Y13" s="453" t="s">
        <v>340</v>
      </c>
      <c r="Z13" s="146" t="s">
        <v>340</v>
      </c>
      <c r="AA13" s="146">
        <v>1</v>
      </c>
      <c r="AB13" s="146">
        <v>0</v>
      </c>
      <c r="AC13" s="453">
        <v>3</v>
      </c>
      <c r="AD13" s="453">
        <v>3</v>
      </c>
      <c r="AE13" s="453">
        <v>1</v>
      </c>
      <c r="AF13" s="453" t="b">
        <v>1</v>
      </c>
      <c r="AG13" s="453">
        <f t="shared" si="3"/>
        <v>3</v>
      </c>
      <c r="AH13" s="453">
        <f t="shared" si="4"/>
        <v>2</v>
      </c>
      <c r="AI13" s="138">
        <f>IF(NOT(OR(Z13=1,Z13=2)),IF(AQ13&gt;0,$AR$44*AQ13/SUMIF($AQ$8:$AQ$39,"&gt;0"),IF(AU13&gt;0,$AV$44*AU13/SUMIF($AU$8:$AU$39,"&gt;0"),IF(AS13&gt;0,$AT$44*AS13/SUMIF($AS$8:$AS$39,"&gt;0"),""))),IF(SUMIF(AJ14:$AJ$39,"=" &amp; AJ13,AI14:$AI$39)=0,"",SUMIF(AJ14:$AJ$39,"=" &amp; AJ13,AI14:$AI$39)))</f>
        <v>3.3333333333333333E-2</v>
      </c>
      <c r="AJ13" s="139">
        <f t="shared" si="34"/>
        <v>0</v>
      </c>
      <c r="AK13" s="453">
        <f t="shared" si="27"/>
        <v>2</v>
      </c>
      <c r="AL13" s="146">
        <f t="shared" si="28"/>
        <v>4</v>
      </c>
      <c r="AM13" s="146">
        <f t="shared" si="35"/>
        <v>1</v>
      </c>
      <c r="AN13" s="146">
        <f t="shared" si="5"/>
        <v>1</v>
      </c>
      <c r="AO13" s="146">
        <f t="shared" si="6"/>
        <v>3</v>
      </c>
      <c r="AP13" s="453" t="b">
        <f t="shared" si="7"/>
        <v>0</v>
      </c>
      <c r="AQ13" s="140">
        <f t="shared" si="29"/>
        <v>0</v>
      </c>
      <c r="AR13" s="141" t="str">
        <f t="shared" si="8"/>
        <v/>
      </c>
      <c r="AS13" s="142">
        <f t="shared" si="30"/>
        <v>1</v>
      </c>
      <c r="AT13" s="141">
        <f t="shared" si="9"/>
        <v>1</v>
      </c>
      <c r="AU13" s="143">
        <f t="shared" si="10"/>
        <v>0</v>
      </c>
      <c r="AV13" s="144" t="str">
        <f t="shared" si="11"/>
        <v/>
      </c>
      <c r="AW13" s="143" t="b">
        <f t="shared" si="12"/>
        <v>0</v>
      </c>
      <c r="AX13" s="145" t="b">
        <f t="shared" si="13"/>
        <v>0</v>
      </c>
      <c r="AY13" s="143" t="b">
        <f t="shared" si="14"/>
        <v>0</v>
      </c>
      <c r="AZ13" s="145" t="b">
        <f t="shared" si="15"/>
        <v>0</v>
      </c>
      <c r="BA13" s="453" t="b">
        <f t="shared" si="16"/>
        <v>0</v>
      </c>
      <c r="BB13" s="453" t="b">
        <f t="shared" si="17"/>
        <v>0</v>
      </c>
      <c r="BC13" s="143" t="b">
        <f t="shared" si="18"/>
        <v>0</v>
      </c>
      <c r="BD13" s="146" t="b">
        <f t="shared" si="31"/>
        <v>0</v>
      </c>
      <c r="BE13" s="145" t="b">
        <f t="shared" si="19"/>
        <v>0</v>
      </c>
      <c r="BF13" s="147" t="b">
        <f t="shared" si="20"/>
        <v>0</v>
      </c>
      <c r="BG13" s="453" t="b">
        <f t="shared" si="21"/>
        <v>0</v>
      </c>
      <c r="BH13" s="453">
        <f t="shared" si="32"/>
        <v>1</v>
      </c>
      <c r="BI13" s="453">
        <f t="shared" si="22"/>
        <v>2</v>
      </c>
      <c r="BJ13" s="453" t="str">
        <f t="shared" si="23"/>
        <v>2*</v>
      </c>
      <c r="BK13" s="453">
        <f t="shared" si="24"/>
        <v>3</v>
      </c>
      <c r="BL13" s="148">
        <f t="shared" si="33"/>
        <v>1</v>
      </c>
      <c r="BM13" s="453">
        <f t="shared" si="25"/>
        <v>2</v>
      </c>
      <c r="BN13" s="453">
        <f t="shared" si="26"/>
        <v>3</v>
      </c>
      <c r="BO13" s="155">
        <v>3</v>
      </c>
      <c r="BP13" s="156" t="s">
        <v>352</v>
      </c>
    </row>
    <row r="14" spans="2:73" s="94" customFormat="1" ht="12.95" customHeight="1" x14ac:dyDescent="0.2">
      <c r="B14" s="151" t="str">
        <f>IF(ISNA(Z14),"",IF(OR(Z14=1,Z14=2),"    ",MAX($B$8:B13)+1))</f>
        <v xml:space="preserve">    </v>
      </c>
      <c r="C14" s="904" t="str">
        <f t="shared" si="0"/>
        <v>Academic Tasks</v>
      </c>
      <c r="D14" s="904"/>
      <c r="E14" s="904"/>
      <c r="F14" s="905"/>
      <c r="G14" s="133" t="str">
        <f t="shared" si="1"/>
        <v/>
      </c>
      <c r="H14" s="134" t="str">
        <f t="shared" si="2"/>
        <v/>
      </c>
      <c r="I14" s="152" t="str">
        <f t="shared" si="2"/>
        <v/>
      </c>
      <c r="J14" s="158" t="s">
        <v>340</v>
      </c>
      <c r="K14" s="159" t="s">
        <v>340</v>
      </c>
      <c r="L14" s="961"/>
      <c r="M14" s="962"/>
      <c r="N14" s="962"/>
      <c r="O14" s="962"/>
      <c r="P14" s="962"/>
      <c r="Q14" s="962"/>
      <c r="R14" s="963"/>
      <c r="T14" s="99">
        <v>7</v>
      </c>
      <c r="U14" s="88" t="s">
        <v>351</v>
      </c>
      <c r="V14" s="453" t="s">
        <v>340</v>
      </c>
      <c r="W14" s="453" t="s">
        <v>340</v>
      </c>
      <c r="X14" s="453" t="s">
        <v>340</v>
      </c>
      <c r="Y14" s="453" t="s">
        <v>340</v>
      </c>
      <c r="Z14" s="146">
        <v>1</v>
      </c>
      <c r="AA14" s="146">
        <v>0</v>
      </c>
      <c r="AB14" s="146">
        <v>1</v>
      </c>
      <c r="AC14" s="453" t="s">
        <v>340</v>
      </c>
      <c r="AD14" s="453" t="s">
        <v>340</v>
      </c>
      <c r="AE14" s="453">
        <v>0</v>
      </c>
      <c r="AF14" s="453" t="s">
        <v>340</v>
      </c>
      <c r="AG14" s="453" t="str">
        <f t="shared" si="3"/>
        <v/>
      </c>
      <c r="AH14" s="453" t="str">
        <f t="shared" si="4"/>
        <v/>
      </c>
      <c r="AI14" s="138" t="str">
        <f>IF(NOT(OR(Z14=1,Z14=2)),IF(AQ14&gt;0,$AR$44*AQ14/SUMIF($AQ$8:$AQ$39,"&gt;0"),IF(AU14&gt;0,$AV$44*AU14/SUMIF($AU$8:$AU$39,"&gt;0"),IF(AS14&gt;0,$AT$44*AS14/SUMIF($AS$8:$AS$39,"&gt;0"),""))),IF(SUMIF(AJ15:$AJ$39,"=" &amp; AJ14,AI15:$AI$39)=0,"",SUMIF(AJ15:$AJ$39,"=" &amp; AJ14,AI15:$AI$39)))</f>
        <v/>
      </c>
      <c r="AJ14" s="139">
        <f t="shared" si="34"/>
        <v>1</v>
      </c>
      <c r="AK14" s="453" t="str">
        <f t="shared" si="27"/>
        <v/>
      </c>
      <c r="AL14" s="146" t="str">
        <f t="shared" si="28"/>
        <v/>
      </c>
      <c r="AM14" s="146" t="str">
        <f t="shared" si="35"/>
        <v/>
      </c>
      <c r="AN14" s="146" t="str">
        <f t="shared" si="5"/>
        <v/>
      </c>
      <c r="AO14" s="146" t="str">
        <f t="shared" si="6"/>
        <v/>
      </c>
      <c r="AP14" s="453" t="str">
        <f t="shared" si="7"/>
        <v/>
      </c>
      <c r="AQ14" s="140">
        <f t="shared" si="29"/>
        <v>0</v>
      </c>
      <c r="AR14" s="141" t="str">
        <f t="shared" si="8"/>
        <v/>
      </c>
      <c r="AS14" s="142">
        <f t="shared" si="30"/>
        <v>0</v>
      </c>
      <c r="AT14" s="141" t="str">
        <f t="shared" si="9"/>
        <v/>
      </c>
      <c r="AU14" s="143">
        <f t="shared" si="10"/>
        <v>0</v>
      </c>
      <c r="AV14" s="144" t="str">
        <f t="shared" si="11"/>
        <v/>
      </c>
      <c r="AW14" s="143" t="b">
        <f t="shared" si="12"/>
        <v>0</v>
      </c>
      <c r="AX14" s="145" t="b">
        <f t="shared" si="13"/>
        <v>0</v>
      </c>
      <c r="AY14" s="143" t="b">
        <f t="shared" si="14"/>
        <v>0</v>
      </c>
      <c r="AZ14" s="145" t="b">
        <f t="shared" si="15"/>
        <v>0</v>
      </c>
      <c r="BA14" s="453" t="b">
        <f t="shared" si="16"/>
        <v>0</v>
      </c>
      <c r="BB14" s="453" t="b">
        <f t="shared" si="17"/>
        <v>0</v>
      </c>
      <c r="BC14" s="143" t="b">
        <f t="shared" si="18"/>
        <v>0</v>
      </c>
      <c r="BD14" s="146" t="b">
        <f t="shared" si="31"/>
        <v>0</v>
      </c>
      <c r="BE14" s="145" t="b">
        <f t="shared" si="19"/>
        <v>0</v>
      </c>
      <c r="BF14" s="147" t="b">
        <f t="shared" si="20"/>
        <v>0</v>
      </c>
      <c r="BG14" s="453" t="b">
        <f t="shared" si="21"/>
        <v>0</v>
      </c>
      <c r="BH14" s="453" t="str">
        <f t="shared" si="32"/>
        <v/>
      </c>
      <c r="BI14" s="453" t="str">
        <f t="shared" si="22"/>
        <v/>
      </c>
      <c r="BJ14" s="453" t="str">
        <f t="shared" si="23"/>
        <v/>
      </c>
      <c r="BK14" s="453" t="str">
        <f t="shared" si="24"/>
        <v/>
      </c>
      <c r="BL14" s="148" t="str">
        <f t="shared" si="33"/>
        <v/>
      </c>
      <c r="BM14" s="453" t="str">
        <f t="shared" si="25"/>
        <v/>
      </c>
      <c r="BN14" s="453" t="str">
        <f t="shared" si="26"/>
        <v/>
      </c>
      <c r="BO14" s="155">
        <v>4</v>
      </c>
      <c r="BP14" s="156" t="s">
        <v>354</v>
      </c>
    </row>
    <row r="15" spans="2:73" s="94" customFormat="1" ht="12.95" customHeight="1" x14ac:dyDescent="0.2">
      <c r="B15" s="151" t="str">
        <f>IF(ISNA(Z15),"",IF(OR(Z15=1,Z15=2),"    ",MAX($B$8:B14)+1))</f>
        <v xml:space="preserve">    </v>
      </c>
      <c r="C15" s="904" t="str">
        <f t="shared" si="0"/>
        <v>Test Conduct (25.0%)</v>
      </c>
      <c r="D15" s="904"/>
      <c r="E15" s="904"/>
      <c r="F15" s="905"/>
      <c r="G15" s="133" t="str">
        <f t="shared" si="1"/>
        <v/>
      </c>
      <c r="H15" s="134" t="str">
        <f t="shared" si="2"/>
        <v/>
      </c>
      <c r="I15" s="152" t="str">
        <f t="shared" si="2"/>
        <v/>
      </c>
      <c r="J15" s="158" t="s">
        <v>340</v>
      </c>
      <c r="K15" s="159" t="s">
        <v>340</v>
      </c>
      <c r="L15" s="961"/>
      <c r="M15" s="962"/>
      <c r="N15" s="962"/>
      <c r="O15" s="962"/>
      <c r="P15" s="962"/>
      <c r="Q15" s="962"/>
      <c r="R15" s="963"/>
      <c r="T15" s="99">
        <v>8</v>
      </c>
      <c r="U15" s="88" t="s">
        <v>353</v>
      </c>
      <c r="V15" s="453" t="s">
        <v>340</v>
      </c>
      <c r="W15" s="453" t="s">
        <v>340</v>
      </c>
      <c r="X15" s="453" t="s">
        <v>340</v>
      </c>
      <c r="Y15" s="453" t="s">
        <v>340</v>
      </c>
      <c r="Z15" s="146">
        <v>2</v>
      </c>
      <c r="AA15" s="146">
        <v>1</v>
      </c>
      <c r="AB15" s="146">
        <v>1</v>
      </c>
      <c r="AC15" s="453" t="s">
        <v>340</v>
      </c>
      <c r="AD15" s="453" t="s">
        <v>340</v>
      </c>
      <c r="AE15" s="453" t="s">
        <v>340</v>
      </c>
      <c r="AF15" s="453" t="s">
        <v>340</v>
      </c>
      <c r="AG15" s="453" t="str">
        <f t="shared" si="3"/>
        <v/>
      </c>
      <c r="AH15" s="453" t="str">
        <f t="shared" si="4"/>
        <v/>
      </c>
      <c r="AI15" s="138">
        <f>IF(NOT(OR(Z15=1,Z15=2)),IF(AQ15&gt;0,$AR$44*AQ15/SUMIF($AQ$8:$AQ$39,"&gt;0"),IF(AU15&gt;0,$AV$44*AU15/SUMIF($AU$8:$AU$39,"&gt;0"),IF(AS15&gt;0,$AT$44*AS15/SUMIF($AS$8:$AS$39,"&gt;0"),""))),IF(SUMIF(AJ16:$AJ$39,"=" &amp; AJ15,AI16:$AI$39)=0,"",SUMIF(AJ16:$AJ$39,"=" &amp; AJ15,AI16:$AI$39)))</f>
        <v>0.25</v>
      </c>
      <c r="AJ15" s="139">
        <f t="shared" si="34"/>
        <v>2</v>
      </c>
      <c r="AK15" s="453" t="str">
        <f t="shared" si="27"/>
        <v/>
      </c>
      <c r="AL15" s="146" t="str">
        <f t="shared" si="28"/>
        <v/>
      </c>
      <c r="AM15" s="146" t="str">
        <f t="shared" si="35"/>
        <v/>
      </c>
      <c r="AN15" s="146" t="str">
        <f t="shared" si="5"/>
        <v/>
      </c>
      <c r="AO15" s="146" t="str">
        <f t="shared" si="6"/>
        <v/>
      </c>
      <c r="AP15" s="453" t="str">
        <f t="shared" si="7"/>
        <v/>
      </c>
      <c r="AQ15" s="140">
        <f t="shared" si="29"/>
        <v>0</v>
      </c>
      <c r="AR15" s="141" t="str">
        <f t="shared" si="8"/>
        <v/>
      </c>
      <c r="AS15" s="142">
        <f t="shared" si="30"/>
        <v>0</v>
      </c>
      <c r="AT15" s="141" t="str">
        <f t="shared" si="9"/>
        <v/>
      </c>
      <c r="AU15" s="143">
        <f t="shared" si="10"/>
        <v>0</v>
      </c>
      <c r="AV15" s="144" t="str">
        <f t="shared" si="11"/>
        <v/>
      </c>
      <c r="AW15" s="143" t="b">
        <f t="shared" si="12"/>
        <v>0</v>
      </c>
      <c r="AX15" s="145" t="b">
        <f t="shared" si="13"/>
        <v>0</v>
      </c>
      <c r="AY15" s="143" t="b">
        <f t="shared" si="14"/>
        <v>0</v>
      </c>
      <c r="AZ15" s="145" t="b">
        <f t="shared" si="15"/>
        <v>0</v>
      </c>
      <c r="BA15" s="453" t="b">
        <f t="shared" si="16"/>
        <v>0</v>
      </c>
      <c r="BB15" s="453" t="b">
        <f t="shared" si="17"/>
        <v>0</v>
      </c>
      <c r="BC15" s="143" t="b">
        <f t="shared" si="18"/>
        <v>0</v>
      </c>
      <c r="BD15" s="146" t="b">
        <f t="shared" si="31"/>
        <v>0</v>
      </c>
      <c r="BE15" s="145" t="b">
        <f t="shared" si="19"/>
        <v>0</v>
      </c>
      <c r="BF15" s="147" t="b">
        <f t="shared" si="20"/>
        <v>0</v>
      </c>
      <c r="BG15" s="453" t="b">
        <f t="shared" si="21"/>
        <v>0</v>
      </c>
      <c r="BH15" s="453" t="str">
        <f t="shared" si="32"/>
        <v/>
      </c>
      <c r="BI15" s="453" t="str">
        <f t="shared" si="22"/>
        <v/>
      </c>
      <c r="BJ15" s="453" t="str">
        <f t="shared" si="23"/>
        <v/>
      </c>
      <c r="BK15" s="453" t="str">
        <f t="shared" si="24"/>
        <v/>
      </c>
      <c r="BL15" s="148" t="str">
        <f t="shared" si="33"/>
        <v/>
      </c>
      <c r="BM15" s="453" t="str">
        <f t="shared" si="25"/>
        <v/>
      </c>
      <c r="BN15" s="453" t="str">
        <f t="shared" si="26"/>
        <v/>
      </c>
      <c r="BO15" s="90"/>
    </row>
    <row r="16" spans="2:73" s="94" customFormat="1" ht="12.95" customHeight="1" x14ac:dyDescent="0.2">
      <c r="B16" s="151">
        <f>IF(ISNA(Z16),"",IF(OR(Z16=1,Z16=2),"    ",MAX($B$8:B15)+1))</f>
        <v>6</v>
      </c>
      <c r="C16" s="904" t="str">
        <f t="shared" si="0"/>
        <v xml:space="preserve">      - Prioritization (8.3%)</v>
      </c>
      <c r="D16" s="904"/>
      <c r="E16" s="904"/>
      <c r="F16" s="905"/>
      <c r="G16" s="133">
        <f t="shared" si="1"/>
        <v>1</v>
      </c>
      <c r="H16" s="134" t="str">
        <f t="shared" si="2"/>
        <v>2*</v>
      </c>
      <c r="I16" s="152">
        <f t="shared" si="2"/>
        <v>3</v>
      </c>
      <c r="J16" s="158">
        <v>1</v>
      </c>
      <c r="K16" s="159">
        <v>3</v>
      </c>
      <c r="L16" s="961"/>
      <c r="M16" s="962"/>
      <c r="N16" s="962"/>
      <c r="O16" s="962"/>
      <c r="P16" s="962"/>
      <c r="Q16" s="962"/>
      <c r="R16" s="963"/>
      <c r="T16" s="99">
        <v>9</v>
      </c>
      <c r="U16" s="88" t="s">
        <v>730</v>
      </c>
      <c r="V16" s="453">
        <v>1</v>
      </c>
      <c r="W16" s="453">
        <v>3</v>
      </c>
      <c r="X16" s="453" t="s">
        <v>340</v>
      </c>
      <c r="Y16" s="453" t="s">
        <v>340</v>
      </c>
      <c r="Z16" s="146" t="s">
        <v>340</v>
      </c>
      <c r="AA16" s="146">
        <v>2</v>
      </c>
      <c r="AB16" s="146">
        <v>1</v>
      </c>
      <c r="AC16" s="453">
        <v>3</v>
      </c>
      <c r="AD16" s="453">
        <v>2</v>
      </c>
      <c r="AE16" s="453">
        <v>1</v>
      </c>
      <c r="AF16" s="453" t="b">
        <v>1</v>
      </c>
      <c r="AG16" s="453">
        <f t="shared" si="3"/>
        <v>3</v>
      </c>
      <c r="AH16" s="453">
        <f t="shared" si="4"/>
        <v>2</v>
      </c>
      <c r="AI16" s="138">
        <f>IF(NOT(OR(Z16=1,Z16=2)),IF(AQ16&gt;0,$AR$44*AQ16/SUMIF($AQ$8:$AQ$39,"&gt;0"),IF(AU16&gt;0,$AV$44*AU16/SUMIF($AU$8:$AU$39,"&gt;0"),IF(AS16&gt;0,$AT$44*AS16/SUMIF($AS$8:$AS$39,"&gt;0"),""))),IF(SUMIF(AJ17:$AJ$39,"=" &amp; AJ16,AI17:$AI$39)=0,"",SUMIF(AJ17:$AJ$39,"=" &amp; AJ16,AI17:$AI$39)))</f>
        <v>8.3333333333333329E-2</v>
      </c>
      <c r="AJ16" s="139">
        <f t="shared" si="34"/>
        <v>2</v>
      </c>
      <c r="AK16" s="453">
        <f t="shared" si="27"/>
        <v>2</v>
      </c>
      <c r="AL16" s="146">
        <f t="shared" si="28"/>
        <v>3</v>
      </c>
      <c r="AM16" s="146">
        <f t="shared" si="35"/>
        <v>1</v>
      </c>
      <c r="AN16" s="146" t="str">
        <f t="shared" si="5"/>
        <v/>
      </c>
      <c r="AO16" s="146" t="str">
        <f t="shared" si="6"/>
        <v/>
      </c>
      <c r="AP16" s="453" t="b">
        <f t="shared" si="7"/>
        <v>0</v>
      </c>
      <c r="AQ16" s="140">
        <f t="shared" si="29"/>
        <v>3</v>
      </c>
      <c r="AR16" s="141">
        <f t="shared" si="8"/>
        <v>0.9</v>
      </c>
      <c r="AS16" s="142">
        <f t="shared" si="30"/>
        <v>0</v>
      </c>
      <c r="AT16" s="141" t="str">
        <f t="shared" si="9"/>
        <v/>
      </c>
      <c r="AU16" s="143">
        <f t="shared" si="10"/>
        <v>0</v>
      </c>
      <c r="AV16" s="144">
        <f t="shared" si="11"/>
        <v>0.9</v>
      </c>
      <c r="AW16" s="143" t="b">
        <f t="shared" si="12"/>
        <v>0</v>
      </c>
      <c r="AX16" s="145" t="b">
        <f t="shared" si="13"/>
        <v>0</v>
      </c>
      <c r="AY16" s="143" t="b">
        <f t="shared" si="14"/>
        <v>0</v>
      </c>
      <c r="AZ16" s="145" t="b">
        <f t="shared" si="15"/>
        <v>0</v>
      </c>
      <c r="BA16" s="453" t="b">
        <f t="shared" si="16"/>
        <v>0</v>
      </c>
      <c r="BB16" s="453" t="b">
        <f t="shared" si="17"/>
        <v>0</v>
      </c>
      <c r="BC16" s="143" t="b">
        <f t="shared" si="18"/>
        <v>0</v>
      </c>
      <c r="BD16" s="146" t="b">
        <f t="shared" si="31"/>
        <v>0</v>
      </c>
      <c r="BE16" s="145" t="b">
        <f t="shared" si="19"/>
        <v>0</v>
      </c>
      <c r="BF16" s="147" t="b">
        <f t="shared" si="20"/>
        <v>0</v>
      </c>
      <c r="BG16" s="453" t="b">
        <f t="shared" si="21"/>
        <v>0</v>
      </c>
      <c r="BH16" s="453">
        <f t="shared" si="32"/>
        <v>1</v>
      </c>
      <c r="BI16" s="453">
        <f t="shared" si="22"/>
        <v>2</v>
      </c>
      <c r="BJ16" s="453" t="str">
        <f t="shared" si="23"/>
        <v>2*</v>
      </c>
      <c r="BK16" s="453">
        <f t="shared" si="24"/>
        <v>3</v>
      </c>
      <c r="BL16" s="148">
        <f t="shared" si="33"/>
        <v>1</v>
      </c>
      <c r="BM16" s="453">
        <f t="shared" si="25"/>
        <v>2</v>
      </c>
      <c r="BN16" s="453">
        <f t="shared" si="26"/>
        <v>3</v>
      </c>
      <c r="BO16" s="155"/>
      <c r="BP16" s="160"/>
    </row>
    <row r="17" spans="2:73" s="94" customFormat="1" ht="12.95" customHeight="1" x14ac:dyDescent="0.2">
      <c r="B17" s="151">
        <f>IF(ISNA(Z17),"",IF(OR(Z17=1,Z17=2),"    ",MAX($B$8:B16)+1))</f>
        <v>7</v>
      </c>
      <c r="C17" s="904" t="str">
        <f t="shared" si="0"/>
        <v xml:space="preserve">      - Energy Management (8.3%)</v>
      </c>
      <c r="D17" s="904"/>
      <c r="E17" s="904"/>
      <c r="F17" s="905"/>
      <c r="G17" s="133">
        <f t="shared" si="1"/>
        <v>1</v>
      </c>
      <c r="H17" s="134" t="str">
        <f t="shared" si="2"/>
        <v>2*</v>
      </c>
      <c r="I17" s="152">
        <f t="shared" si="2"/>
        <v>3</v>
      </c>
      <c r="J17" s="158">
        <v>1</v>
      </c>
      <c r="K17" s="159">
        <v>3</v>
      </c>
      <c r="L17" s="961"/>
      <c r="M17" s="962"/>
      <c r="N17" s="962"/>
      <c r="O17" s="962"/>
      <c r="P17" s="962"/>
      <c r="Q17" s="962"/>
      <c r="R17" s="963"/>
      <c r="T17" s="99">
        <v>10</v>
      </c>
      <c r="U17" s="88" t="s">
        <v>641</v>
      </c>
      <c r="V17" s="453">
        <v>1</v>
      </c>
      <c r="W17" s="453">
        <v>3</v>
      </c>
      <c r="X17" s="453" t="s">
        <v>340</v>
      </c>
      <c r="Y17" s="453" t="s">
        <v>340</v>
      </c>
      <c r="Z17" s="146" t="s">
        <v>340</v>
      </c>
      <c r="AA17" s="146">
        <v>2</v>
      </c>
      <c r="AB17" s="146">
        <v>1</v>
      </c>
      <c r="AC17" s="453">
        <v>3</v>
      </c>
      <c r="AD17" s="453">
        <v>2</v>
      </c>
      <c r="AE17" s="453">
        <v>1</v>
      </c>
      <c r="AF17" s="453" t="b">
        <v>1</v>
      </c>
      <c r="AG17" s="453">
        <f t="shared" si="3"/>
        <v>3</v>
      </c>
      <c r="AH17" s="453">
        <f t="shared" si="4"/>
        <v>2</v>
      </c>
      <c r="AI17" s="138">
        <f>IF(NOT(OR(Z17=1,Z17=2)),IF(AQ17&gt;0,$AR$44*AQ17/SUMIF($AQ$8:$AQ$39,"&gt;0"),IF(AU17&gt;0,$AV$44*AU17/SUMIF($AU$8:$AU$39,"&gt;0"),IF(AS17&gt;0,$AT$44*AS17/SUMIF($AS$8:$AS$39,"&gt;0"),""))),IF(SUMIF(AJ18:$AJ$39,"=" &amp; AJ17,AI18:$AI$39)=0,"",SUMIF(AJ18:$AJ$39,"=" &amp; AJ17,AI18:$AI$39)))</f>
        <v>8.3333333333333329E-2</v>
      </c>
      <c r="AJ17" s="139">
        <f t="shared" si="34"/>
        <v>2</v>
      </c>
      <c r="AK17" s="453">
        <f t="shared" si="27"/>
        <v>2</v>
      </c>
      <c r="AL17" s="146">
        <f t="shared" si="28"/>
        <v>3</v>
      </c>
      <c r="AM17" s="146">
        <f t="shared" si="35"/>
        <v>1</v>
      </c>
      <c r="AN17" s="146" t="str">
        <f t="shared" si="5"/>
        <v/>
      </c>
      <c r="AO17" s="146" t="str">
        <f t="shared" si="6"/>
        <v/>
      </c>
      <c r="AP17" s="453" t="b">
        <f t="shared" si="7"/>
        <v>0</v>
      </c>
      <c r="AQ17" s="140">
        <f t="shared" si="29"/>
        <v>3</v>
      </c>
      <c r="AR17" s="141">
        <f t="shared" si="8"/>
        <v>0.9</v>
      </c>
      <c r="AS17" s="142">
        <f t="shared" si="30"/>
        <v>0</v>
      </c>
      <c r="AT17" s="141" t="str">
        <f t="shared" si="9"/>
        <v/>
      </c>
      <c r="AU17" s="143">
        <f t="shared" si="10"/>
        <v>0</v>
      </c>
      <c r="AV17" s="144">
        <f t="shared" si="11"/>
        <v>0.9</v>
      </c>
      <c r="AW17" s="143" t="b">
        <f t="shared" si="12"/>
        <v>0</v>
      </c>
      <c r="AX17" s="145" t="b">
        <f t="shared" si="13"/>
        <v>0</v>
      </c>
      <c r="AY17" s="143" t="b">
        <f t="shared" si="14"/>
        <v>0</v>
      </c>
      <c r="AZ17" s="145" t="b">
        <f t="shared" si="15"/>
        <v>0</v>
      </c>
      <c r="BA17" s="453" t="b">
        <f t="shared" si="16"/>
        <v>0</v>
      </c>
      <c r="BB17" s="453" t="b">
        <f t="shared" si="17"/>
        <v>0</v>
      </c>
      <c r="BC17" s="143" t="b">
        <f t="shared" si="18"/>
        <v>0</v>
      </c>
      <c r="BD17" s="146" t="b">
        <f t="shared" si="31"/>
        <v>0</v>
      </c>
      <c r="BE17" s="145" t="b">
        <f t="shared" si="19"/>
        <v>0</v>
      </c>
      <c r="BF17" s="147" t="b">
        <f t="shared" si="20"/>
        <v>0</v>
      </c>
      <c r="BG17" s="453" t="b">
        <f t="shared" si="21"/>
        <v>0</v>
      </c>
      <c r="BH17" s="453">
        <f t="shared" si="32"/>
        <v>1</v>
      </c>
      <c r="BI17" s="453">
        <f t="shared" si="22"/>
        <v>2</v>
      </c>
      <c r="BJ17" s="453" t="str">
        <f t="shared" si="23"/>
        <v>2*</v>
      </c>
      <c r="BK17" s="453">
        <f t="shared" si="24"/>
        <v>3</v>
      </c>
      <c r="BL17" s="148">
        <f t="shared" si="33"/>
        <v>1</v>
      </c>
      <c r="BM17" s="453">
        <f t="shared" si="25"/>
        <v>2</v>
      </c>
      <c r="BN17" s="453">
        <f t="shared" si="26"/>
        <v>3</v>
      </c>
      <c r="BO17" s="90"/>
    </row>
    <row r="18" spans="2:73" s="94" customFormat="1" ht="12.95" customHeight="1" x14ac:dyDescent="0.2">
      <c r="B18" s="151">
        <f>IF(ISNA(Z18),"",IF(OR(Z18=1,Z18=2),"    ",MAX($B$8:B17)+1))</f>
        <v>8</v>
      </c>
      <c r="C18" s="904" t="str">
        <f t="shared" si="0"/>
        <v xml:space="preserve">      - Data Collection (8.3%)</v>
      </c>
      <c r="D18" s="904"/>
      <c r="E18" s="904"/>
      <c r="F18" s="905"/>
      <c r="G18" s="133">
        <f t="shared" si="1"/>
        <v>1</v>
      </c>
      <c r="H18" s="134" t="str">
        <f t="shared" si="2"/>
        <v>2*</v>
      </c>
      <c r="I18" s="152">
        <f t="shared" si="2"/>
        <v>3</v>
      </c>
      <c r="J18" s="158">
        <v>1</v>
      </c>
      <c r="K18" s="159">
        <v>3</v>
      </c>
      <c r="L18" s="961"/>
      <c r="M18" s="962"/>
      <c r="N18" s="962"/>
      <c r="O18" s="962"/>
      <c r="P18" s="962"/>
      <c r="Q18" s="962"/>
      <c r="R18" s="963"/>
      <c r="T18" s="99">
        <v>11</v>
      </c>
      <c r="U18" s="88" t="s">
        <v>460</v>
      </c>
      <c r="V18" s="453">
        <v>1</v>
      </c>
      <c r="W18" s="453">
        <v>3</v>
      </c>
      <c r="X18" s="453" t="s">
        <v>340</v>
      </c>
      <c r="Y18" s="453" t="s">
        <v>340</v>
      </c>
      <c r="Z18" s="146" t="s">
        <v>340</v>
      </c>
      <c r="AA18" s="146">
        <v>2</v>
      </c>
      <c r="AB18" s="146">
        <v>1</v>
      </c>
      <c r="AC18" s="453">
        <v>3</v>
      </c>
      <c r="AD18" s="453">
        <v>2</v>
      </c>
      <c r="AE18" s="453">
        <v>1</v>
      </c>
      <c r="AF18" s="453" t="b">
        <v>1</v>
      </c>
      <c r="AG18" s="453">
        <f t="shared" si="3"/>
        <v>3</v>
      </c>
      <c r="AH18" s="453">
        <f t="shared" si="4"/>
        <v>2</v>
      </c>
      <c r="AI18" s="138">
        <f>IF(NOT(OR(Z18=1,Z18=2)),IF(AQ18&gt;0,$AR$44*AQ18/SUMIF($AQ$8:$AQ$39,"&gt;0"),IF(AU18&gt;0,$AV$44*AU18/SUMIF($AU$8:$AU$39,"&gt;0"),IF(AS18&gt;0,$AT$44*AS18/SUMIF($AS$8:$AS$39,"&gt;0"),""))),IF(SUMIF(AJ19:$AJ$39,"=" &amp; AJ18,AI19:$AI$39)=0,"",SUMIF(AJ19:$AJ$39,"=" &amp; AJ18,AI19:$AI$39)))</f>
        <v>8.3333333333333329E-2</v>
      </c>
      <c r="AJ18" s="139">
        <f t="shared" si="34"/>
        <v>2</v>
      </c>
      <c r="AK18" s="453">
        <f t="shared" si="27"/>
        <v>2</v>
      </c>
      <c r="AL18" s="146">
        <f t="shared" si="28"/>
        <v>3</v>
      </c>
      <c r="AM18" s="146">
        <f t="shared" si="35"/>
        <v>1</v>
      </c>
      <c r="AN18" s="146" t="str">
        <f t="shared" si="5"/>
        <v/>
      </c>
      <c r="AO18" s="146" t="str">
        <f t="shared" si="6"/>
        <v/>
      </c>
      <c r="AP18" s="453" t="b">
        <f t="shared" si="7"/>
        <v>0</v>
      </c>
      <c r="AQ18" s="140">
        <f t="shared" si="29"/>
        <v>3</v>
      </c>
      <c r="AR18" s="141">
        <f t="shared" si="8"/>
        <v>0.9</v>
      </c>
      <c r="AS18" s="142">
        <f t="shared" si="30"/>
        <v>0</v>
      </c>
      <c r="AT18" s="141" t="str">
        <f t="shared" si="9"/>
        <v/>
      </c>
      <c r="AU18" s="143">
        <f t="shared" si="10"/>
        <v>0</v>
      </c>
      <c r="AV18" s="144">
        <f t="shared" si="11"/>
        <v>0.9</v>
      </c>
      <c r="AW18" s="143" t="b">
        <f t="shared" si="12"/>
        <v>0</v>
      </c>
      <c r="AX18" s="145" t="b">
        <f t="shared" si="13"/>
        <v>0</v>
      </c>
      <c r="AY18" s="143" t="b">
        <f t="shared" si="14"/>
        <v>0</v>
      </c>
      <c r="AZ18" s="145" t="b">
        <f t="shared" si="15"/>
        <v>0</v>
      </c>
      <c r="BA18" s="453" t="b">
        <f t="shared" si="16"/>
        <v>0</v>
      </c>
      <c r="BB18" s="453" t="b">
        <f t="shared" si="17"/>
        <v>0</v>
      </c>
      <c r="BC18" s="143" t="b">
        <f t="shared" si="18"/>
        <v>0</v>
      </c>
      <c r="BD18" s="146" t="b">
        <f t="shared" si="31"/>
        <v>0</v>
      </c>
      <c r="BE18" s="145" t="b">
        <f t="shared" si="19"/>
        <v>0</v>
      </c>
      <c r="BF18" s="147" t="b">
        <f t="shared" si="20"/>
        <v>0</v>
      </c>
      <c r="BG18" s="453" t="b">
        <f t="shared" si="21"/>
        <v>0</v>
      </c>
      <c r="BH18" s="453">
        <f t="shared" si="32"/>
        <v>1</v>
      </c>
      <c r="BI18" s="453">
        <f t="shared" si="22"/>
        <v>2</v>
      </c>
      <c r="BJ18" s="453" t="str">
        <f t="shared" si="23"/>
        <v>2*</v>
      </c>
      <c r="BK18" s="453">
        <f t="shared" si="24"/>
        <v>3</v>
      </c>
      <c r="BL18" s="148">
        <f t="shared" si="33"/>
        <v>1</v>
      </c>
      <c r="BM18" s="453">
        <f t="shared" si="25"/>
        <v>2</v>
      </c>
      <c r="BN18" s="453">
        <f t="shared" si="26"/>
        <v>3</v>
      </c>
      <c r="BO18" s="300"/>
      <c r="BP18" s="160" t="s">
        <v>355</v>
      </c>
      <c r="BQ18" s="161"/>
      <c r="BR18" s="161"/>
      <c r="BS18" s="161"/>
      <c r="BT18" s="161"/>
      <c r="BU18" s="161"/>
    </row>
    <row r="19" spans="2:73" s="94" customFormat="1" ht="12.95" customHeight="1" x14ac:dyDescent="0.2">
      <c r="B19" s="151" t="str">
        <f>IF(ISNA(Z19),"",IF(OR(Z19=1,Z19=2),"    ",MAX($B$8:B18)+1))</f>
        <v xml:space="preserve">    </v>
      </c>
      <c r="C19" s="904" t="str">
        <f t="shared" si="0"/>
        <v>Flight Test Techniques (61.3%)</v>
      </c>
      <c r="D19" s="904"/>
      <c r="E19" s="904"/>
      <c r="F19" s="905"/>
      <c r="G19" s="133" t="str">
        <f t="shared" si="1"/>
        <v/>
      </c>
      <c r="H19" s="134" t="str">
        <f t="shared" si="2"/>
        <v/>
      </c>
      <c r="I19" s="152" t="str">
        <f t="shared" si="2"/>
        <v/>
      </c>
      <c r="J19" s="158" t="s">
        <v>340</v>
      </c>
      <c r="K19" s="159" t="s">
        <v>340</v>
      </c>
      <c r="L19" s="961"/>
      <c r="M19" s="962"/>
      <c r="N19" s="962"/>
      <c r="O19" s="962"/>
      <c r="P19" s="962"/>
      <c r="Q19" s="962"/>
      <c r="R19" s="963"/>
      <c r="T19" s="99">
        <v>12</v>
      </c>
      <c r="U19" s="88" t="s">
        <v>731</v>
      </c>
      <c r="V19" s="453" t="s">
        <v>340</v>
      </c>
      <c r="W19" s="453" t="s">
        <v>340</v>
      </c>
      <c r="X19" s="453" t="s">
        <v>340</v>
      </c>
      <c r="Y19" s="453" t="s">
        <v>340</v>
      </c>
      <c r="Z19" s="146">
        <v>2</v>
      </c>
      <c r="AA19" s="146">
        <v>1</v>
      </c>
      <c r="AB19" s="146">
        <v>1</v>
      </c>
      <c r="AC19" s="453" t="s">
        <v>340</v>
      </c>
      <c r="AD19" s="453" t="s">
        <v>340</v>
      </c>
      <c r="AE19" s="453" t="s">
        <v>340</v>
      </c>
      <c r="AF19" s="453" t="s">
        <v>340</v>
      </c>
      <c r="AG19" s="453" t="str">
        <f t="shared" si="3"/>
        <v/>
      </c>
      <c r="AH19" s="453" t="str">
        <f t="shared" si="4"/>
        <v/>
      </c>
      <c r="AI19" s="138">
        <f>IF(NOT(OR(Z19=1,Z19=2)),IF(AQ19&gt;0,$AR$44*AQ19/SUMIF($AQ$8:$AQ$39,"&gt;0"),IF(AU19&gt;0,$AV$44*AU19/SUMIF($AU$8:$AU$39,"&gt;0"),IF(AS19&gt;0,$AT$44*AS19/SUMIF($AS$8:$AS$39,"&gt;0"),""))),IF(SUMIF(AJ20:$AJ$39,"=" &amp; AJ19,AI20:$AI$39)=0,"",SUMIF(AJ20:$AJ$39,"=" &amp; AJ19,AI20:$AI$39)))</f>
        <v>0.61333333333333351</v>
      </c>
      <c r="AJ19" s="139">
        <f t="shared" si="34"/>
        <v>3</v>
      </c>
      <c r="AK19" s="453" t="str">
        <f t="shared" si="27"/>
        <v/>
      </c>
      <c r="AL19" s="146" t="str">
        <f t="shared" si="28"/>
        <v/>
      </c>
      <c r="AM19" s="146" t="str">
        <f t="shared" si="35"/>
        <v/>
      </c>
      <c r="AN19" s="146" t="str">
        <f t="shared" si="5"/>
        <v/>
      </c>
      <c r="AO19" s="146" t="str">
        <f t="shared" si="6"/>
        <v/>
      </c>
      <c r="AP19" s="453" t="str">
        <f t="shared" si="7"/>
        <v/>
      </c>
      <c r="AQ19" s="140">
        <f t="shared" si="29"/>
        <v>0</v>
      </c>
      <c r="AR19" s="141" t="str">
        <f t="shared" si="8"/>
        <v/>
      </c>
      <c r="AS19" s="142">
        <f t="shared" si="30"/>
        <v>0</v>
      </c>
      <c r="AT19" s="141" t="str">
        <f t="shared" si="9"/>
        <v/>
      </c>
      <c r="AU19" s="143">
        <f t="shared" si="10"/>
        <v>0</v>
      </c>
      <c r="AV19" s="144" t="str">
        <f t="shared" si="11"/>
        <v/>
      </c>
      <c r="AW19" s="143" t="b">
        <f t="shared" si="12"/>
        <v>0</v>
      </c>
      <c r="AX19" s="145" t="b">
        <f t="shared" si="13"/>
        <v>0</v>
      </c>
      <c r="AY19" s="143" t="b">
        <f t="shared" si="14"/>
        <v>0</v>
      </c>
      <c r="AZ19" s="145" t="b">
        <f t="shared" si="15"/>
        <v>0</v>
      </c>
      <c r="BA19" s="453" t="b">
        <f t="shared" si="16"/>
        <v>0</v>
      </c>
      <c r="BB19" s="453" t="b">
        <f t="shared" si="17"/>
        <v>0</v>
      </c>
      <c r="BC19" s="143" t="b">
        <f t="shared" si="18"/>
        <v>0</v>
      </c>
      <c r="BD19" s="146" t="b">
        <f t="shared" si="31"/>
        <v>0</v>
      </c>
      <c r="BE19" s="145" t="b">
        <f t="shared" si="19"/>
        <v>0</v>
      </c>
      <c r="BF19" s="147" t="b">
        <f t="shared" si="20"/>
        <v>0</v>
      </c>
      <c r="BG19" s="453" t="b">
        <f t="shared" si="21"/>
        <v>0</v>
      </c>
      <c r="BH19" s="453" t="str">
        <f t="shared" si="32"/>
        <v/>
      </c>
      <c r="BI19" s="453" t="str">
        <f t="shared" si="22"/>
        <v/>
      </c>
      <c r="BJ19" s="453" t="str">
        <f t="shared" si="23"/>
        <v/>
      </c>
      <c r="BK19" s="453" t="str">
        <f t="shared" si="24"/>
        <v/>
      </c>
      <c r="BL19" s="148" t="str">
        <f t="shared" si="33"/>
        <v/>
      </c>
      <c r="BM19" s="453" t="str">
        <f t="shared" si="25"/>
        <v/>
      </c>
      <c r="BN19" s="453" t="str">
        <f t="shared" si="26"/>
        <v/>
      </c>
      <c r="BO19" s="300"/>
      <c r="BP19" s="150"/>
      <c r="BQ19" s="935" t="s">
        <v>356</v>
      </c>
      <c r="BR19" s="935"/>
      <c r="BS19" s="935"/>
      <c r="BT19" s="935"/>
      <c r="BU19" s="935"/>
    </row>
    <row r="20" spans="2:73" s="94" customFormat="1" ht="12.95" customHeight="1" x14ac:dyDescent="0.2">
      <c r="B20" s="151">
        <f>IF(ISNA(Z20),"",IF(OR(Z20=1,Z20=2),"    ",MAX($B$8:B19)+1))</f>
        <v>9</v>
      </c>
      <c r="C20" s="904" t="str">
        <f t="shared" si="0"/>
        <v xml:space="preserve">      - Performance Takeoff (5.6%)</v>
      </c>
      <c r="D20" s="904"/>
      <c r="E20" s="904"/>
      <c r="F20" s="905"/>
      <c r="G20" s="133">
        <f t="shared" si="1"/>
        <v>1</v>
      </c>
      <c r="H20" s="134" t="str">
        <f t="shared" si="2"/>
        <v>2*</v>
      </c>
      <c r="I20" s="152">
        <f t="shared" si="2"/>
        <v>3</v>
      </c>
      <c r="J20" s="158">
        <v>1</v>
      </c>
      <c r="K20" s="159">
        <v>3</v>
      </c>
      <c r="L20" s="961"/>
      <c r="M20" s="962"/>
      <c r="N20" s="962"/>
      <c r="O20" s="962"/>
      <c r="P20" s="962"/>
      <c r="Q20" s="962"/>
      <c r="R20" s="963"/>
      <c r="T20" s="99">
        <v>13</v>
      </c>
      <c r="U20" s="88" t="s">
        <v>948</v>
      </c>
      <c r="V20" s="453">
        <v>1</v>
      </c>
      <c r="W20" s="453">
        <v>2</v>
      </c>
      <c r="X20" s="453" t="s">
        <v>340</v>
      </c>
      <c r="Y20" s="453" t="s">
        <v>340</v>
      </c>
      <c r="Z20" s="146" t="s">
        <v>340</v>
      </c>
      <c r="AA20" s="146">
        <v>2</v>
      </c>
      <c r="AB20" s="146">
        <v>1</v>
      </c>
      <c r="AC20" s="453">
        <v>3</v>
      </c>
      <c r="AD20" s="453">
        <v>2</v>
      </c>
      <c r="AE20" s="453">
        <v>1</v>
      </c>
      <c r="AF20" s="453" t="b">
        <v>1</v>
      </c>
      <c r="AG20" s="453">
        <f t="shared" si="3"/>
        <v>3</v>
      </c>
      <c r="AH20" s="453">
        <f t="shared" si="4"/>
        <v>2</v>
      </c>
      <c r="AI20" s="138">
        <f>IF(NOT(OR(Z20=1,Z20=2)),IF(AQ20&gt;0,$AR$44*AQ20/SUMIF($AQ$8:$AQ$39,"&gt;0"),IF(AU20&gt;0,$AV$44*AU20/SUMIF($AU$8:$AU$39,"&gt;0"),IF(AS20&gt;0,$AT$44*AS20/SUMIF($AS$8:$AS$39,"&gt;0"),""))),IF(SUMIF(AJ21:$AJ$39,"=" &amp; AJ20,AI21:$AI$39)=0,"",SUMIF(AJ21:$AJ$39,"=" &amp; AJ20,AI21:$AI$39)))</f>
        <v>5.5555555555555559E-2</v>
      </c>
      <c r="AJ20" s="139">
        <f t="shared" si="34"/>
        <v>3</v>
      </c>
      <c r="AK20" s="453">
        <f t="shared" si="27"/>
        <v>2</v>
      </c>
      <c r="AL20" s="146">
        <f t="shared" si="28"/>
        <v>3</v>
      </c>
      <c r="AM20" s="146">
        <f t="shared" si="35"/>
        <v>1</v>
      </c>
      <c r="AN20" s="146" t="str">
        <f t="shared" si="5"/>
        <v/>
      </c>
      <c r="AO20" s="146" t="str">
        <f t="shared" si="6"/>
        <v/>
      </c>
      <c r="AP20" s="453" t="b">
        <f t="shared" si="7"/>
        <v>0</v>
      </c>
      <c r="AQ20" s="140">
        <f t="shared" si="29"/>
        <v>2</v>
      </c>
      <c r="AR20" s="141">
        <f t="shared" si="8"/>
        <v>0.9</v>
      </c>
      <c r="AS20" s="142">
        <f t="shared" si="30"/>
        <v>0</v>
      </c>
      <c r="AT20" s="141" t="str">
        <f t="shared" si="9"/>
        <v/>
      </c>
      <c r="AU20" s="143">
        <f t="shared" si="10"/>
        <v>0</v>
      </c>
      <c r="AV20" s="144">
        <f t="shared" si="11"/>
        <v>0.9</v>
      </c>
      <c r="AW20" s="143" t="b">
        <f t="shared" si="12"/>
        <v>0</v>
      </c>
      <c r="AX20" s="145" t="b">
        <f t="shared" si="13"/>
        <v>0</v>
      </c>
      <c r="AY20" s="143" t="b">
        <f t="shared" si="14"/>
        <v>0</v>
      </c>
      <c r="AZ20" s="145" t="b">
        <f t="shared" si="15"/>
        <v>0</v>
      </c>
      <c r="BA20" s="453" t="b">
        <f t="shared" si="16"/>
        <v>0</v>
      </c>
      <c r="BB20" s="453" t="b">
        <f t="shared" si="17"/>
        <v>0</v>
      </c>
      <c r="BC20" s="143" t="b">
        <f t="shared" si="18"/>
        <v>0</v>
      </c>
      <c r="BD20" s="146" t="b">
        <f t="shared" si="31"/>
        <v>0</v>
      </c>
      <c r="BE20" s="145" t="b">
        <f t="shared" si="19"/>
        <v>0</v>
      </c>
      <c r="BF20" s="147" t="b">
        <f t="shared" si="20"/>
        <v>0</v>
      </c>
      <c r="BG20" s="453" t="b">
        <f t="shared" si="21"/>
        <v>0</v>
      </c>
      <c r="BH20" s="453">
        <f t="shared" si="32"/>
        <v>1</v>
      </c>
      <c r="BI20" s="453">
        <f t="shared" si="22"/>
        <v>2</v>
      </c>
      <c r="BJ20" s="453" t="str">
        <f t="shared" si="23"/>
        <v>2*</v>
      </c>
      <c r="BK20" s="453">
        <f t="shared" si="24"/>
        <v>3</v>
      </c>
      <c r="BL20" s="148">
        <f t="shared" si="33"/>
        <v>1</v>
      </c>
      <c r="BM20" s="453">
        <f t="shared" si="25"/>
        <v>2</v>
      </c>
      <c r="BN20" s="453">
        <f t="shared" si="26"/>
        <v>3</v>
      </c>
      <c r="BO20" s="300"/>
      <c r="BP20" s="300"/>
      <c r="BQ20" s="300">
        <v>0</v>
      </c>
      <c r="BR20" s="300">
        <v>1</v>
      </c>
      <c r="BS20" s="300">
        <v>2</v>
      </c>
      <c r="BT20" s="300">
        <v>3</v>
      </c>
      <c r="BU20" s="300">
        <v>4</v>
      </c>
    </row>
    <row r="21" spans="2:73" s="94" customFormat="1" ht="12.95" customHeight="1" x14ac:dyDescent="0.2">
      <c r="B21" s="151">
        <f>IF(ISNA(Z21),"",IF(OR(Z21=1,Z21=2),"    ",MAX($B$8:B20)+1))</f>
        <v>10</v>
      </c>
      <c r="C21" s="904" t="str">
        <f t="shared" si="0"/>
        <v xml:space="preserve">      - MIL Check Climb (5.6%)</v>
      </c>
      <c r="D21" s="904"/>
      <c r="E21" s="904"/>
      <c r="F21" s="905"/>
      <c r="G21" s="133">
        <f t="shared" si="1"/>
        <v>1</v>
      </c>
      <c r="H21" s="134" t="str">
        <f t="shared" si="2"/>
        <v>2*</v>
      </c>
      <c r="I21" s="152">
        <f t="shared" si="2"/>
        <v>3</v>
      </c>
      <c r="J21" s="158">
        <v>1</v>
      </c>
      <c r="K21" s="159">
        <v>3</v>
      </c>
      <c r="L21" s="961"/>
      <c r="M21" s="962"/>
      <c r="N21" s="962"/>
      <c r="O21" s="962"/>
      <c r="P21" s="962"/>
      <c r="Q21" s="962"/>
      <c r="R21" s="963"/>
      <c r="T21" s="99">
        <v>14</v>
      </c>
      <c r="U21" s="88" t="s">
        <v>949</v>
      </c>
      <c r="V21" s="453">
        <v>1</v>
      </c>
      <c r="W21" s="453">
        <v>2</v>
      </c>
      <c r="X21" s="453" t="s">
        <v>340</v>
      </c>
      <c r="Y21" s="453" t="s">
        <v>340</v>
      </c>
      <c r="Z21" s="146" t="s">
        <v>340</v>
      </c>
      <c r="AA21" s="146">
        <v>2</v>
      </c>
      <c r="AB21" s="146">
        <v>1</v>
      </c>
      <c r="AC21" s="453">
        <v>3</v>
      </c>
      <c r="AD21" s="453">
        <v>2</v>
      </c>
      <c r="AE21" s="453">
        <v>1</v>
      </c>
      <c r="AF21" s="453" t="b">
        <v>1</v>
      </c>
      <c r="AG21" s="453">
        <f t="shared" si="3"/>
        <v>3</v>
      </c>
      <c r="AH21" s="453">
        <f t="shared" si="4"/>
        <v>2</v>
      </c>
      <c r="AI21" s="138">
        <f>IF(NOT(OR(Z21=1,Z21=2)),IF(AQ21&gt;0,$AR$44*AQ21/SUMIF($AQ$8:$AQ$39,"&gt;0"),IF(AU21&gt;0,$AV$44*AU21/SUMIF($AU$8:$AU$39,"&gt;0"),IF(AS21&gt;0,$AT$44*AS21/SUMIF($AS$8:$AS$39,"&gt;0"),""))),IF(SUMIF(AJ22:$AJ$39,"=" &amp; AJ21,AI22:$AI$39)=0,"",SUMIF(AJ22:$AJ$39,"=" &amp; AJ21,AI22:$AI$39)))</f>
        <v>5.5555555555555559E-2</v>
      </c>
      <c r="AJ21" s="139">
        <f t="shared" si="34"/>
        <v>3</v>
      </c>
      <c r="AK21" s="453">
        <f t="shared" si="27"/>
        <v>2</v>
      </c>
      <c r="AL21" s="146">
        <f t="shared" si="28"/>
        <v>3</v>
      </c>
      <c r="AM21" s="146">
        <f t="shared" si="35"/>
        <v>1</v>
      </c>
      <c r="AN21" s="146" t="str">
        <f t="shared" si="5"/>
        <v/>
      </c>
      <c r="AO21" s="146" t="str">
        <f t="shared" si="6"/>
        <v/>
      </c>
      <c r="AP21" s="453" t="b">
        <f t="shared" si="7"/>
        <v>0</v>
      </c>
      <c r="AQ21" s="140">
        <f t="shared" si="29"/>
        <v>2</v>
      </c>
      <c r="AR21" s="141">
        <f t="shared" si="8"/>
        <v>0.9</v>
      </c>
      <c r="AS21" s="142">
        <f t="shared" si="30"/>
        <v>0</v>
      </c>
      <c r="AT21" s="141" t="str">
        <f t="shared" si="9"/>
        <v/>
      </c>
      <c r="AU21" s="143">
        <f t="shared" si="10"/>
        <v>0</v>
      </c>
      <c r="AV21" s="144">
        <f t="shared" si="11"/>
        <v>0.9</v>
      </c>
      <c r="AW21" s="143" t="b">
        <f t="shared" si="12"/>
        <v>0</v>
      </c>
      <c r="AX21" s="145" t="b">
        <f t="shared" si="13"/>
        <v>0</v>
      </c>
      <c r="AY21" s="143" t="b">
        <f t="shared" si="14"/>
        <v>0</v>
      </c>
      <c r="AZ21" s="145" t="b">
        <f t="shared" si="15"/>
        <v>0</v>
      </c>
      <c r="BA21" s="453" t="b">
        <f t="shared" si="16"/>
        <v>0</v>
      </c>
      <c r="BB21" s="453" t="b">
        <f t="shared" si="17"/>
        <v>0</v>
      </c>
      <c r="BC21" s="143" t="b">
        <f t="shared" si="18"/>
        <v>0</v>
      </c>
      <c r="BD21" s="146" t="b">
        <f t="shared" si="31"/>
        <v>0</v>
      </c>
      <c r="BE21" s="145" t="b">
        <f t="shared" si="19"/>
        <v>0</v>
      </c>
      <c r="BF21" s="147" t="b">
        <f t="shared" si="20"/>
        <v>0</v>
      </c>
      <c r="BG21" s="453" t="b">
        <f t="shared" si="21"/>
        <v>0</v>
      </c>
      <c r="BH21" s="453">
        <f t="shared" si="32"/>
        <v>1</v>
      </c>
      <c r="BI21" s="453">
        <f t="shared" si="22"/>
        <v>2</v>
      </c>
      <c r="BJ21" s="453" t="str">
        <f t="shared" si="23"/>
        <v>2*</v>
      </c>
      <c r="BK21" s="453">
        <f t="shared" si="24"/>
        <v>3</v>
      </c>
      <c r="BL21" s="148">
        <f t="shared" si="33"/>
        <v>1</v>
      </c>
      <c r="BM21" s="453">
        <f t="shared" si="25"/>
        <v>2</v>
      </c>
      <c r="BN21" s="453">
        <f t="shared" si="26"/>
        <v>3</v>
      </c>
      <c r="BO21" s="936" t="s">
        <v>358</v>
      </c>
      <c r="BP21" s="300" t="s">
        <v>359</v>
      </c>
      <c r="BQ21" s="162">
        <f t="shared" ref="BQ21:BU29" si="36">AR50</f>
        <v>0.7</v>
      </c>
      <c r="BR21" s="163">
        <f t="shared" si="36"/>
        <v>0.9</v>
      </c>
      <c r="BS21" s="163">
        <f t="shared" si="36"/>
        <v>0.93330000000000002</v>
      </c>
      <c r="BT21" s="163">
        <f t="shared" si="36"/>
        <v>0.9667</v>
      </c>
      <c r="BU21" s="164">
        <f t="shared" si="36"/>
        <v>1</v>
      </c>
    </row>
    <row r="22" spans="2:73" s="94" customFormat="1" ht="12.95" customHeight="1" x14ac:dyDescent="0.2">
      <c r="B22" s="151">
        <f>IF(ISNA(Z22),"",IF(OR(Z22=1,Z22=2),"    ",MAX($B$8:B21)+1))</f>
        <v>11</v>
      </c>
      <c r="C22" s="904" t="str">
        <f t="shared" si="0"/>
        <v xml:space="preserve">      - MIL Level Accel (5.6%)</v>
      </c>
      <c r="D22" s="904"/>
      <c r="E22" s="904"/>
      <c r="F22" s="905"/>
      <c r="G22" s="133">
        <f t="shared" si="1"/>
        <v>1</v>
      </c>
      <c r="H22" s="134" t="str">
        <f t="shared" si="2"/>
        <v>2*</v>
      </c>
      <c r="I22" s="152">
        <f t="shared" si="2"/>
        <v>3</v>
      </c>
      <c r="J22" s="158">
        <v>1</v>
      </c>
      <c r="K22" s="159">
        <v>3</v>
      </c>
      <c r="L22" s="961"/>
      <c r="M22" s="962"/>
      <c r="N22" s="962"/>
      <c r="O22" s="962"/>
      <c r="P22" s="962"/>
      <c r="Q22" s="962"/>
      <c r="R22" s="963"/>
      <c r="T22" s="99">
        <v>15</v>
      </c>
      <c r="U22" s="88" t="s">
        <v>950</v>
      </c>
      <c r="V22" s="453">
        <v>1</v>
      </c>
      <c r="W22" s="453">
        <v>2</v>
      </c>
      <c r="X22" s="453" t="s">
        <v>340</v>
      </c>
      <c r="Y22" s="453" t="s">
        <v>340</v>
      </c>
      <c r="Z22" s="146" t="s">
        <v>340</v>
      </c>
      <c r="AA22" s="146">
        <v>2</v>
      </c>
      <c r="AB22" s="146">
        <v>1</v>
      </c>
      <c r="AC22" s="453">
        <v>3</v>
      </c>
      <c r="AD22" s="453">
        <v>2</v>
      </c>
      <c r="AE22" s="453">
        <v>1</v>
      </c>
      <c r="AF22" s="453" t="b">
        <v>1</v>
      </c>
      <c r="AG22" s="453">
        <f t="shared" si="3"/>
        <v>3</v>
      </c>
      <c r="AH22" s="453">
        <f t="shared" si="4"/>
        <v>2</v>
      </c>
      <c r="AI22" s="138">
        <f>IF(NOT(OR(Z22=1,Z22=2)),IF(AQ22&gt;0,$AR$44*AQ22/SUMIF($AQ$8:$AQ$39,"&gt;0"),IF(AU22&gt;0,$AV$44*AU22/SUMIF($AU$8:$AU$39,"&gt;0"),IF(AS22&gt;0,$AT$44*AS22/SUMIF($AS$8:$AS$39,"&gt;0"),""))),IF(SUMIF(AJ23:$AJ$39,"=" &amp; AJ22,AI23:$AI$39)=0,"",SUMIF(AJ23:$AJ$39,"=" &amp; AJ22,AI23:$AI$39)))</f>
        <v>5.5555555555555559E-2</v>
      </c>
      <c r="AJ22" s="139">
        <f t="shared" si="34"/>
        <v>3</v>
      </c>
      <c r="AK22" s="453">
        <f t="shared" si="27"/>
        <v>2</v>
      </c>
      <c r="AL22" s="146">
        <f t="shared" si="28"/>
        <v>3</v>
      </c>
      <c r="AM22" s="146">
        <f t="shared" si="35"/>
        <v>1</v>
      </c>
      <c r="AN22" s="146" t="str">
        <f t="shared" si="5"/>
        <v/>
      </c>
      <c r="AO22" s="146" t="str">
        <f t="shared" si="6"/>
        <v/>
      </c>
      <c r="AP22" s="453" t="b">
        <f t="shared" si="7"/>
        <v>0</v>
      </c>
      <c r="AQ22" s="140">
        <f t="shared" si="29"/>
        <v>2</v>
      </c>
      <c r="AR22" s="141">
        <f t="shared" si="8"/>
        <v>0.9</v>
      </c>
      <c r="AS22" s="142">
        <f t="shared" si="30"/>
        <v>0</v>
      </c>
      <c r="AT22" s="141" t="str">
        <f t="shared" si="9"/>
        <v/>
      </c>
      <c r="AU22" s="143">
        <f t="shared" si="10"/>
        <v>0</v>
      </c>
      <c r="AV22" s="144">
        <f t="shared" si="11"/>
        <v>0.9</v>
      </c>
      <c r="AW22" s="143" t="b">
        <f t="shared" si="12"/>
        <v>0</v>
      </c>
      <c r="AX22" s="145" t="b">
        <f t="shared" si="13"/>
        <v>0</v>
      </c>
      <c r="AY22" s="143" t="b">
        <f t="shared" si="14"/>
        <v>0</v>
      </c>
      <c r="AZ22" s="145" t="b">
        <f t="shared" si="15"/>
        <v>0</v>
      </c>
      <c r="BA22" s="453" t="b">
        <f t="shared" si="16"/>
        <v>0</v>
      </c>
      <c r="BB22" s="453" t="b">
        <f t="shared" si="17"/>
        <v>0</v>
      </c>
      <c r="BC22" s="143" t="b">
        <f t="shared" si="18"/>
        <v>0</v>
      </c>
      <c r="BD22" s="146" t="b">
        <f t="shared" si="31"/>
        <v>0</v>
      </c>
      <c r="BE22" s="145" t="b">
        <f>IF(OR(ISNA($Z22),K22&lt;&gt;"D"),FALSE,IF(OR(AND(H22="NG",J22=0),AND(H22&lt;&gt;"NG",NOT(OR(J22="NA",J22=0)))),TRUE,FALSE))</f>
        <v>0</v>
      </c>
      <c r="BF22" s="147" t="b">
        <f t="shared" si="20"/>
        <v>0</v>
      </c>
      <c r="BG22" s="453" t="b">
        <f>IF(ISNA($Z22),"NA",IF(OR(AZ22,AY22,AX22,AW22,AP22,BA22,BB22),TRUE,FALSE))</f>
        <v>0</v>
      </c>
      <c r="BH22" s="453">
        <f t="shared" si="32"/>
        <v>1</v>
      </c>
      <c r="BI22" s="453">
        <f t="shared" si="22"/>
        <v>2</v>
      </c>
      <c r="BJ22" s="453" t="str">
        <f t="shared" si="23"/>
        <v>2*</v>
      </c>
      <c r="BK22" s="453">
        <f t="shared" si="24"/>
        <v>3</v>
      </c>
      <c r="BL22" s="148">
        <f t="shared" si="33"/>
        <v>1</v>
      </c>
      <c r="BM22" s="453">
        <f t="shared" si="25"/>
        <v>2</v>
      </c>
      <c r="BN22" s="453">
        <f t="shared" si="26"/>
        <v>3</v>
      </c>
      <c r="BO22" s="936"/>
      <c r="BP22" s="300" t="s">
        <v>360</v>
      </c>
      <c r="BQ22" s="165">
        <f t="shared" si="36"/>
        <v>0.7</v>
      </c>
      <c r="BR22" s="166">
        <f t="shared" si="36"/>
        <v>0.8</v>
      </c>
      <c r="BS22" s="166">
        <f t="shared" si="36"/>
        <v>0.9</v>
      </c>
      <c r="BT22" s="166">
        <f t="shared" si="36"/>
        <v>0.95</v>
      </c>
      <c r="BU22" s="167">
        <f t="shared" si="36"/>
        <v>1</v>
      </c>
    </row>
    <row r="23" spans="2:73" s="94" customFormat="1" ht="12.95" customHeight="1" x14ac:dyDescent="0.2">
      <c r="B23" s="151">
        <f>IF(ISNA(Z23),"",IF(OR(Z23=1,Z23=2),"    ",MAX($B$8:B22)+1))</f>
        <v>12</v>
      </c>
      <c r="C23" s="904" t="str">
        <f t="shared" si="0"/>
        <v xml:space="preserve">      - 2g MIL Level Decel (2.8%)</v>
      </c>
      <c r="D23" s="904"/>
      <c r="E23" s="904"/>
      <c r="F23" s="905"/>
      <c r="G23" s="133">
        <f t="shared" si="1"/>
        <v>1</v>
      </c>
      <c r="H23" s="134" t="str">
        <f t="shared" si="2"/>
        <v>1</v>
      </c>
      <c r="I23" s="152">
        <f t="shared" si="2"/>
        <v>2</v>
      </c>
      <c r="J23" s="158">
        <v>1</v>
      </c>
      <c r="K23" s="159">
        <v>2</v>
      </c>
      <c r="L23" s="961"/>
      <c r="M23" s="962"/>
      <c r="N23" s="962"/>
      <c r="O23" s="962"/>
      <c r="P23" s="962"/>
      <c r="Q23" s="962"/>
      <c r="R23" s="963"/>
      <c r="T23" s="99">
        <v>16</v>
      </c>
      <c r="U23" s="88" t="s">
        <v>951</v>
      </c>
      <c r="V23" s="453">
        <v>1</v>
      </c>
      <c r="W23" s="453">
        <v>1</v>
      </c>
      <c r="X23" s="453" t="s">
        <v>340</v>
      </c>
      <c r="Y23" s="453" t="s">
        <v>340</v>
      </c>
      <c r="Z23" s="146" t="s">
        <v>340</v>
      </c>
      <c r="AA23" s="146">
        <v>2</v>
      </c>
      <c r="AB23" s="146">
        <v>1</v>
      </c>
      <c r="AC23" s="453">
        <v>2</v>
      </c>
      <c r="AD23" s="453">
        <v>1</v>
      </c>
      <c r="AE23" s="453">
        <v>0</v>
      </c>
      <c r="AF23" s="453" t="b">
        <v>1</v>
      </c>
      <c r="AG23" s="453">
        <f t="shared" si="3"/>
        <v>2</v>
      </c>
      <c r="AH23" s="453">
        <f t="shared" si="4"/>
        <v>1</v>
      </c>
      <c r="AI23" s="138">
        <f>IF(NOT(OR(Z23=1,Z23=2)),IF(AQ23&gt;0,$AR$44*AQ23/SUMIF($AQ$8:$AQ$39,"&gt;0"),IF(AU23&gt;0,$AV$44*AU23/SUMIF($AU$8:$AU$39,"&gt;0"),IF(AS23&gt;0,$AT$44*AS23/SUMIF($AS$8:$AS$39,"&gt;0"),""))),IF(SUMIF(AJ24:$AJ$39,"=" &amp; AJ23,AI24:$AI$39)=0,"",SUMIF(AJ24:$AJ$39,"=" &amp; AJ23,AI24:$AI$39)))</f>
        <v>2.777777777777778E-2</v>
      </c>
      <c r="AJ23" s="139">
        <f t="shared" si="34"/>
        <v>3</v>
      </c>
      <c r="AK23" s="453">
        <f t="shared" si="27"/>
        <v>1</v>
      </c>
      <c r="AL23" s="146">
        <f t="shared" si="28"/>
        <v>2</v>
      </c>
      <c r="AM23" s="146">
        <f t="shared" si="35"/>
        <v>1</v>
      </c>
      <c r="AN23" s="146" t="str">
        <f t="shared" si="5"/>
        <v/>
      </c>
      <c r="AO23" s="146" t="str">
        <f t="shared" si="6"/>
        <v/>
      </c>
      <c r="AP23" s="453" t="b">
        <f t="shared" si="7"/>
        <v>0</v>
      </c>
      <c r="AQ23" s="140">
        <f t="shared" si="29"/>
        <v>1</v>
      </c>
      <c r="AR23" s="141">
        <f t="shared" si="8"/>
        <v>0.9</v>
      </c>
      <c r="AS23" s="142">
        <f t="shared" si="30"/>
        <v>0</v>
      </c>
      <c r="AT23" s="141" t="str">
        <f t="shared" si="9"/>
        <v/>
      </c>
      <c r="AU23" s="143">
        <f t="shared" si="10"/>
        <v>0</v>
      </c>
      <c r="AV23" s="144">
        <f t="shared" si="11"/>
        <v>0.9</v>
      </c>
      <c r="AW23" s="143" t="b">
        <f t="shared" si="12"/>
        <v>0</v>
      </c>
      <c r="AX23" s="145" t="b">
        <f t="shared" si="13"/>
        <v>0</v>
      </c>
      <c r="AY23" s="143" t="b">
        <f t="shared" si="14"/>
        <v>0</v>
      </c>
      <c r="AZ23" s="145" t="b">
        <f t="shared" si="15"/>
        <v>0</v>
      </c>
      <c r="BA23" s="453" t="b">
        <f t="shared" si="16"/>
        <v>0</v>
      </c>
      <c r="BB23" s="453" t="b">
        <f t="shared" si="17"/>
        <v>0</v>
      </c>
      <c r="BC23" s="143" t="b">
        <f t="shared" si="18"/>
        <v>0</v>
      </c>
      <c r="BD23" s="146" t="b">
        <f t="shared" si="31"/>
        <v>0</v>
      </c>
      <c r="BE23" s="145" t="b">
        <f t="shared" ref="BE23:BE39" si="37">IF(OR(ISNA($Z23),K23&lt;&gt;"D"),FALSE,IF(OR(AND(H23="NG",J23=0),AND(H23&lt;&gt;"NG",NOT(OR(J23="NA",J23=0)))),TRUE,FALSE))</f>
        <v>0</v>
      </c>
      <c r="BF23" s="147" t="b">
        <f t="shared" si="20"/>
        <v>0</v>
      </c>
      <c r="BG23" s="453" t="b">
        <f t="shared" ref="BG23:BG39" si="38">IF(ISNA($Z23),"NA",IF(OR(AZ23,AY23,AX23,AW23,AP23,BA23,BB23),TRUE,FALSE))</f>
        <v>0</v>
      </c>
      <c r="BH23" s="453">
        <f t="shared" si="32"/>
        <v>1</v>
      </c>
      <c r="BI23" s="453">
        <f t="shared" si="22"/>
        <v>1</v>
      </c>
      <c r="BJ23" s="453" t="str">
        <f t="shared" si="23"/>
        <v>1</v>
      </c>
      <c r="BK23" s="453">
        <f t="shared" si="24"/>
        <v>2</v>
      </c>
      <c r="BL23" s="148">
        <f t="shared" si="33"/>
        <v>1</v>
      </c>
      <c r="BM23" s="453">
        <f t="shared" si="25"/>
        <v>1</v>
      </c>
      <c r="BN23" s="453">
        <f t="shared" si="26"/>
        <v>2</v>
      </c>
      <c r="BO23" s="936"/>
      <c r="BP23" s="300" t="s">
        <v>361</v>
      </c>
      <c r="BQ23" s="165">
        <f t="shared" si="36"/>
        <v>0.7</v>
      </c>
      <c r="BR23" s="166">
        <f t="shared" si="36"/>
        <v>0.76670000000000005</v>
      </c>
      <c r="BS23" s="166">
        <f t="shared" si="36"/>
        <v>0.83330000000000004</v>
      </c>
      <c r="BT23" s="166">
        <f t="shared" si="36"/>
        <v>0.9</v>
      </c>
      <c r="BU23" s="167">
        <f t="shared" si="36"/>
        <v>1</v>
      </c>
    </row>
    <row r="24" spans="2:73" s="94" customFormat="1" ht="12.95" customHeight="1" x14ac:dyDescent="0.2">
      <c r="B24" s="151">
        <f>IF(ISNA(Z24),"",IF(OR(Z24=1,Z24=2),"    ",MAX($B$8:B23)+1))</f>
        <v>13</v>
      </c>
      <c r="C24" s="904" t="str">
        <f t="shared" si="0"/>
        <v xml:space="preserve">      - 2g IDLE Level Decel (2.8%)</v>
      </c>
      <c r="D24" s="904"/>
      <c r="E24" s="904"/>
      <c r="F24" s="905"/>
      <c r="G24" s="133">
        <f t="shared" si="1"/>
        <v>1</v>
      </c>
      <c r="H24" s="134" t="str">
        <f t="shared" si="2"/>
        <v>1</v>
      </c>
      <c r="I24" s="152">
        <f t="shared" si="2"/>
        <v>2</v>
      </c>
      <c r="J24" s="158">
        <v>1</v>
      </c>
      <c r="K24" s="159">
        <v>2</v>
      </c>
      <c r="L24" s="961"/>
      <c r="M24" s="962"/>
      <c r="N24" s="962"/>
      <c r="O24" s="962"/>
      <c r="P24" s="962"/>
      <c r="Q24" s="962"/>
      <c r="R24" s="963"/>
      <c r="T24" s="99">
        <v>17</v>
      </c>
      <c r="U24" s="88" t="s">
        <v>952</v>
      </c>
      <c r="V24" s="453">
        <v>1</v>
      </c>
      <c r="W24" s="453">
        <v>1</v>
      </c>
      <c r="X24" s="453" t="s">
        <v>340</v>
      </c>
      <c r="Y24" s="453" t="s">
        <v>340</v>
      </c>
      <c r="Z24" s="146" t="s">
        <v>340</v>
      </c>
      <c r="AA24" s="146">
        <v>2</v>
      </c>
      <c r="AB24" s="146">
        <v>1</v>
      </c>
      <c r="AC24" s="453">
        <v>2</v>
      </c>
      <c r="AD24" s="453">
        <v>1</v>
      </c>
      <c r="AE24" s="453">
        <v>0</v>
      </c>
      <c r="AF24" s="453" t="b">
        <v>1</v>
      </c>
      <c r="AG24" s="453">
        <f t="shared" si="3"/>
        <v>2</v>
      </c>
      <c r="AH24" s="453">
        <f t="shared" si="4"/>
        <v>1</v>
      </c>
      <c r="AI24" s="138">
        <f>IF(NOT(OR(Z24=1,Z24=2)),IF(AQ24&gt;0,$AR$44*AQ24/SUMIF($AQ$8:$AQ$39,"&gt;0"),IF(AU24&gt;0,$AV$44*AU24/SUMIF($AU$8:$AU$39,"&gt;0"),IF(AS24&gt;0,$AT$44*AS24/SUMIF($AS$8:$AS$39,"&gt;0"),""))),IF(SUMIF(AJ25:$AJ$39,"=" &amp; AJ24,AI25:$AI$39)=0,"",SUMIF(AJ25:$AJ$39,"=" &amp; AJ24,AI25:$AI$39)))</f>
        <v>2.777777777777778E-2</v>
      </c>
      <c r="AJ24" s="139">
        <f t="shared" si="34"/>
        <v>3</v>
      </c>
      <c r="AK24" s="453">
        <f t="shared" si="27"/>
        <v>1</v>
      </c>
      <c r="AL24" s="146">
        <f t="shared" si="28"/>
        <v>2</v>
      </c>
      <c r="AM24" s="146">
        <f t="shared" si="35"/>
        <v>1</v>
      </c>
      <c r="AN24" s="146" t="str">
        <f t="shared" si="5"/>
        <v/>
      </c>
      <c r="AO24" s="146" t="str">
        <f t="shared" si="6"/>
        <v/>
      </c>
      <c r="AP24" s="453" t="b">
        <f t="shared" si="7"/>
        <v>0</v>
      </c>
      <c r="AQ24" s="140">
        <f t="shared" si="29"/>
        <v>1</v>
      </c>
      <c r="AR24" s="141">
        <f t="shared" si="8"/>
        <v>0.9</v>
      </c>
      <c r="AS24" s="142">
        <f t="shared" si="30"/>
        <v>0</v>
      </c>
      <c r="AT24" s="141" t="str">
        <f t="shared" si="9"/>
        <v/>
      </c>
      <c r="AU24" s="143">
        <f t="shared" si="10"/>
        <v>0</v>
      </c>
      <c r="AV24" s="144">
        <f t="shared" si="11"/>
        <v>0.9</v>
      </c>
      <c r="AW24" s="143" t="b">
        <f t="shared" si="12"/>
        <v>0</v>
      </c>
      <c r="AX24" s="145" t="b">
        <f t="shared" si="13"/>
        <v>0</v>
      </c>
      <c r="AY24" s="143" t="b">
        <f t="shared" si="14"/>
        <v>0</v>
      </c>
      <c r="AZ24" s="145" t="b">
        <f t="shared" si="15"/>
        <v>0</v>
      </c>
      <c r="BA24" s="453" t="b">
        <f t="shared" si="16"/>
        <v>0</v>
      </c>
      <c r="BB24" s="453" t="b">
        <f t="shared" si="17"/>
        <v>0</v>
      </c>
      <c r="BC24" s="143" t="b">
        <f t="shared" si="18"/>
        <v>0</v>
      </c>
      <c r="BD24" s="146" t="b">
        <f t="shared" si="31"/>
        <v>0</v>
      </c>
      <c r="BE24" s="145" t="b">
        <f t="shared" si="37"/>
        <v>0</v>
      </c>
      <c r="BF24" s="147" t="b">
        <f t="shared" si="20"/>
        <v>0</v>
      </c>
      <c r="BG24" s="453" t="b">
        <f t="shared" si="38"/>
        <v>0</v>
      </c>
      <c r="BH24" s="453">
        <f t="shared" si="32"/>
        <v>1</v>
      </c>
      <c r="BI24" s="453">
        <f t="shared" si="22"/>
        <v>1</v>
      </c>
      <c r="BJ24" s="453" t="str">
        <f t="shared" si="23"/>
        <v>1</v>
      </c>
      <c r="BK24" s="453">
        <f t="shared" si="24"/>
        <v>2</v>
      </c>
      <c r="BL24" s="148">
        <f t="shared" si="33"/>
        <v>1</v>
      </c>
      <c r="BM24" s="453">
        <f t="shared" si="25"/>
        <v>1</v>
      </c>
      <c r="BN24" s="453">
        <f t="shared" si="26"/>
        <v>2</v>
      </c>
      <c r="BO24" s="936"/>
      <c r="BP24" s="300" t="s">
        <v>362</v>
      </c>
      <c r="BQ24" s="165">
        <f t="shared" si="36"/>
        <v>0.6</v>
      </c>
      <c r="BR24" s="166">
        <f t="shared" si="36"/>
        <v>0.9</v>
      </c>
      <c r="BS24" s="166">
        <f t="shared" si="36"/>
        <v>0.93330000000000002</v>
      </c>
      <c r="BT24" s="166">
        <f t="shared" si="36"/>
        <v>0.9667</v>
      </c>
      <c r="BU24" s="167">
        <f t="shared" si="36"/>
        <v>1</v>
      </c>
    </row>
    <row r="25" spans="2:73" s="94" customFormat="1" ht="12.95" customHeight="1" x14ac:dyDescent="0.2">
      <c r="B25" s="151">
        <f>IF(ISNA(Z25),"",IF(OR(Z25=1,Z25=2),"    ",MAX($B$8:B24)+1))</f>
        <v>14</v>
      </c>
      <c r="C25" s="904" t="str">
        <f t="shared" si="0"/>
        <v xml:space="preserve">      - STBY MIL Level Accel (2.8%)</v>
      </c>
      <c r="D25" s="904"/>
      <c r="E25" s="904"/>
      <c r="F25" s="905"/>
      <c r="G25" s="133">
        <f t="shared" si="1"/>
        <v>1</v>
      </c>
      <c r="H25" s="134" t="str">
        <f t="shared" si="2"/>
        <v>1</v>
      </c>
      <c r="I25" s="152">
        <f t="shared" si="2"/>
        <v>1</v>
      </c>
      <c r="J25" s="158">
        <v>1</v>
      </c>
      <c r="K25" s="159">
        <v>3</v>
      </c>
      <c r="L25" s="961"/>
      <c r="M25" s="962"/>
      <c r="N25" s="962"/>
      <c r="O25" s="962"/>
      <c r="P25" s="962"/>
      <c r="Q25" s="962"/>
      <c r="R25" s="963"/>
      <c r="T25" s="99">
        <v>18</v>
      </c>
      <c r="U25" s="88" t="s">
        <v>953</v>
      </c>
      <c r="V25" s="453">
        <v>1</v>
      </c>
      <c r="W25" s="453">
        <v>1</v>
      </c>
      <c r="X25" s="453" t="s">
        <v>340</v>
      </c>
      <c r="Y25" s="453" t="s">
        <v>340</v>
      </c>
      <c r="Z25" s="146" t="s">
        <v>340</v>
      </c>
      <c r="AA25" s="146">
        <v>2</v>
      </c>
      <c r="AB25" s="146">
        <v>1</v>
      </c>
      <c r="AC25" s="453">
        <v>1</v>
      </c>
      <c r="AD25" s="453">
        <v>1</v>
      </c>
      <c r="AE25" s="453">
        <v>0</v>
      </c>
      <c r="AF25" s="453" t="b">
        <v>1</v>
      </c>
      <c r="AG25" s="453">
        <f t="shared" si="3"/>
        <v>1</v>
      </c>
      <c r="AH25" s="453">
        <f t="shared" si="4"/>
        <v>0</v>
      </c>
      <c r="AI25" s="138">
        <f>IF(NOT(OR(Z25=1,Z25=2)),IF(AQ25&gt;0,$AR$44*AQ25/SUMIF($AQ$8:$AQ$39,"&gt;0"),IF(AU25&gt;0,$AV$44*AU25/SUMIF($AU$8:$AU$39,"&gt;0"),IF(AS25&gt;0,$AT$44*AS25/SUMIF($AS$8:$AS$39,"&gt;0"),""))),IF(SUMIF(AJ26:$AJ$39,"=" &amp; AJ25,AI26:$AI$39)=0,"",SUMIF(AJ26:$AJ$39,"=" &amp; AJ25,AI26:$AI$39)))</f>
        <v>2.777777777777778E-2</v>
      </c>
      <c r="AJ25" s="139">
        <f t="shared" si="34"/>
        <v>3</v>
      </c>
      <c r="AK25" s="453">
        <f t="shared" si="27"/>
        <v>1</v>
      </c>
      <c r="AL25" s="146">
        <f t="shared" si="28"/>
        <v>3</v>
      </c>
      <c r="AM25" s="146">
        <f t="shared" si="35"/>
        <v>1</v>
      </c>
      <c r="AN25" s="146" t="str">
        <f t="shared" si="5"/>
        <v/>
      </c>
      <c r="AO25" s="146" t="str">
        <f t="shared" si="6"/>
        <v/>
      </c>
      <c r="AP25" s="453" t="b">
        <f t="shared" si="7"/>
        <v>0</v>
      </c>
      <c r="AQ25" s="140">
        <f t="shared" si="29"/>
        <v>1</v>
      </c>
      <c r="AR25" s="141">
        <f t="shared" si="8"/>
        <v>0.9667</v>
      </c>
      <c r="AS25" s="142">
        <f t="shared" si="30"/>
        <v>0</v>
      </c>
      <c r="AT25" s="141" t="str">
        <f t="shared" si="9"/>
        <v/>
      </c>
      <c r="AU25" s="143">
        <f t="shared" si="10"/>
        <v>0</v>
      </c>
      <c r="AV25" s="144">
        <f t="shared" si="11"/>
        <v>0.9667</v>
      </c>
      <c r="AW25" s="143" t="b">
        <f t="shared" si="12"/>
        <v>0</v>
      </c>
      <c r="AX25" s="145" t="b">
        <f t="shared" si="13"/>
        <v>0</v>
      </c>
      <c r="AY25" s="143" t="b">
        <f t="shared" si="14"/>
        <v>0</v>
      </c>
      <c r="AZ25" s="145" t="b">
        <f t="shared" si="15"/>
        <v>0</v>
      </c>
      <c r="BA25" s="453" t="b">
        <f t="shared" si="16"/>
        <v>0</v>
      </c>
      <c r="BB25" s="453" t="b">
        <f t="shared" si="17"/>
        <v>0</v>
      </c>
      <c r="BC25" s="143" t="b">
        <f t="shared" si="18"/>
        <v>0</v>
      </c>
      <c r="BD25" s="146" t="b">
        <f t="shared" si="31"/>
        <v>0</v>
      </c>
      <c r="BE25" s="145" t="b">
        <f t="shared" si="37"/>
        <v>0</v>
      </c>
      <c r="BF25" s="147" t="b">
        <f t="shared" si="20"/>
        <v>0</v>
      </c>
      <c r="BG25" s="453" t="b">
        <f t="shared" si="38"/>
        <v>0</v>
      </c>
      <c r="BH25" s="453">
        <f t="shared" si="32"/>
        <v>1</v>
      </c>
      <c r="BI25" s="453">
        <f t="shared" si="22"/>
        <v>1</v>
      </c>
      <c r="BJ25" s="453" t="str">
        <f t="shared" si="23"/>
        <v>1</v>
      </c>
      <c r="BK25" s="453">
        <f t="shared" si="24"/>
        <v>1</v>
      </c>
      <c r="BL25" s="148">
        <f t="shared" si="33"/>
        <v>1</v>
      </c>
      <c r="BM25" s="453">
        <f t="shared" si="25"/>
        <v>1</v>
      </c>
      <c r="BN25" s="453">
        <f t="shared" si="26"/>
        <v>1</v>
      </c>
      <c r="BO25" s="936"/>
      <c r="BP25" s="300" t="s">
        <v>363</v>
      </c>
      <c r="BQ25" s="165">
        <f t="shared" si="36"/>
        <v>0.6</v>
      </c>
      <c r="BR25" s="166">
        <f t="shared" si="36"/>
        <v>0.7</v>
      </c>
      <c r="BS25" s="166">
        <f t="shared" si="36"/>
        <v>0.9</v>
      </c>
      <c r="BT25" s="166">
        <f t="shared" si="36"/>
        <v>0.95</v>
      </c>
      <c r="BU25" s="167">
        <f t="shared" si="36"/>
        <v>1</v>
      </c>
    </row>
    <row r="26" spans="2:73" s="94" customFormat="1" ht="12.95" customHeight="1" x14ac:dyDescent="0.2">
      <c r="B26" s="151">
        <f>IF(ISNA(Z26),"",IF(OR(Z26=1,Z26=2),"    ",MAX($B$8:B25)+1))</f>
        <v>15</v>
      </c>
      <c r="C26" s="904" t="str">
        <f t="shared" si="0"/>
        <v xml:space="preserve">      - STBY IDLE 2g Level Decel (2.8%)</v>
      </c>
      <c r="D26" s="904"/>
      <c r="E26" s="904"/>
      <c r="F26" s="905"/>
      <c r="G26" s="133">
        <f t="shared" si="1"/>
        <v>1</v>
      </c>
      <c r="H26" s="134" t="str">
        <f t="shared" si="2"/>
        <v>1</v>
      </c>
      <c r="I26" s="152">
        <f t="shared" si="2"/>
        <v>1</v>
      </c>
      <c r="J26" s="158">
        <v>1</v>
      </c>
      <c r="K26" s="159">
        <v>1</v>
      </c>
      <c r="L26" s="961"/>
      <c r="M26" s="962"/>
      <c r="N26" s="962"/>
      <c r="O26" s="962"/>
      <c r="P26" s="962"/>
      <c r="Q26" s="962"/>
      <c r="R26" s="963"/>
      <c r="T26" s="99">
        <v>19</v>
      </c>
      <c r="U26" s="88" t="s">
        <v>954</v>
      </c>
      <c r="V26" s="453">
        <v>1</v>
      </c>
      <c r="W26" s="453">
        <v>1</v>
      </c>
      <c r="X26" s="453" t="s">
        <v>340</v>
      </c>
      <c r="Y26" s="453" t="s">
        <v>340</v>
      </c>
      <c r="Z26" s="146" t="s">
        <v>340</v>
      </c>
      <c r="AA26" s="146">
        <v>2</v>
      </c>
      <c r="AB26" s="146">
        <v>1</v>
      </c>
      <c r="AC26" s="453">
        <v>1</v>
      </c>
      <c r="AD26" s="453">
        <v>1</v>
      </c>
      <c r="AE26" s="453">
        <v>0</v>
      </c>
      <c r="AF26" s="453" t="b">
        <v>1</v>
      </c>
      <c r="AG26" s="453">
        <f t="shared" si="3"/>
        <v>1</v>
      </c>
      <c r="AH26" s="453">
        <f t="shared" si="4"/>
        <v>0</v>
      </c>
      <c r="AI26" s="138">
        <f>IF(NOT(OR(Z26=1,Z26=2)),IF(AQ26&gt;0,$AR$44*AQ26/SUMIF($AQ$8:$AQ$39,"&gt;0"),IF(AU26&gt;0,$AV$44*AU26/SUMIF($AU$8:$AU$39,"&gt;0"),IF(AS26&gt;0,$AT$44*AS26/SUMIF($AS$8:$AS$39,"&gt;0"),""))),IF(SUMIF(AJ27:$AJ$39,"=" &amp; AJ26,AI27:$AI$39)=0,"",SUMIF(AJ27:$AJ$39,"=" &amp; AJ26,AI27:$AI$39)))</f>
        <v>2.777777777777778E-2</v>
      </c>
      <c r="AJ26" s="139">
        <f t="shared" si="34"/>
        <v>3</v>
      </c>
      <c r="AK26" s="453">
        <f t="shared" si="27"/>
        <v>1</v>
      </c>
      <c r="AL26" s="146">
        <f t="shared" si="28"/>
        <v>1</v>
      </c>
      <c r="AM26" s="146">
        <f t="shared" si="35"/>
        <v>1</v>
      </c>
      <c r="AN26" s="146" t="str">
        <f t="shared" si="5"/>
        <v/>
      </c>
      <c r="AO26" s="146" t="str">
        <f t="shared" si="6"/>
        <v/>
      </c>
      <c r="AP26" s="453" t="b">
        <f t="shared" si="7"/>
        <v>0</v>
      </c>
      <c r="AQ26" s="140">
        <f t="shared" si="29"/>
        <v>1</v>
      </c>
      <c r="AR26" s="141">
        <f t="shared" si="8"/>
        <v>0.9</v>
      </c>
      <c r="AS26" s="142">
        <f t="shared" si="30"/>
        <v>0</v>
      </c>
      <c r="AT26" s="141" t="str">
        <f t="shared" si="9"/>
        <v/>
      </c>
      <c r="AU26" s="143">
        <f t="shared" si="10"/>
        <v>0</v>
      </c>
      <c r="AV26" s="144">
        <f t="shared" si="11"/>
        <v>0.9</v>
      </c>
      <c r="AW26" s="143" t="b">
        <f t="shared" si="12"/>
        <v>0</v>
      </c>
      <c r="AX26" s="145" t="b">
        <f t="shared" si="13"/>
        <v>0</v>
      </c>
      <c r="AY26" s="143" t="b">
        <f t="shared" si="14"/>
        <v>0</v>
      </c>
      <c r="AZ26" s="145" t="b">
        <f t="shared" si="15"/>
        <v>0</v>
      </c>
      <c r="BA26" s="453" t="b">
        <f t="shared" si="16"/>
        <v>0</v>
      </c>
      <c r="BB26" s="453" t="b">
        <f t="shared" si="17"/>
        <v>0</v>
      </c>
      <c r="BC26" s="143" t="b">
        <f t="shared" si="18"/>
        <v>0</v>
      </c>
      <c r="BD26" s="146" t="b">
        <f t="shared" si="31"/>
        <v>0</v>
      </c>
      <c r="BE26" s="145" t="b">
        <f t="shared" si="37"/>
        <v>0</v>
      </c>
      <c r="BF26" s="147" t="b">
        <f t="shared" si="20"/>
        <v>0</v>
      </c>
      <c r="BG26" s="453" t="b">
        <f t="shared" si="38"/>
        <v>0</v>
      </c>
      <c r="BH26" s="453">
        <f t="shared" si="32"/>
        <v>1</v>
      </c>
      <c r="BI26" s="453">
        <f t="shared" si="22"/>
        <v>1</v>
      </c>
      <c r="BJ26" s="453" t="str">
        <f t="shared" si="23"/>
        <v>1</v>
      </c>
      <c r="BK26" s="453">
        <f t="shared" si="24"/>
        <v>1</v>
      </c>
      <c r="BL26" s="148">
        <f t="shared" si="33"/>
        <v>1</v>
      </c>
      <c r="BM26" s="453">
        <f t="shared" si="25"/>
        <v>1</v>
      </c>
      <c r="BN26" s="453">
        <f t="shared" si="26"/>
        <v>1</v>
      </c>
      <c r="BO26" s="936"/>
      <c r="BP26" s="300" t="s">
        <v>364</v>
      </c>
      <c r="BQ26" s="165">
        <f t="shared" si="36"/>
        <v>0.6</v>
      </c>
      <c r="BR26" s="166">
        <f t="shared" si="36"/>
        <v>0.7</v>
      </c>
      <c r="BS26" s="166">
        <f t="shared" si="36"/>
        <v>0.8</v>
      </c>
      <c r="BT26" s="166">
        <f t="shared" si="36"/>
        <v>0.9</v>
      </c>
      <c r="BU26" s="167">
        <f t="shared" si="36"/>
        <v>1</v>
      </c>
    </row>
    <row r="27" spans="2:73" s="94" customFormat="1" ht="12.95" customHeight="1" x14ac:dyDescent="0.2">
      <c r="B27" s="151">
        <f>IF(ISNA(Z27),"",IF(OR(Z27=1,Z27=2),"    ",MAX($B$8:B26)+1))</f>
        <v>16</v>
      </c>
      <c r="C27" s="904" t="str">
        <f t="shared" si="0"/>
        <v xml:space="preserve">      - Sawtooth Climb (5.6%)</v>
      </c>
      <c r="D27" s="904"/>
      <c r="E27" s="904"/>
      <c r="F27" s="905"/>
      <c r="G27" s="133">
        <f t="shared" si="1"/>
        <v>1</v>
      </c>
      <c r="H27" s="134" t="str">
        <f t="shared" si="2"/>
        <v>2*</v>
      </c>
      <c r="I27" s="152">
        <f t="shared" si="2"/>
        <v>3</v>
      </c>
      <c r="J27" s="158">
        <v>1</v>
      </c>
      <c r="K27" s="159">
        <v>3</v>
      </c>
      <c r="L27" s="961"/>
      <c r="M27" s="962"/>
      <c r="N27" s="962"/>
      <c r="O27" s="962"/>
      <c r="P27" s="962"/>
      <c r="Q27" s="962"/>
      <c r="R27" s="963"/>
      <c r="T27" s="99">
        <v>20</v>
      </c>
      <c r="U27" s="88" t="s">
        <v>955</v>
      </c>
      <c r="V27" s="453">
        <v>1</v>
      </c>
      <c r="W27" s="453">
        <v>2</v>
      </c>
      <c r="X27" s="453" t="s">
        <v>340</v>
      </c>
      <c r="Y27" s="453" t="s">
        <v>340</v>
      </c>
      <c r="Z27" s="146" t="s">
        <v>340</v>
      </c>
      <c r="AA27" s="146">
        <v>2</v>
      </c>
      <c r="AB27" s="146">
        <v>1</v>
      </c>
      <c r="AC27" s="453">
        <v>3</v>
      </c>
      <c r="AD27" s="453">
        <v>2</v>
      </c>
      <c r="AE27" s="453">
        <v>1</v>
      </c>
      <c r="AF27" s="453" t="b">
        <v>1</v>
      </c>
      <c r="AG27" s="453">
        <f t="shared" si="3"/>
        <v>3</v>
      </c>
      <c r="AH27" s="453">
        <f t="shared" si="4"/>
        <v>2</v>
      </c>
      <c r="AI27" s="138">
        <f>IF(NOT(OR(Z27=1,Z27=2)),IF(AQ27&gt;0,$AR$44*AQ27/SUMIF($AQ$8:$AQ$39,"&gt;0"),IF(AU27&gt;0,$AV$44*AU27/SUMIF($AU$8:$AU$39,"&gt;0"),IF(AS27&gt;0,$AT$44*AS27/SUMIF($AS$8:$AS$39,"&gt;0"),""))),IF(SUMIF(AJ28:$AJ$39,"=" &amp; AJ27,AI28:$AI$39)=0,"",SUMIF(AJ28:$AJ$39,"=" &amp; AJ27,AI28:$AI$39)))</f>
        <v>5.5555555555555559E-2</v>
      </c>
      <c r="AJ27" s="139">
        <f t="shared" si="34"/>
        <v>3</v>
      </c>
      <c r="AK27" s="453">
        <f t="shared" si="27"/>
        <v>2</v>
      </c>
      <c r="AL27" s="146">
        <f t="shared" si="28"/>
        <v>3</v>
      </c>
      <c r="AM27" s="146">
        <f t="shared" si="35"/>
        <v>1</v>
      </c>
      <c r="AN27" s="146" t="str">
        <f t="shared" si="5"/>
        <v/>
      </c>
      <c r="AO27" s="146" t="str">
        <f t="shared" si="6"/>
        <v/>
      </c>
      <c r="AP27" s="453" t="b">
        <f t="shared" si="7"/>
        <v>0</v>
      </c>
      <c r="AQ27" s="140">
        <f t="shared" si="29"/>
        <v>2</v>
      </c>
      <c r="AR27" s="141">
        <f t="shared" si="8"/>
        <v>0.9</v>
      </c>
      <c r="AS27" s="142">
        <f t="shared" si="30"/>
        <v>0</v>
      </c>
      <c r="AT27" s="141" t="str">
        <f t="shared" si="9"/>
        <v/>
      </c>
      <c r="AU27" s="143">
        <f t="shared" si="10"/>
        <v>0</v>
      </c>
      <c r="AV27" s="144">
        <f t="shared" si="11"/>
        <v>0.9</v>
      </c>
      <c r="AW27" s="143" t="b">
        <f t="shared" si="12"/>
        <v>0</v>
      </c>
      <c r="AX27" s="145" t="b">
        <f t="shared" si="13"/>
        <v>0</v>
      </c>
      <c r="AY27" s="143" t="b">
        <f t="shared" si="14"/>
        <v>0</v>
      </c>
      <c r="AZ27" s="145" t="b">
        <f t="shared" si="15"/>
        <v>0</v>
      </c>
      <c r="BA27" s="453" t="b">
        <f t="shared" si="16"/>
        <v>0</v>
      </c>
      <c r="BB27" s="453" t="b">
        <f t="shared" si="17"/>
        <v>0</v>
      </c>
      <c r="BC27" s="143" t="b">
        <f t="shared" si="18"/>
        <v>0</v>
      </c>
      <c r="BD27" s="146" t="b">
        <f t="shared" si="31"/>
        <v>0</v>
      </c>
      <c r="BE27" s="145" t="b">
        <f t="shared" si="37"/>
        <v>0</v>
      </c>
      <c r="BF27" s="147" t="b">
        <f t="shared" si="20"/>
        <v>0</v>
      </c>
      <c r="BG27" s="453" t="b">
        <f t="shared" si="38"/>
        <v>0</v>
      </c>
      <c r="BH27" s="453">
        <f t="shared" si="32"/>
        <v>1</v>
      </c>
      <c r="BI27" s="453">
        <f t="shared" si="22"/>
        <v>2</v>
      </c>
      <c r="BJ27" s="453" t="str">
        <f t="shared" si="23"/>
        <v>2*</v>
      </c>
      <c r="BK27" s="453">
        <f t="shared" si="24"/>
        <v>3</v>
      </c>
      <c r="BL27" s="148">
        <f t="shared" si="33"/>
        <v>1</v>
      </c>
      <c r="BM27" s="453">
        <f t="shared" si="25"/>
        <v>2</v>
      </c>
      <c r="BN27" s="453">
        <f t="shared" si="26"/>
        <v>3</v>
      </c>
      <c r="BO27" s="936"/>
      <c r="BP27" s="300" t="s">
        <v>365</v>
      </c>
      <c r="BQ27" s="165">
        <f t="shared" si="36"/>
        <v>0.3</v>
      </c>
      <c r="BR27" s="166">
        <f t="shared" si="36"/>
        <v>0.6</v>
      </c>
      <c r="BS27" s="166">
        <f t="shared" si="36"/>
        <v>0.9</v>
      </c>
      <c r="BT27" s="166">
        <f t="shared" si="36"/>
        <v>0.95</v>
      </c>
      <c r="BU27" s="167">
        <f t="shared" si="36"/>
        <v>1</v>
      </c>
    </row>
    <row r="28" spans="2:73" s="94" customFormat="1" ht="12.95" customHeight="1" x14ac:dyDescent="0.2">
      <c r="B28" s="151">
        <f>IF(ISNA(Z28),"",IF(OR(Z28=1,Z28=2),"    ",MAX($B$8:B27)+1))</f>
        <v>17</v>
      </c>
      <c r="C28" s="904" t="str">
        <f t="shared" si="0"/>
        <v xml:space="preserve">      - MAX Level Accel/Decel (5.6%)</v>
      </c>
      <c r="D28" s="904"/>
      <c r="E28" s="904"/>
      <c r="F28" s="905"/>
      <c r="G28" s="133">
        <f t="shared" si="1"/>
        <v>1</v>
      </c>
      <c r="H28" s="134" t="str">
        <f t="shared" si="2"/>
        <v>2*</v>
      </c>
      <c r="I28" s="152">
        <f t="shared" si="2"/>
        <v>3</v>
      </c>
      <c r="J28" s="158">
        <v>1</v>
      </c>
      <c r="K28" s="159">
        <v>3</v>
      </c>
      <c r="L28" s="961"/>
      <c r="M28" s="962"/>
      <c r="N28" s="962"/>
      <c r="O28" s="962"/>
      <c r="P28" s="962"/>
      <c r="Q28" s="962"/>
      <c r="R28" s="963"/>
      <c r="T28" s="99">
        <v>21</v>
      </c>
      <c r="U28" s="88" t="s">
        <v>956</v>
      </c>
      <c r="V28" s="453">
        <v>1</v>
      </c>
      <c r="W28" s="453">
        <v>2</v>
      </c>
      <c r="X28" s="453" t="s">
        <v>340</v>
      </c>
      <c r="Y28" s="453" t="s">
        <v>340</v>
      </c>
      <c r="Z28" s="146" t="s">
        <v>340</v>
      </c>
      <c r="AA28" s="146">
        <v>2</v>
      </c>
      <c r="AB28" s="146">
        <v>1</v>
      </c>
      <c r="AC28" s="453">
        <v>3</v>
      </c>
      <c r="AD28" s="453">
        <v>2</v>
      </c>
      <c r="AE28" s="453">
        <v>1</v>
      </c>
      <c r="AF28" s="453" t="b">
        <v>1</v>
      </c>
      <c r="AG28" s="453">
        <f t="shared" si="3"/>
        <v>3</v>
      </c>
      <c r="AH28" s="453">
        <f t="shared" si="4"/>
        <v>2</v>
      </c>
      <c r="AI28" s="138">
        <f>IF(NOT(OR(Z28=1,Z28=2)),IF(AQ28&gt;0,$AR$44*AQ28/SUMIF($AQ$8:$AQ$39,"&gt;0"),IF(AU28&gt;0,$AV$44*AU28/SUMIF($AU$8:$AU$39,"&gt;0"),IF(AS28&gt;0,$AT$44*AS28/SUMIF($AS$8:$AS$39,"&gt;0"),""))),IF(SUMIF(AJ29:$AJ$39,"=" &amp; AJ28,AI29:$AI$39)=0,"",SUMIF(AJ29:$AJ$39,"=" &amp; AJ28,AI29:$AI$39)))</f>
        <v>5.5555555555555559E-2</v>
      </c>
      <c r="AJ28" s="139">
        <f t="shared" si="34"/>
        <v>3</v>
      </c>
      <c r="AK28" s="453">
        <f t="shared" si="27"/>
        <v>2</v>
      </c>
      <c r="AL28" s="146">
        <f t="shared" si="28"/>
        <v>3</v>
      </c>
      <c r="AM28" s="146">
        <f t="shared" si="35"/>
        <v>1</v>
      </c>
      <c r="AN28" s="146" t="str">
        <f t="shared" si="5"/>
        <v/>
      </c>
      <c r="AO28" s="146" t="str">
        <f t="shared" si="6"/>
        <v/>
      </c>
      <c r="AP28" s="453" t="b">
        <f t="shared" si="7"/>
        <v>0</v>
      </c>
      <c r="AQ28" s="140">
        <f t="shared" si="29"/>
        <v>2</v>
      </c>
      <c r="AR28" s="141">
        <f t="shared" si="8"/>
        <v>0.9</v>
      </c>
      <c r="AS28" s="142">
        <f t="shared" si="30"/>
        <v>0</v>
      </c>
      <c r="AT28" s="141" t="str">
        <f t="shared" si="9"/>
        <v/>
      </c>
      <c r="AU28" s="143">
        <f t="shared" si="10"/>
        <v>0</v>
      </c>
      <c r="AV28" s="144">
        <f t="shared" si="11"/>
        <v>0.9</v>
      </c>
      <c r="AW28" s="143" t="b">
        <f t="shared" si="12"/>
        <v>0</v>
      </c>
      <c r="AX28" s="145" t="b">
        <f t="shared" si="13"/>
        <v>0</v>
      </c>
      <c r="AY28" s="143" t="b">
        <f t="shared" si="14"/>
        <v>0</v>
      </c>
      <c r="AZ28" s="145" t="b">
        <f t="shared" si="15"/>
        <v>0</v>
      </c>
      <c r="BA28" s="453" t="b">
        <f t="shared" si="16"/>
        <v>0</v>
      </c>
      <c r="BB28" s="453" t="b">
        <f t="shared" si="17"/>
        <v>0</v>
      </c>
      <c r="BC28" s="143" t="b">
        <f t="shared" si="18"/>
        <v>0</v>
      </c>
      <c r="BD28" s="146" t="b">
        <f t="shared" si="31"/>
        <v>0</v>
      </c>
      <c r="BE28" s="145" t="b">
        <f t="shared" si="37"/>
        <v>0</v>
      </c>
      <c r="BF28" s="147" t="b">
        <f t="shared" si="20"/>
        <v>0</v>
      </c>
      <c r="BG28" s="453" t="b">
        <f t="shared" si="38"/>
        <v>0</v>
      </c>
      <c r="BH28" s="453">
        <f t="shared" si="32"/>
        <v>1</v>
      </c>
      <c r="BI28" s="453">
        <f t="shared" si="22"/>
        <v>2</v>
      </c>
      <c r="BJ28" s="453" t="str">
        <f t="shared" si="23"/>
        <v>2*</v>
      </c>
      <c r="BK28" s="453">
        <f t="shared" si="24"/>
        <v>3</v>
      </c>
      <c r="BL28" s="148">
        <f t="shared" si="33"/>
        <v>1</v>
      </c>
      <c r="BM28" s="453">
        <f t="shared" si="25"/>
        <v>2</v>
      </c>
      <c r="BN28" s="453">
        <f t="shared" si="26"/>
        <v>3</v>
      </c>
      <c r="BO28" s="936"/>
      <c r="BP28" s="300" t="s">
        <v>366</v>
      </c>
      <c r="BQ28" s="165">
        <f t="shared" si="36"/>
        <v>0.3</v>
      </c>
      <c r="BR28" s="166">
        <f t="shared" si="36"/>
        <v>0.6</v>
      </c>
      <c r="BS28" s="166">
        <f t="shared" si="36"/>
        <v>0.7</v>
      </c>
      <c r="BT28" s="166">
        <f t="shared" si="36"/>
        <v>0.9</v>
      </c>
      <c r="BU28" s="167">
        <f t="shared" si="36"/>
        <v>1</v>
      </c>
    </row>
    <row r="29" spans="2:73" s="94" customFormat="1" ht="12.95" customHeight="1" x14ac:dyDescent="0.2">
      <c r="B29" s="151">
        <f>IF(ISNA(Z29),"",IF(OR(Z29=1,Z29=2),"    ",MAX($B$8:B28)+1))</f>
        <v>18</v>
      </c>
      <c r="C29" s="904" t="str">
        <f t="shared" si="0"/>
        <v xml:space="preserve">      - 4g MAX Level Decel (2.8%)</v>
      </c>
      <c r="D29" s="904"/>
      <c r="E29" s="904"/>
      <c r="F29" s="905"/>
      <c r="G29" s="133">
        <f t="shared" si="1"/>
        <v>1</v>
      </c>
      <c r="H29" s="134" t="str">
        <f t="shared" si="2"/>
        <v>1</v>
      </c>
      <c r="I29" s="152">
        <f t="shared" si="2"/>
        <v>2</v>
      </c>
      <c r="J29" s="158">
        <v>1</v>
      </c>
      <c r="K29" s="159">
        <v>2</v>
      </c>
      <c r="L29" s="961"/>
      <c r="M29" s="962"/>
      <c r="N29" s="962"/>
      <c r="O29" s="962"/>
      <c r="P29" s="962"/>
      <c r="Q29" s="962"/>
      <c r="R29" s="963"/>
      <c r="T29" s="99">
        <v>22</v>
      </c>
      <c r="U29" s="88" t="s">
        <v>957</v>
      </c>
      <c r="V29" s="453">
        <v>1</v>
      </c>
      <c r="W29" s="453">
        <v>1</v>
      </c>
      <c r="X29" s="453" t="s">
        <v>340</v>
      </c>
      <c r="Y29" s="453" t="s">
        <v>340</v>
      </c>
      <c r="Z29" s="146" t="s">
        <v>340</v>
      </c>
      <c r="AA29" s="146">
        <v>2</v>
      </c>
      <c r="AB29" s="146">
        <v>1</v>
      </c>
      <c r="AC29" s="453">
        <v>2</v>
      </c>
      <c r="AD29" s="453">
        <v>1</v>
      </c>
      <c r="AE29" s="453">
        <v>0</v>
      </c>
      <c r="AF29" s="453" t="b">
        <v>1</v>
      </c>
      <c r="AG29" s="453">
        <f t="shared" si="3"/>
        <v>2</v>
      </c>
      <c r="AH29" s="453">
        <f t="shared" si="4"/>
        <v>1</v>
      </c>
      <c r="AI29" s="138">
        <f>IF(NOT(OR(Z29=1,Z29=2)),IF(AQ29&gt;0,$AR$44*AQ29/SUMIF($AQ$8:$AQ$39,"&gt;0"),IF(AU29&gt;0,$AV$44*AU29/SUMIF($AU$8:$AU$39,"&gt;0"),IF(AS29&gt;0,$AT$44*AS29/SUMIF($AS$8:$AS$39,"&gt;0"),""))),IF(SUMIF(AJ30:$AJ$39,"=" &amp; AJ29,AI30:$AI$39)=0,"",SUMIF(AJ30:$AJ$39,"=" &amp; AJ29,AI30:$AI$39)))</f>
        <v>2.777777777777778E-2</v>
      </c>
      <c r="AJ29" s="139">
        <f t="shared" si="34"/>
        <v>3</v>
      </c>
      <c r="AK29" s="453">
        <f t="shared" si="27"/>
        <v>1</v>
      </c>
      <c r="AL29" s="146">
        <f t="shared" si="28"/>
        <v>2</v>
      </c>
      <c r="AM29" s="146">
        <f t="shared" si="35"/>
        <v>1</v>
      </c>
      <c r="AN29" s="146" t="str">
        <f t="shared" si="5"/>
        <v/>
      </c>
      <c r="AO29" s="146" t="str">
        <f t="shared" si="6"/>
        <v/>
      </c>
      <c r="AP29" s="453" t="b">
        <f t="shared" si="7"/>
        <v>0</v>
      </c>
      <c r="AQ29" s="140">
        <f t="shared" si="29"/>
        <v>1</v>
      </c>
      <c r="AR29" s="141">
        <f t="shared" si="8"/>
        <v>0.9</v>
      </c>
      <c r="AS29" s="142">
        <f t="shared" si="30"/>
        <v>0</v>
      </c>
      <c r="AT29" s="141" t="str">
        <f t="shared" si="9"/>
        <v/>
      </c>
      <c r="AU29" s="143">
        <f t="shared" si="10"/>
        <v>0</v>
      </c>
      <c r="AV29" s="144">
        <f t="shared" si="11"/>
        <v>0.9</v>
      </c>
      <c r="AW29" s="143" t="b">
        <f t="shared" si="12"/>
        <v>0</v>
      </c>
      <c r="AX29" s="145" t="b">
        <f t="shared" si="13"/>
        <v>0</v>
      </c>
      <c r="AY29" s="143" t="b">
        <f t="shared" si="14"/>
        <v>0</v>
      </c>
      <c r="AZ29" s="145" t="b">
        <f t="shared" si="15"/>
        <v>0</v>
      </c>
      <c r="BA29" s="453" t="b">
        <f t="shared" si="16"/>
        <v>0</v>
      </c>
      <c r="BB29" s="453" t="b">
        <f t="shared" si="17"/>
        <v>0</v>
      </c>
      <c r="BC29" s="143" t="b">
        <f t="shared" si="18"/>
        <v>0</v>
      </c>
      <c r="BD29" s="146" t="b">
        <f t="shared" si="31"/>
        <v>0</v>
      </c>
      <c r="BE29" s="145" t="b">
        <f t="shared" si="37"/>
        <v>0</v>
      </c>
      <c r="BF29" s="147" t="b">
        <f t="shared" si="20"/>
        <v>0</v>
      </c>
      <c r="BG29" s="453" t="b">
        <f t="shared" si="38"/>
        <v>0</v>
      </c>
      <c r="BH29" s="453">
        <f t="shared" si="32"/>
        <v>1</v>
      </c>
      <c r="BI29" s="453">
        <f t="shared" si="22"/>
        <v>1</v>
      </c>
      <c r="BJ29" s="453" t="str">
        <f t="shared" si="23"/>
        <v>1</v>
      </c>
      <c r="BK29" s="453">
        <f t="shared" si="24"/>
        <v>2</v>
      </c>
      <c r="BL29" s="148">
        <f t="shared" si="33"/>
        <v>1</v>
      </c>
      <c r="BM29" s="453">
        <f t="shared" si="25"/>
        <v>1</v>
      </c>
      <c r="BN29" s="453">
        <f t="shared" si="26"/>
        <v>2</v>
      </c>
      <c r="BO29" s="936"/>
      <c r="BP29" s="300" t="s">
        <v>367</v>
      </c>
      <c r="BQ29" s="168">
        <f t="shared" si="36"/>
        <v>0</v>
      </c>
      <c r="BR29" s="169">
        <f t="shared" si="36"/>
        <v>0.3</v>
      </c>
      <c r="BS29" s="169">
        <f t="shared" si="36"/>
        <v>0.6</v>
      </c>
      <c r="BT29" s="169">
        <f t="shared" si="36"/>
        <v>0.9</v>
      </c>
      <c r="BU29" s="170">
        <f t="shared" si="36"/>
        <v>1</v>
      </c>
    </row>
    <row r="30" spans="2:73" s="94" customFormat="1" ht="12.95" customHeight="1" x14ac:dyDescent="0.2">
      <c r="B30" s="151">
        <f>IF(ISNA(Z30),"",IF(OR(Z30=1,Z30=2),"    ",MAX($B$8:B29)+1))</f>
        <v>19</v>
      </c>
      <c r="C30" s="904" t="str">
        <f t="shared" si="0"/>
        <v xml:space="preserve">      - 0.84M High Speed Descent (2.8%)</v>
      </c>
      <c r="D30" s="904"/>
      <c r="E30" s="904"/>
      <c r="F30" s="905"/>
      <c r="G30" s="133">
        <f t="shared" si="1"/>
        <v>1</v>
      </c>
      <c r="H30" s="134" t="str">
        <f t="shared" si="2"/>
        <v>1</v>
      </c>
      <c r="I30" s="152">
        <f t="shared" si="2"/>
        <v>2</v>
      </c>
      <c r="J30" s="158">
        <v>1</v>
      </c>
      <c r="K30" s="159">
        <v>3</v>
      </c>
      <c r="L30" s="961"/>
      <c r="M30" s="962"/>
      <c r="N30" s="962"/>
      <c r="O30" s="962"/>
      <c r="P30" s="962"/>
      <c r="Q30" s="962"/>
      <c r="R30" s="963"/>
      <c r="T30" s="99">
        <v>23</v>
      </c>
      <c r="U30" s="88" t="s">
        <v>958</v>
      </c>
      <c r="V30" s="453">
        <v>1</v>
      </c>
      <c r="W30" s="453">
        <v>1</v>
      </c>
      <c r="X30" s="453" t="s">
        <v>340</v>
      </c>
      <c r="Y30" s="453" t="s">
        <v>340</v>
      </c>
      <c r="Z30" s="146" t="s">
        <v>340</v>
      </c>
      <c r="AA30" s="146">
        <v>2</v>
      </c>
      <c r="AB30" s="146">
        <v>1</v>
      </c>
      <c r="AC30" s="453">
        <v>2</v>
      </c>
      <c r="AD30" s="453">
        <v>1</v>
      </c>
      <c r="AE30" s="453">
        <v>0</v>
      </c>
      <c r="AF30" s="453" t="b">
        <v>1</v>
      </c>
      <c r="AG30" s="453">
        <f t="shared" si="3"/>
        <v>2</v>
      </c>
      <c r="AH30" s="453">
        <f t="shared" si="4"/>
        <v>1</v>
      </c>
      <c r="AI30" s="138">
        <f>IF(NOT(OR(Z30=1,Z30=2)),IF(AQ30&gt;0,$AR$44*AQ30/SUMIF($AQ$8:$AQ$39,"&gt;0"),IF(AU30&gt;0,$AV$44*AU30/SUMIF($AU$8:$AU$39,"&gt;0"),IF(AS30&gt;0,$AT$44*AS30/SUMIF($AS$8:$AS$39,"&gt;0"),""))),IF(SUMIF(AJ31:$AJ$39,"=" &amp; AJ30,AI31:$AI$39)=0,"",SUMIF(AJ31:$AJ$39,"=" &amp; AJ30,AI31:$AI$39)))</f>
        <v>2.777777777777778E-2</v>
      </c>
      <c r="AJ30" s="139">
        <f t="shared" si="34"/>
        <v>3</v>
      </c>
      <c r="AK30" s="453">
        <f t="shared" si="27"/>
        <v>1</v>
      </c>
      <c r="AL30" s="146">
        <f t="shared" si="28"/>
        <v>3</v>
      </c>
      <c r="AM30" s="146">
        <f t="shared" si="35"/>
        <v>1</v>
      </c>
      <c r="AN30" s="146" t="str">
        <f t="shared" si="5"/>
        <v/>
      </c>
      <c r="AO30" s="146" t="str">
        <f t="shared" si="6"/>
        <v/>
      </c>
      <c r="AP30" s="453" t="b">
        <f t="shared" si="7"/>
        <v>0</v>
      </c>
      <c r="AQ30" s="140">
        <f t="shared" si="29"/>
        <v>1</v>
      </c>
      <c r="AR30" s="141">
        <f t="shared" si="8"/>
        <v>0.95</v>
      </c>
      <c r="AS30" s="142">
        <f t="shared" si="30"/>
        <v>0</v>
      </c>
      <c r="AT30" s="141" t="str">
        <f t="shared" si="9"/>
        <v/>
      </c>
      <c r="AU30" s="143">
        <f t="shared" si="10"/>
        <v>0</v>
      </c>
      <c r="AV30" s="144">
        <f t="shared" si="11"/>
        <v>0.95</v>
      </c>
      <c r="AW30" s="143" t="b">
        <f t="shared" si="12"/>
        <v>0</v>
      </c>
      <c r="AX30" s="145" t="b">
        <f t="shared" si="13"/>
        <v>0</v>
      </c>
      <c r="AY30" s="143" t="b">
        <f t="shared" si="14"/>
        <v>0</v>
      </c>
      <c r="AZ30" s="145" t="b">
        <f t="shared" si="15"/>
        <v>0</v>
      </c>
      <c r="BA30" s="453" t="b">
        <f t="shared" si="16"/>
        <v>0</v>
      </c>
      <c r="BB30" s="453" t="b">
        <f t="shared" si="17"/>
        <v>0</v>
      </c>
      <c r="BC30" s="143" t="b">
        <f t="shared" si="18"/>
        <v>0</v>
      </c>
      <c r="BD30" s="146" t="b">
        <f t="shared" si="31"/>
        <v>0</v>
      </c>
      <c r="BE30" s="145" t="b">
        <f t="shared" si="37"/>
        <v>0</v>
      </c>
      <c r="BF30" s="147" t="b">
        <f t="shared" si="20"/>
        <v>0</v>
      </c>
      <c r="BG30" s="453" t="b">
        <f t="shared" si="38"/>
        <v>0</v>
      </c>
      <c r="BH30" s="453">
        <f t="shared" si="32"/>
        <v>1</v>
      </c>
      <c r="BI30" s="453">
        <f t="shared" si="22"/>
        <v>1</v>
      </c>
      <c r="BJ30" s="453" t="str">
        <f t="shared" si="23"/>
        <v>1</v>
      </c>
      <c r="BK30" s="453">
        <f t="shared" si="24"/>
        <v>2</v>
      </c>
      <c r="BL30" s="148">
        <f t="shared" si="33"/>
        <v>1</v>
      </c>
      <c r="BM30" s="453">
        <f t="shared" si="25"/>
        <v>1</v>
      </c>
      <c r="BN30" s="453">
        <f t="shared" si="26"/>
        <v>2</v>
      </c>
      <c r="BO30" s="90"/>
    </row>
    <row r="31" spans="2:73" s="94" customFormat="1" ht="12.95" customHeight="1" x14ac:dyDescent="0.2">
      <c r="B31" s="151">
        <f>IF(ISNA(Z31),"",IF(OR(Z31=1,Z31=2),"    ",MAX($B$8:B30)+1))</f>
        <v>20</v>
      </c>
      <c r="C31" s="904" t="str">
        <f t="shared" si="0"/>
        <v xml:space="preserve">      - MIL Level Accel, Turning Entry (5.6%)</v>
      </c>
      <c r="D31" s="904"/>
      <c r="E31" s="904"/>
      <c r="F31" s="905"/>
      <c r="G31" s="133">
        <f t="shared" si="1"/>
        <v>1</v>
      </c>
      <c r="H31" s="134" t="str">
        <f t="shared" si="2"/>
        <v>2*</v>
      </c>
      <c r="I31" s="152">
        <f t="shared" si="2"/>
        <v>3</v>
      </c>
      <c r="J31" s="158">
        <v>1</v>
      </c>
      <c r="K31" s="159">
        <v>2</v>
      </c>
      <c r="L31" s="961"/>
      <c r="M31" s="962"/>
      <c r="N31" s="962"/>
      <c r="O31" s="962"/>
      <c r="P31" s="962"/>
      <c r="Q31" s="962"/>
      <c r="R31" s="963"/>
      <c r="T31" s="99">
        <v>24</v>
      </c>
      <c r="U31" s="88" t="s">
        <v>959</v>
      </c>
      <c r="V31" s="453">
        <v>1</v>
      </c>
      <c r="W31" s="453">
        <v>2</v>
      </c>
      <c r="X31" s="453" t="s">
        <v>340</v>
      </c>
      <c r="Y31" s="453" t="s">
        <v>340</v>
      </c>
      <c r="Z31" s="146" t="s">
        <v>340</v>
      </c>
      <c r="AA31" s="146">
        <v>2</v>
      </c>
      <c r="AB31" s="146">
        <v>1</v>
      </c>
      <c r="AC31" s="453">
        <v>3</v>
      </c>
      <c r="AD31" s="453">
        <v>2</v>
      </c>
      <c r="AE31" s="453">
        <v>1</v>
      </c>
      <c r="AF31" s="453" t="b">
        <v>1</v>
      </c>
      <c r="AG31" s="453">
        <f t="shared" si="3"/>
        <v>3</v>
      </c>
      <c r="AH31" s="453">
        <f t="shared" si="4"/>
        <v>2</v>
      </c>
      <c r="AI31" s="138">
        <f>IF(NOT(OR(Z31=1,Z31=2)),IF(AQ31&gt;0,$AR$44*AQ31/SUMIF($AQ$8:$AQ$39,"&gt;0"),IF(AU31&gt;0,$AV$44*AU31/SUMIF($AU$8:$AU$39,"&gt;0"),IF(AS31&gt;0,$AT$44*AS31/SUMIF($AS$8:$AS$39,"&gt;0"),""))),IF(SUMIF(AJ32:$AJ$39,"=" &amp; AJ31,AI32:$AI$39)=0,"",SUMIF(AJ32:$AJ$39,"=" &amp; AJ31,AI32:$AI$39)))</f>
        <v>5.5555555555555559E-2</v>
      </c>
      <c r="AJ31" s="139">
        <f t="shared" si="34"/>
        <v>3</v>
      </c>
      <c r="AK31" s="453">
        <f t="shared" si="27"/>
        <v>2</v>
      </c>
      <c r="AL31" s="146">
        <f t="shared" si="28"/>
        <v>2</v>
      </c>
      <c r="AM31" s="146">
        <f t="shared" si="35"/>
        <v>1</v>
      </c>
      <c r="AN31" s="146" t="str">
        <f t="shared" si="5"/>
        <v/>
      </c>
      <c r="AO31" s="146" t="str">
        <f t="shared" si="6"/>
        <v/>
      </c>
      <c r="AP31" s="453" t="b">
        <f t="shared" si="7"/>
        <v>1</v>
      </c>
      <c r="AQ31" s="140">
        <f t="shared" si="29"/>
        <v>2</v>
      </c>
      <c r="AR31" s="141">
        <f t="shared" si="8"/>
        <v>0.7</v>
      </c>
      <c r="AS31" s="142">
        <f t="shared" si="30"/>
        <v>0</v>
      </c>
      <c r="AT31" s="141" t="str">
        <f t="shared" si="9"/>
        <v/>
      </c>
      <c r="AU31" s="143">
        <f t="shared" si="10"/>
        <v>0</v>
      </c>
      <c r="AV31" s="144">
        <f t="shared" si="11"/>
        <v>0.7</v>
      </c>
      <c r="AW31" s="143" t="b">
        <f t="shared" si="12"/>
        <v>0</v>
      </c>
      <c r="AX31" s="145" t="b">
        <f t="shared" si="13"/>
        <v>0</v>
      </c>
      <c r="AY31" s="143" t="b">
        <f t="shared" si="14"/>
        <v>0</v>
      </c>
      <c r="AZ31" s="145" t="b">
        <f t="shared" si="15"/>
        <v>0</v>
      </c>
      <c r="BA31" s="453" t="b">
        <f t="shared" si="16"/>
        <v>0</v>
      </c>
      <c r="BB31" s="453" t="b">
        <f t="shared" si="17"/>
        <v>0</v>
      </c>
      <c r="BC31" s="143" t="b">
        <f t="shared" si="18"/>
        <v>0</v>
      </c>
      <c r="BD31" s="146" t="b">
        <f>IF(OR(ISNA($Z31),ISNUMBER($Z31),NOT(ISNUMBER(K31))),FALSE,OR(NOT(ISNUMBER(J31)),J31=0,AND(J31=0,K31&lt;&gt;0)))</f>
        <v>0</v>
      </c>
      <c r="BE31" s="145" t="b">
        <f t="shared" si="37"/>
        <v>0</v>
      </c>
      <c r="BF31" s="147" t="b">
        <f>IF(OR(ISNA($Z31),H31&lt;&gt;"NG"),FALSE,IF(AND(J31="NA",K31&lt;&gt;""),TRUE,FALSE))</f>
        <v>0</v>
      </c>
      <c r="BG31" s="453" t="b">
        <f t="shared" si="38"/>
        <v>1</v>
      </c>
      <c r="BH31" s="453">
        <f t="shared" si="32"/>
        <v>1</v>
      </c>
      <c r="BI31" s="453">
        <f t="shared" si="22"/>
        <v>2</v>
      </c>
      <c r="BJ31" s="453" t="str">
        <f t="shared" si="23"/>
        <v>2*</v>
      </c>
      <c r="BK31" s="453">
        <f t="shared" si="24"/>
        <v>3</v>
      </c>
      <c r="BL31" s="148">
        <f t="shared" si="33"/>
        <v>1</v>
      </c>
      <c r="BM31" s="453">
        <f t="shared" si="25"/>
        <v>2</v>
      </c>
      <c r="BN31" s="453">
        <f t="shared" si="26"/>
        <v>3</v>
      </c>
      <c r="BO31" s="155" t="s">
        <v>368</v>
      </c>
      <c r="BP31" s="161" t="s">
        <v>369</v>
      </c>
    </row>
    <row r="32" spans="2:73" s="94" customFormat="1" ht="12.95" customHeight="1" x14ac:dyDescent="0.2">
      <c r="B32" s="151">
        <f>IF(ISNA(Z32),"",IF(OR(Z32=1,Z32=2),"    ",MAX($B$8:B31)+1))</f>
        <v>21</v>
      </c>
      <c r="C32" s="904" t="str">
        <f t="shared" si="0"/>
        <v xml:space="preserve">      - MIL Level Accel, Climbing Entry (5.6%)</v>
      </c>
      <c r="D32" s="904"/>
      <c r="E32" s="904"/>
      <c r="F32" s="905"/>
      <c r="G32" s="133">
        <f t="shared" si="1"/>
        <v>1</v>
      </c>
      <c r="H32" s="134" t="str">
        <f t="shared" si="2"/>
        <v>2*</v>
      </c>
      <c r="I32" s="152">
        <f t="shared" si="2"/>
        <v>3</v>
      </c>
      <c r="J32" s="158">
        <v>1</v>
      </c>
      <c r="K32" s="159">
        <v>2</v>
      </c>
      <c r="L32" s="961"/>
      <c r="M32" s="962"/>
      <c r="N32" s="962"/>
      <c r="O32" s="962"/>
      <c r="P32" s="962"/>
      <c r="Q32" s="962"/>
      <c r="R32" s="963"/>
      <c r="T32" s="99">
        <v>25</v>
      </c>
      <c r="U32" s="88" t="s">
        <v>960</v>
      </c>
      <c r="V32" s="453">
        <v>1</v>
      </c>
      <c r="W32" s="453">
        <v>2</v>
      </c>
      <c r="X32" s="453" t="s">
        <v>340</v>
      </c>
      <c r="Y32" s="453" t="s">
        <v>340</v>
      </c>
      <c r="Z32" s="146" t="s">
        <v>340</v>
      </c>
      <c r="AA32" s="146">
        <v>2</v>
      </c>
      <c r="AB32" s="146">
        <v>1</v>
      </c>
      <c r="AC32" s="453">
        <v>3</v>
      </c>
      <c r="AD32" s="453">
        <v>2</v>
      </c>
      <c r="AE32" s="453">
        <v>1</v>
      </c>
      <c r="AF32" s="453" t="b">
        <v>1</v>
      </c>
      <c r="AG32" s="453">
        <f t="shared" si="3"/>
        <v>3</v>
      </c>
      <c r="AH32" s="453">
        <f t="shared" si="4"/>
        <v>2</v>
      </c>
      <c r="AI32" s="138">
        <f>IF(NOT(OR(Z32=1,Z32=2)),IF(AQ32&gt;0,$AR$44*AQ32/SUMIF($AQ$8:$AQ$39,"&gt;0"),IF(AU32&gt;0,$AV$44*AU32/SUMIF($AU$8:$AU$39,"&gt;0"),IF(AS32&gt;0,$AT$44*AS32/SUMIF($AS$8:$AS$39,"&gt;0"),""))),IF(SUMIF(AJ33:$AJ$39,"=" &amp; AJ32,AI33:$AI$39)=0,"",SUMIF(AJ33:$AJ$39,"=" &amp; AJ32,AI33:$AI$39)))</f>
        <v>5.5555555555555559E-2</v>
      </c>
      <c r="AJ32" s="139">
        <f t="shared" si="34"/>
        <v>3</v>
      </c>
      <c r="AK32" s="453">
        <f t="shared" si="27"/>
        <v>2</v>
      </c>
      <c r="AL32" s="146">
        <f t="shared" si="28"/>
        <v>2</v>
      </c>
      <c r="AM32" s="146">
        <f t="shared" si="35"/>
        <v>1</v>
      </c>
      <c r="AN32" s="146" t="str">
        <f t="shared" si="5"/>
        <v/>
      </c>
      <c r="AO32" s="146" t="str">
        <f t="shared" si="6"/>
        <v/>
      </c>
      <c r="AP32" s="453" t="b">
        <f t="shared" si="7"/>
        <v>1</v>
      </c>
      <c r="AQ32" s="140">
        <f t="shared" si="29"/>
        <v>2</v>
      </c>
      <c r="AR32" s="141">
        <f t="shared" si="8"/>
        <v>0.7</v>
      </c>
      <c r="AS32" s="142">
        <f t="shared" si="30"/>
        <v>0</v>
      </c>
      <c r="AT32" s="141" t="str">
        <f t="shared" si="9"/>
        <v/>
      </c>
      <c r="AU32" s="143">
        <f t="shared" si="10"/>
        <v>0</v>
      </c>
      <c r="AV32" s="144">
        <f t="shared" si="11"/>
        <v>0.7</v>
      </c>
      <c r="AW32" s="143" t="b">
        <f t="shared" si="12"/>
        <v>0</v>
      </c>
      <c r="AX32" s="145" t="b">
        <f t="shared" si="13"/>
        <v>0</v>
      </c>
      <c r="AY32" s="143" t="b">
        <f t="shared" si="14"/>
        <v>0</v>
      </c>
      <c r="AZ32" s="145" t="b">
        <f t="shared" si="15"/>
        <v>0</v>
      </c>
      <c r="BA32" s="453" t="b">
        <f t="shared" si="16"/>
        <v>0</v>
      </c>
      <c r="BB32" s="453" t="b">
        <f t="shared" si="17"/>
        <v>0</v>
      </c>
      <c r="BC32" s="143" t="b">
        <f t="shared" si="18"/>
        <v>0</v>
      </c>
      <c r="BD32" s="146" t="b">
        <f t="shared" si="31"/>
        <v>0</v>
      </c>
      <c r="BE32" s="145" t="b">
        <f t="shared" si="37"/>
        <v>0</v>
      </c>
      <c r="BF32" s="147" t="b">
        <f t="shared" ref="BF32:BF39" si="39">IF(OR(ISNA($Z32),H32&lt;&gt;"NG"),FALSE,IF(AND(J32="NA",K32&lt;&gt;""),TRUE,FALSE))</f>
        <v>0</v>
      </c>
      <c r="BG32" s="453" t="b">
        <f t="shared" si="38"/>
        <v>1</v>
      </c>
      <c r="BH32" s="453">
        <f t="shared" si="32"/>
        <v>1</v>
      </c>
      <c r="BI32" s="453">
        <f t="shared" si="22"/>
        <v>2</v>
      </c>
      <c r="BJ32" s="453" t="str">
        <f t="shared" si="23"/>
        <v>2*</v>
      </c>
      <c r="BK32" s="453">
        <f t="shared" si="24"/>
        <v>3</v>
      </c>
      <c r="BL32" s="148">
        <f t="shared" si="33"/>
        <v>1</v>
      </c>
      <c r="BM32" s="453">
        <f t="shared" si="25"/>
        <v>2</v>
      </c>
      <c r="BN32" s="453">
        <f t="shared" si="26"/>
        <v>3</v>
      </c>
      <c r="BO32" s="155" t="s">
        <v>370</v>
      </c>
      <c r="BP32" s="161" t="s">
        <v>371</v>
      </c>
    </row>
    <row r="33" spans="2:73" s="94" customFormat="1" ht="12.95" customHeight="1" x14ac:dyDescent="0.2">
      <c r="B33" s="151">
        <f>IF(ISNA(Z33),"",IF(OR(Z33=1,Z33=2),"    ",MAX($B$8:B32)+1))</f>
        <v>22</v>
      </c>
      <c r="C33" s="904" t="str">
        <f t="shared" si="0"/>
        <v xml:space="preserve">      - 2g Level Accel, 12k (3.0%) Bonus</v>
      </c>
      <c r="D33" s="904"/>
      <c r="E33" s="904"/>
      <c r="F33" s="905"/>
      <c r="G33" s="133">
        <f t="shared" si="1"/>
        <v>0</v>
      </c>
      <c r="H33" s="134" t="str">
        <f t="shared" si="2"/>
        <v>1</v>
      </c>
      <c r="I33" s="152">
        <f t="shared" si="2"/>
        <v>2</v>
      </c>
      <c r="J33" s="158">
        <v>1</v>
      </c>
      <c r="K33" s="159">
        <v>1</v>
      </c>
      <c r="L33" s="961"/>
      <c r="M33" s="962"/>
      <c r="N33" s="962"/>
      <c r="O33" s="962"/>
      <c r="P33" s="962"/>
      <c r="Q33" s="962"/>
      <c r="R33" s="963"/>
      <c r="T33" s="99">
        <v>26</v>
      </c>
      <c r="U33" s="88" t="s">
        <v>961</v>
      </c>
      <c r="V33" s="453">
        <v>0</v>
      </c>
      <c r="W33" s="453" t="s">
        <v>340</v>
      </c>
      <c r="X33" s="453" t="s">
        <v>340</v>
      </c>
      <c r="Y33" s="453">
        <v>1</v>
      </c>
      <c r="Z33" s="146" t="s">
        <v>340</v>
      </c>
      <c r="AA33" s="146">
        <v>2</v>
      </c>
      <c r="AB33" s="146">
        <v>1</v>
      </c>
      <c r="AC33" s="453">
        <v>2</v>
      </c>
      <c r="AD33" s="453">
        <v>1</v>
      </c>
      <c r="AE33" s="453">
        <v>0</v>
      </c>
      <c r="AF33" s="453" t="b">
        <v>1</v>
      </c>
      <c r="AG33" s="453">
        <f t="shared" si="3"/>
        <v>2</v>
      </c>
      <c r="AH33" s="453">
        <f t="shared" si="4"/>
        <v>1</v>
      </c>
      <c r="AI33" s="138">
        <f>IF(NOT(OR(Z33=1,Z33=2)),IF(AQ33&gt;0,$AR$44*AQ33/SUMIF($AQ$8:$AQ$39,"&gt;0"),IF(AU33&gt;0,$AV$44*AU33/SUMIF($AU$8:$AU$39,"&gt;0"),IF(AS33&gt;0,$AT$44*AS33/SUMIF($AS$8:$AS$39,"&gt;0"),""))),IF(SUMIF(AJ34:$AJ$39,"=" &amp; AJ33,AI34:$AI$39)=0,"",SUMIF(AJ34:$AJ$39,"=" &amp; AJ33,AI34:$AI$39)))</f>
        <v>0.03</v>
      </c>
      <c r="AJ33" s="139">
        <f t="shared" si="34"/>
        <v>3</v>
      </c>
      <c r="AK33" s="453">
        <f t="shared" si="27"/>
        <v>1</v>
      </c>
      <c r="AL33" s="146">
        <f t="shared" si="28"/>
        <v>1</v>
      </c>
      <c r="AM33" s="146">
        <f t="shared" si="35"/>
        <v>1</v>
      </c>
      <c r="AN33" s="146" t="str">
        <f t="shared" si="5"/>
        <v/>
      </c>
      <c r="AO33" s="146" t="str">
        <f t="shared" si="6"/>
        <v/>
      </c>
      <c r="AP33" s="453" t="str">
        <f t="shared" si="7"/>
        <v/>
      </c>
      <c r="AQ33" s="140">
        <f t="shared" si="29"/>
        <v>0</v>
      </c>
      <c r="AR33" s="141">
        <f t="shared" si="8"/>
        <v>0.7</v>
      </c>
      <c r="AS33" s="142">
        <f t="shared" si="30"/>
        <v>0</v>
      </c>
      <c r="AT33" s="141" t="str">
        <f t="shared" si="9"/>
        <v/>
      </c>
      <c r="AU33" s="143">
        <f t="shared" si="10"/>
        <v>1</v>
      </c>
      <c r="AV33" s="144">
        <f t="shared" si="11"/>
        <v>0.7</v>
      </c>
      <c r="AW33" s="143" t="b">
        <f t="shared" si="12"/>
        <v>0</v>
      </c>
      <c r="AX33" s="145" t="b">
        <f t="shared" si="13"/>
        <v>0</v>
      </c>
      <c r="AY33" s="143" t="b">
        <f t="shared" si="14"/>
        <v>0</v>
      </c>
      <c r="AZ33" s="145" t="b">
        <f t="shared" si="15"/>
        <v>0</v>
      </c>
      <c r="BA33" s="453" t="b">
        <f t="shared" si="16"/>
        <v>0</v>
      </c>
      <c r="BB33" s="453" t="b">
        <f t="shared" si="17"/>
        <v>0</v>
      </c>
      <c r="BC33" s="143" t="b">
        <f t="shared" si="18"/>
        <v>0</v>
      </c>
      <c r="BD33" s="146" t="b">
        <f t="shared" si="31"/>
        <v>0</v>
      </c>
      <c r="BE33" s="145" t="b">
        <f t="shared" si="37"/>
        <v>0</v>
      </c>
      <c r="BF33" s="147" t="b">
        <f t="shared" si="39"/>
        <v>0</v>
      </c>
      <c r="BG33" s="453" t="b">
        <f t="shared" si="38"/>
        <v>0</v>
      </c>
      <c r="BH33" s="453">
        <f t="shared" si="32"/>
        <v>0</v>
      </c>
      <c r="BI33" s="453">
        <f t="shared" si="22"/>
        <v>1</v>
      </c>
      <c r="BJ33" s="453" t="str">
        <f t="shared" si="23"/>
        <v>1</v>
      </c>
      <c r="BK33" s="453">
        <f t="shared" si="24"/>
        <v>2</v>
      </c>
      <c r="BL33" s="148" t="str">
        <f t="shared" si="33"/>
        <v/>
      </c>
      <c r="BM33" s="453" t="str">
        <f t="shared" si="25"/>
        <v/>
      </c>
      <c r="BN33" s="453" t="str">
        <f t="shared" si="26"/>
        <v/>
      </c>
      <c r="BO33" s="150" t="s">
        <v>372</v>
      </c>
      <c r="BP33" s="161"/>
      <c r="BQ33" s="161"/>
      <c r="BR33" s="161"/>
      <c r="BS33" s="161"/>
      <c r="BT33" s="161"/>
      <c r="BU33" s="161"/>
    </row>
    <row r="34" spans="2:73" s="94" customFormat="1" ht="12.95" customHeight="1" x14ac:dyDescent="0.2">
      <c r="B34" s="151">
        <f>IF(ISNA(Z34),"",IF(OR(Z34=1,Z34=2),"    ",MAX($B$8:B33)+1))</f>
        <v>23</v>
      </c>
      <c r="C34" s="904" t="str">
        <f t="shared" si="0"/>
        <v xml:space="preserve">      - Performance Spot Landing (2.8%)</v>
      </c>
      <c r="D34" s="904"/>
      <c r="E34" s="904"/>
      <c r="F34" s="905"/>
      <c r="G34" s="133">
        <f t="shared" si="1"/>
        <v>1</v>
      </c>
      <c r="H34" s="134" t="str">
        <f t="shared" si="2"/>
        <v>1</v>
      </c>
      <c r="I34" s="152">
        <f t="shared" si="2"/>
        <v>2</v>
      </c>
      <c r="J34" s="158">
        <v>1</v>
      </c>
      <c r="K34" s="159">
        <v>3</v>
      </c>
      <c r="L34" s="961"/>
      <c r="M34" s="962"/>
      <c r="N34" s="962"/>
      <c r="O34" s="962"/>
      <c r="P34" s="962"/>
      <c r="Q34" s="962"/>
      <c r="R34" s="963"/>
      <c r="T34" s="99">
        <v>27</v>
      </c>
      <c r="U34" s="88" t="s">
        <v>962</v>
      </c>
      <c r="V34" s="453">
        <v>1</v>
      </c>
      <c r="W34" s="453">
        <v>1</v>
      </c>
      <c r="X34" s="453" t="s">
        <v>340</v>
      </c>
      <c r="Y34" s="453" t="s">
        <v>340</v>
      </c>
      <c r="Z34" s="146" t="s">
        <v>340</v>
      </c>
      <c r="AA34" s="146">
        <v>2</v>
      </c>
      <c r="AB34" s="146">
        <v>1</v>
      </c>
      <c r="AC34" s="453">
        <v>2</v>
      </c>
      <c r="AD34" s="453">
        <v>1</v>
      </c>
      <c r="AE34" s="453">
        <v>0</v>
      </c>
      <c r="AF34" s="453" t="b">
        <v>1</v>
      </c>
      <c r="AG34" s="453">
        <f t="shared" si="3"/>
        <v>2</v>
      </c>
      <c r="AH34" s="453">
        <f t="shared" si="4"/>
        <v>1</v>
      </c>
      <c r="AI34" s="138">
        <f>IF(NOT(OR(Z34=1,Z34=2)),IF(AQ34&gt;0,$AR$44*AQ34/SUMIF($AQ$8:$AQ$39,"&gt;0"),IF(AU34&gt;0,$AV$44*AU34/SUMIF($AU$8:$AU$39,"&gt;0"),IF(AS34&gt;0,$AT$44*AS34/SUMIF($AS$8:$AS$39,"&gt;0"),""))),IF(SUMIF(AJ35:$AJ$39,"=" &amp; AJ34,AI35:$AI$39)=0,"",SUMIF(AJ35:$AJ$39,"=" &amp; AJ34,AI35:$AI$39)))</f>
        <v>2.777777777777778E-2</v>
      </c>
      <c r="AJ34" s="139">
        <f t="shared" si="34"/>
        <v>3</v>
      </c>
      <c r="AK34" s="453">
        <f t="shared" si="27"/>
        <v>1</v>
      </c>
      <c r="AL34" s="146">
        <f t="shared" si="28"/>
        <v>3</v>
      </c>
      <c r="AM34" s="146">
        <f t="shared" si="35"/>
        <v>1</v>
      </c>
      <c r="AN34" s="146" t="str">
        <f t="shared" si="5"/>
        <v/>
      </c>
      <c r="AO34" s="146" t="str">
        <f t="shared" si="6"/>
        <v/>
      </c>
      <c r="AP34" s="453" t="b">
        <f t="shared" si="7"/>
        <v>0</v>
      </c>
      <c r="AQ34" s="140">
        <f t="shared" si="29"/>
        <v>1</v>
      </c>
      <c r="AR34" s="141">
        <f t="shared" si="8"/>
        <v>0.95</v>
      </c>
      <c r="AS34" s="142">
        <f t="shared" si="30"/>
        <v>0</v>
      </c>
      <c r="AT34" s="141" t="str">
        <f t="shared" si="9"/>
        <v/>
      </c>
      <c r="AU34" s="143">
        <f t="shared" si="10"/>
        <v>0</v>
      </c>
      <c r="AV34" s="144">
        <f t="shared" si="11"/>
        <v>0.95</v>
      </c>
      <c r="AW34" s="143" t="b">
        <f t="shared" si="12"/>
        <v>0</v>
      </c>
      <c r="AX34" s="145" t="b">
        <f t="shared" si="13"/>
        <v>0</v>
      </c>
      <c r="AY34" s="143" t="b">
        <f t="shared" si="14"/>
        <v>0</v>
      </c>
      <c r="AZ34" s="145" t="b">
        <f t="shared" si="15"/>
        <v>0</v>
      </c>
      <c r="BA34" s="453" t="b">
        <f t="shared" si="16"/>
        <v>0</v>
      </c>
      <c r="BB34" s="453" t="b">
        <f t="shared" si="17"/>
        <v>0</v>
      </c>
      <c r="BC34" s="143" t="b">
        <f t="shared" si="18"/>
        <v>0</v>
      </c>
      <c r="BD34" s="146" t="b">
        <f t="shared" si="31"/>
        <v>0</v>
      </c>
      <c r="BE34" s="145" t="b">
        <f t="shared" si="37"/>
        <v>0</v>
      </c>
      <c r="BF34" s="147" t="b">
        <f t="shared" si="39"/>
        <v>0</v>
      </c>
      <c r="BG34" s="453" t="b">
        <f t="shared" si="38"/>
        <v>0</v>
      </c>
      <c r="BH34" s="453">
        <f t="shared" si="32"/>
        <v>1</v>
      </c>
      <c r="BI34" s="453">
        <f t="shared" si="22"/>
        <v>1</v>
      </c>
      <c r="BJ34" s="453" t="str">
        <f t="shared" si="23"/>
        <v>1</v>
      </c>
      <c r="BK34" s="453">
        <f t="shared" si="24"/>
        <v>2</v>
      </c>
      <c r="BL34" s="148">
        <f t="shared" si="33"/>
        <v>1</v>
      </c>
      <c r="BM34" s="453">
        <f t="shared" si="25"/>
        <v>1</v>
      </c>
      <c r="BN34" s="453">
        <f t="shared" si="26"/>
        <v>2</v>
      </c>
      <c r="BO34" s="906"/>
      <c r="BP34" s="907"/>
      <c r="BQ34" s="907"/>
      <c r="BR34" s="907"/>
      <c r="BS34" s="907"/>
      <c r="BT34" s="907"/>
      <c r="BU34" s="908"/>
    </row>
    <row r="35" spans="2:73" s="94" customFormat="1" ht="12.95" customHeight="1" x14ac:dyDescent="0.2">
      <c r="B35" s="151" t="str">
        <f>IF(ISNA(Z35),"",IF(OR(Z35=1,Z35=2),"    ",MAX($B$8:B34)+1))</f>
        <v/>
      </c>
      <c r="C35" s="904" t="str">
        <f t="shared" si="0"/>
        <v/>
      </c>
      <c r="D35" s="904"/>
      <c r="E35" s="904"/>
      <c r="F35" s="905"/>
      <c r="G35" s="133" t="str">
        <f t="shared" si="1"/>
        <v/>
      </c>
      <c r="H35" s="134" t="str">
        <f t="shared" si="2"/>
        <v/>
      </c>
      <c r="I35" s="152" t="str">
        <f t="shared" si="2"/>
        <v/>
      </c>
      <c r="J35" s="158" t="s">
        <v>340</v>
      </c>
      <c r="K35" s="159" t="s">
        <v>340</v>
      </c>
      <c r="L35" s="961"/>
      <c r="M35" s="962"/>
      <c r="N35" s="962"/>
      <c r="O35" s="962"/>
      <c r="P35" s="962"/>
      <c r="Q35" s="962"/>
      <c r="R35" s="963"/>
      <c r="T35" s="99">
        <v>28</v>
      </c>
      <c r="U35" s="88" t="e">
        <v>#N/A</v>
      </c>
      <c r="V35" s="453" t="e">
        <v>#N/A</v>
      </c>
      <c r="W35" s="453" t="e">
        <v>#N/A</v>
      </c>
      <c r="X35" s="453" t="e">
        <v>#N/A</v>
      </c>
      <c r="Y35" s="453" t="e">
        <v>#N/A</v>
      </c>
      <c r="Z35" s="146" t="e">
        <v>#N/A</v>
      </c>
      <c r="AA35" s="146" t="e">
        <v>#N/A</v>
      </c>
      <c r="AB35" s="146" t="e">
        <v>#N/A</v>
      </c>
      <c r="AC35" s="453" t="e">
        <v>#N/A</v>
      </c>
      <c r="AD35" s="453" t="e">
        <v>#N/A</v>
      </c>
      <c r="AE35" s="453" t="e">
        <v>#N/A</v>
      </c>
      <c r="AF35" s="453" t="e">
        <v>#N/A</v>
      </c>
      <c r="AG35" s="453" t="e">
        <f t="shared" si="3"/>
        <v>#N/A</v>
      </c>
      <c r="AH35" s="453" t="str">
        <f t="shared" si="4"/>
        <v/>
      </c>
      <c r="AI35" s="138" t="e">
        <f>IF(NOT(OR(Z35=1,Z35=2)),IF(AQ35&gt;0,$AR$44*AQ35/SUMIF($AQ$8:$AQ$39,"&gt;0"),IF(AU35&gt;0,$AV$44*AU35/SUMIF($AU$8:$AU$39,"&gt;0"),IF(AS35&gt;0,$AT$44*AS35/SUMIF($AS$8:$AS$39,"&gt;0"),""))),IF(SUMIF(AJ36:$AJ$39,"=" &amp; AJ35,AI36:$AI$39)=0,"",SUMIF(AJ36:$AJ$39,"=" &amp; AJ35,AI36:$AI$39)))</f>
        <v>#N/A</v>
      </c>
      <c r="AJ35" s="139" t="e">
        <f t="shared" si="34"/>
        <v>#N/A</v>
      </c>
      <c r="AK35" s="453" t="str">
        <f t="shared" si="27"/>
        <v/>
      </c>
      <c r="AL35" s="146" t="str">
        <f t="shared" si="28"/>
        <v/>
      </c>
      <c r="AM35" s="146" t="str">
        <f t="shared" si="35"/>
        <v/>
      </c>
      <c r="AN35" s="146" t="str">
        <f t="shared" si="5"/>
        <v/>
      </c>
      <c r="AO35" s="146" t="e">
        <f t="shared" si="6"/>
        <v>#N/A</v>
      </c>
      <c r="AP35" s="453" t="str">
        <f t="shared" si="7"/>
        <v/>
      </c>
      <c r="AQ35" s="140">
        <f t="shared" si="29"/>
        <v>0</v>
      </c>
      <c r="AR35" s="141" t="str">
        <f t="shared" si="8"/>
        <v/>
      </c>
      <c r="AS35" s="142">
        <f t="shared" si="30"/>
        <v>0</v>
      </c>
      <c r="AT35" s="141" t="str">
        <f t="shared" si="9"/>
        <v/>
      </c>
      <c r="AU35" s="143">
        <f t="shared" si="10"/>
        <v>0</v>
      </c>
      <c r="AV35" s="144" t="str">
        <f t="shared" si="11"/>
        <v/>
      </c>
      <c r="AW35" s="143" t="b">
        <f t="shared" si="12"/>
        <v>0</v>
      </c>
      <c r="AX35" s="145" t="b">
        <f t="shared" si="13"/>
        <v>0</v>
      </c>
      <c r="AY35" s="143" t="b">
        <f t="shared" si="14"/>
        <v>0</v>
      </c>
      <c r="AZ35" s="145" t="b">
        <f t="shared" si="15"/>
        <v>0</v>
      </c>
      <c r="BA35" s="453" t="b">
        <f t="shared" si="16"/>
        <v>0</v>
      </c>
      <c r="BB35" s="453" t="b">
        <f t="shared" si="17"/>
        <v>0</v>
      </c>
      <c r="BC35" s="143" t="b">
        <f t="shared" si="18"/>
        <v>0</v>
      </c>
      <c r="BD35" s="146" t="b">
        <f t="shared" si="31"/>
        <v>0</v>
      </c>
      <c r="BE35" s="145" t="b">
        <f t="shared" si="37"/>
        <v>0</v>
      </c>
      <c r="BF35" s="147" t="b">
        <f t="shared" si="39"/>
        <v>0</v>
      </c>
      <c r="BG35" s="453" t="str">
        <f t="shared" si="38"/>
        <v>NA</v>
      </c>
      <c r="BH35" s="453" t="str">
        <f t="shared" si="32"/>
        <v/>
      </c>
      <c r="BI35" s="453" t="str">
        <f t="shared" si="22"/>
        <v/>
      </c>
      <c r="BJ35" s="453" t="str">
        <f t="shared" si="23"/>
        <v/>
      </c>
      <c r="BK35" s="453" t="str">
        <f t="shared" si="24"/>
        <v/>
      </c>
      <c r="BL35" s="148" t="str">
        <f t="shared" si="33"/>
        <v/>
      </c>
      <c r="BM35" s="453" t="str">
        <f t="shared" si="25"/>
        <v/>
      </c>
      <c r="BN35" s="453" t="str">
        <f t="shared" si="26"/>
        <v/>
      </c>
      <c r="BO35" s="909"/>
      <c r="BP35" s="910"/>
      <c r="BQ35" s="910"/>
      <c r="BR35" s="910"/>
      <c r="BS35" s="910"/>
      <c r="BT35" s="910"/>
      <c r="BU35" s="911"/>
    </row>
    <row r="36" spans="2:73" s="94" customFormat="1" ht="12.95" customHeight="1" x14ac:dyDescent="0.2">
      <c r="B36" s="151" t="str">
        <f>IF(ISNA(Z36),"",IF(OR(Z36=1,Z36=2),"    ",MAX($B$8:B35)+1))</f>
        <v/>
      </c>
      <c r="C36" s="904" t="str">
        <f t="shared" si="0"/>
        <v/>
      </c>
      <c r="D36" s="904"/>
      <c r="E36" s="904"/>
      <c r="F36" s="905"/>
      <c r="G36" s="133" t="str">
        <f t="shared" si="1"/>
        <v/>
      </c>
      <c r="H36" s="134" t="str">
        <f t="shared" si="2"/>
        <v/>
      </c>
      <c r="I36" s="152" t="str">
        <f t="shared" si="2"/>
        <v/>
      </c>
      <c r="J36" s="158" t="s">
        <v>340</v>
      </c>
      <c r="K36" s="159" t="s">
        <v>340</v>
      </c>
      <c r="L36" s="961"/>
      <c r="M36" s="962"/>
      <c r="N36" s="962"/>
      <c r="O36" s="962"/>
      <c r="P36" s="962"/>
      <c r="Q36" s="962"/>
      <c r="R36" s="963"/>
      <c r="T36" s="99">
        <v>29</v>
      </c>
      <c r="U36" s="88" t="e">
        <v>#N/A</v>
      </c>
      <c r="V36" s="453" t="e">
        <v>#N/A</v>
      </c>
      <c r="W36" s="453" t="e">
        <v>#N/A</v>
      </c>
      <c r="X36" s="453" t="e">
        <v>#N/A</v>
      </c>
      <c r="Y36" s="453" t="e">
        <v>#N/A</v>
      </c>
      <c r="Z36" s="146" t="e">
        <v>#N/A</v>
      </c>
      <c r="AA36" s="146" t="e">
        <v>#N/A</v>
      </c>
      <c r="AB36" s="146" t="e">
        <v>#N/A</v>
      </c>
      <c r="AC36" s="453" t="e">
        <v>#N/A</v>
      </c>
      <c r="AD36" s="453" t="e">
        <v>#N/A</v>
      </c>
      <c r="AE36" s="453" t="e">
        <v>#N/A</v>
      </c>
      <c r="AF36" s="453" t="e">
        <v>#N/A</v>
      </c>
      <c r="AG36" s="453" t="e">
        <f t="shared" si="3"/>
        <v>#N/A</v>
      </c>
      <c r="AH36" s="453" t="str">
        <f t="shared" si="4"/>
        <v/>
      </c>
      <c r="AI36" s="138" t="e">
        <f>IF(NOT(OR(Z36=1,Z36=2)),IF(AQ36&gt;0,$AR$44*AQ36/SUMIF($AQ$8:$AQ$39,"&gt;0"),IF(AU36&gt;0,$AV$44*AU36/SUMIF($AU$8:$AU$39,"&gt;0"),IF(AS36&gt;0,$AT$44*AS36/SUMIF($AS$8:$AS$39,"&gt;0"),""))),IF(SUMIF(AJ37:$AJ$39,"=" &amp; AJ36,AI37:$AI$39)=0,"",SUMIF(AJ37:$AJ$39,"=" &amp; AJ36,AI37:$AI$39)))</f>
        <v>#N/A</v>
      </c>
      <c r="AJ36" s="139" t="e">
        <f t="shared" si="34"/>
        <v>#N/A</v>
      </c>
      <c r="AK36" s="453" t="str">
        <f t="shared" si="27"/>
        <v/>
      </c>
      <c r="AL36" s="146" t="str">
        <f t="shared" si="28"/>
        <v/>
      </c>
      <c r="AM36" s="146" t="str">
        <f t="shared" si="35"/>
        <v/>
      </c>
      <c r="AN36" s="146" t="str">
        <f t="shared" si="5"/>
        <v/>
      </c>
      <c r="AO36" s="146" t="e">
        <f t="shared" si="6"/>
        <v>#N/A</v>
      </c>
      <c r="AP36" s="453" t="str">
        <f t="shared" si="7"/>
        <v/>
      </c>
      <c r="AQ36" s="140">
        <f t="shared" si="29"/>
        <v>0</v>
      </c>
      <c r="AR36" s="141" t="str">
        <f t="shared" si="8"/>
        <v/>
      </c>
      <c r="AS36" s="142">
        <f t="shared" si="30"/>
        <v>0</v>
      </c>
      <c r="AT36" s="141" t="str">
        <f t="shared" si="9"/>
        <v/>
      </c>
      <c r="AU36" s="143">
        <f t="shared" si="10"/>
        <v>0</v>
      </c>
      <c r="AV36" s="144" t="str">
        <f t="shared" si="11"/>
        <v/>
      </c>
      <c r="AW36" s="143" t="b">
        <f t="shared" si="12"/>
        <v>0</v>
      </c>
      <c r="AX36" s="145" t="b">
        <f t="shared" si="13"/>
        <v>0</v>
      </c>
      <c r="AY36" s="143" t="b">
        <f t="shared" si="14"/>
        <v>0</v>
      </c>
      <c r="AZ36" s="145" t="b">
        <f t="shared" si="15"/>
        <v>0</v>
      </c>
      <c r="BA36" s="453" t="b">
        <f t="shared" si="16"/>
        <v>0</v>
      </c>
      <c r="BB36" s="453" t="b">
        <f t="shared" si="17"/>
        <v>0</v>
      </c>
      <c r="BC36" s="143" t="b">
        <f t="shared" si="18"/>
        <v>0</v>
      </c>
      <c r="BD36" s="146" t="b">
        <f t="shared" si="31"/>
        <v>0</v>
      </c>
      <c r="BE36" s="145" t="b">
        <f t="shared" si="37"/>
        <v>0</v>
      </c>
      <c r="BF36" s="147" t="b">
        <f t="shared" si="39"/>
        <v>0</v>
      </c>
      <c r="BG36" s="453" t="str">
        <f t="shared" si="38"/>
        <v>NA</v>
      </c>
      <c r="BH36" s="453" t="str">
        <f t="shared" si="32"/>
        <v/>
      </c>
      <c r="BI36" s="453" t="str">
        <f t="shared" si="22"/>
        <v/>
      </c>
      <c r="BJ36" s="453" t="str">
        <f t="shared" si="23"/>
        <v/>
      </c>
      <c r="BK36" s="453" t="str">
        <f t="shared" si="24"/>
        <v/>
      </c>
      <c r="BL36" s="148" t="str">
        <f t="shared" si="33"/>
        <v/>
      </c>
      <c r="BM36" s="453" t="str">
        <f t="shared" si="25"/>
        <v/>
      </c>
      <c r="BN36" s="453" t="str">
        <f t="shared" si="26"/>
        <v/>
      </c>
      <c r="BO36" s="909"/>
      <c r="BP36" s="910"/>
      <c r="BQ36" s="910"/>
      <c r="BR36" s="910"/>
      <c r="BS36" s="910"/>
      <c r="BT36" s="910"/>
      <c r="BU36" s="911"/>
    </row>
    <row r="37" spans="2:73" s="94" customFormat="1" ht="12.95" customHeight="1" x14ac:dyDescent="0.2">
      <c r="B37" s="151" t="str">
        <f>IF(ISNA(Z37),"",IF(OR(Z37=1,Z37=2),"    ",MAX($B$8:B36)+1))</f>
        <v/>
      </c>
      <c r="C37" s="904" t="str">
        <f>IF(ISNA(Z37),"",CONCATENATE($U37,IF(ISNUMBER(AI37),TEXT(ROUND($AI37,3)," (0.0%)"),""),IF(AU37&gt;0," Bonus","")))</f>
        <v/>
      </c>
      <c r="D37" s="904"/>
      <c r="E37" s="904"/>
      <c r="F37" s="905"/>
      <c r="G37" s="133" t="str">
        <f t="shared" si="1"/>
        <v/>
      </c>
      <c r="H37" s="134" t="str">
        <f t="shared" si="2"/>
        <v/>
      </c>
      <c r="I37" s="152" t="str">
        <f t="shared" si="2"/>
        <v/>
      </c>
      <c r="J37" s="158" t="s">
        <v>340</v>
      </c>
      <c r="K37" s="159" t="s">
        <v>340</v>
      </c>
      <c r="L37" s="961"/>
      <c r="M37" s="962"/>
      <c r="N37" s="962"/>
      <c r="O37" s="962"/>
      <c r="P37" s="962"/>
      <c r="Q37" s="962"/>
      <c r="R37" s="963"/>
      <c r="T37" s="99">
        <v>30</v>
      </c>
      <c r="U37" s="88" t="e">
        <v>#N/A</v>
      </c>
      <c r="V37" s="453" t="e">
        <v>#N/A</v>
      </c>
      <c r="W37" s="453" t="e">
        <v>#N/A</v>
      </c>
      <c r="X37" s="453" t="e">
        <v>#N/A</v>
      </c>
      <c r="Y37" s="453" t="e">
        <v>#N/A</v>
      </c>
      <c r="Z37" s="146" t="e">
        <v>#N/A</v>
      </c>
      <c r="AA37" s="146" t="e">
        <v>#N/A</v>
      </c>
      <c r="AB37" s="146" t="e">
        <v>#N/A</v>
      </c>
      <c r="AC37" s="453" t="e">
        <v>#N/A</v>
      </c>
      <c r="AD37" s="453" t="e">
        <v>#N/A</v>
      </c>
      <c r="AE37" s="453" t="e">
        <v>#N/A</v>
      </c>
      <c r="AF37" s="453" t="e">
        <v>#N/A</v>
      </c>
      <c r="AG37" s="453" t="e">
        <f t="shared" si="3"/>
        <v>#N/A</v>
      </c>
      <c r="AH37" s="453" t="str">
        <f t="shared" si="4"/>
        <v/>
      </c>
      <c r="AI37" s="138" t="e">
        <f>IF(NOT(OR(Z37=1,Z37=2)),IF(AQ37&gt;0,$AR$44*AQ37/SUMIF($AQ$8:$AQ$39,"&gt;0"),IF(AU37&gt;0,$AV$44*AU37/SUMIF($AU$8:$AU$39,"&gt;0"),IF(AS37&gt;0,$AT$44*AS37/SUMIF($AS$8:$AS$39,"&gt;0"),""))),IF(SUMIF(AJ38:$AJ$39,"=" &amp; AJ37,AI38:$AI$39)=0,"",SUMIF(AJ38:$AJ$39,"=" &amp; AJ37,AI38:$AI$39)))</f>
        <v>#N/A</v>
      </c>
      <c r="AJ37" s="139" t="e">
        <f t="shared" si="34"/>
        <v>#N/A</v>
      </c>
      <c r="AK37" s="453" t="str">
        <f t="shared" si="27"/>
        <v/>
      </c>
      <c r="AL37" s="146" t="str">
        <f t="shared" si="28"/>
        <v/>
      </c>
      <c r="AM37" s="146" t="str">
        <f t="shared" si="35"/>
        <v/>
      </c>
      <c r="AN37" s="146" t="str">
        <f>IF(ISNUMBER(AH37),IF(AND(AB37=0,ISNUMBER(AC37),ISNUMBER(AL37)),1,""),"")</f>
        <v/>
      </c>
      <c r="AO37" s="146" t="e">
        <f t="shared" si="6"/>
        <v>#N/A</v>
      </c>
      <c r="AP37" s="453" t="str">
        <f t="shared" si="7"/>
        <v/>
      </c>
      <c r="AQ37" s="140">
        <f t="shared" si="29"/>
        <v>0</v>
      </c>
      <c r="AR37" s="141" t="str">
        <f t="shared" si="8"/>
        <v/>
      </c>
      <c r="AS37" s="142">
        <f t="shared" si="30"/>
        <v>0</v>
      </c>
      <c r="AT37" s="141" t="str">
        <f t="shared" si="9"/>
        <v/>
      </c>
      <c r="AU37" s="143">
        <f t="shared" si="10"/>
        <v>0</v>
      </c>
      <c r="AV37" s="144" t="str">
        <f t="shared" si="11"/>
        <v/>
      </c>
      <c r="AW37" s="143" t="b">
        <f t="shared" si="12"/>
        <v>0</v>
      </c>
      <c r="AX37" s="145" t="b">
        <f t="shared" si="13"/>
        <v>0</v>
      </c>
      <c r="AY37" s="143" t="b">
        <f t="shared" si="14"/>
        <v>0</v>
      </c>
      <c r="AZ37" s="145" t="b">
        <f t="shared" si="15"/>
        <v>0</v>
      </c>
      <c r="BA37" s="453" t="b">
        <f t="shared" si="16"/>
        <v>0</v>
      </c>
      <c r="BB37" s="453" t="b">
        <f t="shared" si="17"/>
        <v>0</v>
      </c>
      <c r="BC37" s="143" t="b">
        <f t="shared" si="18"/>
        <v>0</v>
      </c>
      <c r="BD37" s="146" t="b">
        <f t="shared" si="31"/>
        <v>0</v>
      </c>
      <c r="BE37" s="145" t="b">
        <f t="shared" si="37"/>
        <v>0</v>
      </c>
      <c r="BF37" s="147" t="b">
        <f t="shared" si="39"/>
        <v>0</v>
      </c>
      <c r="BG37" s="453" t="str">
        <f t="shared" si="38"/>
        <v>NA</v>
      </c>
      <c r="BH37" s="453" t="str">
        <f t="shared" si="32"/>
        <v/>
      </c>
      <c r="BI37" s="453" t="str">
        <f t="shared" si="22"/>
        <v/>
      </c>
      <c r="BJ37" s="453" t="str">
        <f t="shared" si="23"/>
        <v/>
      </c>
      <c r="BK37" s="453" t="str">
        <f t="shared" si="24"/>
        <v/>
      </c>
      <c r="BL37" s="148" t="str">
        <f t="shared" si="33"/>
        <v/>
      </c>
      <c r="BM37" s="453" t="str">
        <f t="shared" si="25"/>
        <v/>
      </c>
      <c r="BN37" s="453" t="str">
        <f t="shared" si="26"/>
        <v/>
      </c>
      <c r="BO37" s="912"/>
      <c r="BP37" s="913"/>
      <c r="BQ37" s="913"/>
      <c r="BR37" s="913"/>
      <c r="BS37" s="913"/>
      <c r="BT37" s="913"/>
      <c r="BU37" s="914"/>
    </row>
    <row r="38" spans="2:73" s="94" customFormat="1" ht="12.95" customHeight="1" x14ac:dyDescent="0.2">
      <c r="B38" s="151" t="str">
        <f>IF(ISNA(Z38),"",IF(OR(Z38=1,Z38=2),"    ",MAX($B$8:B37)+1))</f>
        <v/>
      </c>
      <c r="C38" s="904" t="str">
        <f t="shared" ref="C38:C39" si="40">IF(ISNA(Z38),"",CONCATENATE($U38,IF(ISNUMBER(AI38),TEXT(ROUND($AI38,3)," (0.0%)"),""),IF(AU38&gt;0," Bonus","")))</f>
        <v/>
      </c>
      <c r="D38" s="904"/>
      <c r="E38" s="904"/>
      <c r="F38" s="905"/>
      <c r="G38" s="133" t="str">
        <f t="shared" si="1"/>
        <v/>
      </c>
      <c r="H38" s="134" t="str">
        <f t="shared" si="2"/>
        <v/>
      </c>
      <c r="I38" s="152" t="str">
        <f t="shared" si="2"/>
        <v/>
      </c>
      <c r="J38" s="158" t="s">
        <v>340</v>
      </c>
      <c r="K38" s="159" t="s">
        <v>340</v>
      </c>
      <c r="L38" s="961"/>
      <c r="M38" s="962"/>
      <c r="N38" s="962"/>
      <c r="O38" s="962"/>
      <c r="P38" s="962"/>
      <c r="Q38" s="962"/>
      <c r="R38" s="963"/>
      <c r="T38" s="99">
        <v>31</v>
      </c>
      <c r="U38" s="88" t="e">
        <v>#N/A</v>
      </c>
      <c r="V38" s="453" t="e">
        <v>#N/A</v>
      </c>
      <c r="W38" s="453" t="e">
        <v>#N/A</v>
      </c>
      <c r="X38" s="453" t="e">
        <v>#N/A</v>
      </c>
      <c r="Y38" s="453" t="e">
        <v>#N/A</v>
      </c>
      <c r="Z38" s="146" t="e">
        <v>#N/A</v>
      </c>
      <c r="AA38" s="146" t="e">
        <v>#N/A</v>
      </c>
      <c r="AB38" s="146" t="e">
        <v>#N/A</v>
      </c>
      <c r="AC38" s="453" t="e">
        <v>#N/A</v>
      </c>
      <c r="AD38" s="453" t="e">
        <v>#N/A</v>
      </c>
      <c r="AE38" s="453" t="e">
        <v>#N/A</v>
      </c>
      <c r="AF38" s="453" t="e">
        <v>#N/A</v>
      </c>
      <c r="AG38" s="453" t="e">
        <f t="shared" si="3"/>
        <v>#N/A</v>
      </c>
      <c r="AH38" s="453" t="str">
        <f t="shared" si="4"/>
        <v/>
      </c>
      <c r="AI38" s="138" t="e">
        <f>IF(NOT(OR(Z38=1,Z38=2)),IF(AQ38&gt;0,$AR$44*AQ38/SUMIF($AQ$8:$AQ$39,"&gt;0"),IF(AU38&gt;0,$AV$44*AU38/SUMIF($AU$8:$AU$39,"&gt;0"),IF(AS38&gt;0,$AT$44*AS38/SUMIF($AS$8:$AS$39,"&gt;0"),""))),IF(SUMIF(AJ39:$AJ$39,"=" &amp; AJ38,AI39:$AI$39)=0,"",SUMIF(AJ39:$AJ$39,"=" &amp; AJ38,AI39:$AI$39)))</f>
        <v>#N/A</v>
      </c>
      <c r="AJ38" s="139" t="e">
        <f t="shared" si="34"/>
        <v>#N/A</v>
      </c>
      <c r="AK38" s="453" t="str">
        <f t="shared" si="27"/>
        <v/>
      </c>
      <c r="AL38" s="146" t="str">
        <f t="shared" si="28"/>
        <v/>
      </c>
      <c r="AM38" s="146" t="str">
        <f t="shared" si="35"/>
        <v/>
      </c>
      <c r="AN38" s="146" t="str">
        <f>IF(ISNUMBER(AH38),IF(AND(AB38=0,ISNUMBER(AC38),ISNUMBER(AL38)),1,""),"")</f>
        <v/>
      </c>
      <c r="AO38" s="146" t="e">
        <f t="shared" si="6"/>
        <v>#N/A</v>
      </c>
      <c r="AP38" s="453" t="str">
        <f t="shared" si="7"/>
        <v/>
      </c>
      <c r="AQ38" s="140">
        <f t="shared" si="29"/>
        <v>0</v>
      </c>
      <c r="AR38" s="141" t="str">
        <f t="shared" si="8"/>
        <v/>
      </c>
      <c r="AS38" s="142">
        <f t="shared" si="30"/>
        <v>0</v>
      </c>
      <c r="AT38" s="141" t="str">
        <f t="shared" si="9"/>
        <v/>
      </c>
      <c r="AU38" s="143">
        <f t="shared" si="10"/>
        <v>0</v>
      </c>
      <c r="AV38" s="144" t="str">
        <f t="shared" si="11"/>
        <v/>
      </c>
      <c r="AW38" s="143" t="b">
        <f t="shared" si="12"/>
        <v>0</v>
      </c>
      <c r="AX38" s="145" t="b">
        <f t="shared" si="13"/>
        <v>0</v>
      </c>
      <c r="AY38" s="143" t="b">
        <f t="shared" si="14"/>
        <v>0</v>
      </c>
      <c r="AZ38" s="145" t="b">
        <f t="shared" si="15"/>
        <v>0</v>
      </c>
      <c r="BA38" s="453" t="b">
        <f t="shared" si="16"/>
        <v>0</v>
      </c>
      <c r="BB38" s="453" t="b">
        <f t="shared" si="17"/>
        <v>0</v>
      </c>
      <c r="BC38" s="143" t="b">
        <f t="shared" si="18"/>
        <v>0</v>
      </c>
      <c r="BD38" s="146" t="b">
        <f t="shared" si="31"/>
        <v>0</v>
      </c>
      <c r="BE38" s="145" t="b">
        <f t="shared" si="37"/>
        <v>0</v>
      </c>
      <c r="BF38" s="147" t="b">
        <f t="shared" si="39"/>
        <v>0</v>
      </c>
      <c r="BG38" s="453" t="str">
        <f t="shared" si="38"/>
        <v>NA</v>
      </c>
      <c r="BH38" s="453" t="str">
        <f t="shared" si="32"/>
        <v/>
      </c>
      <c r="BI38" s="453" t="str">
        <f t="shared" si="22"/>
        <v/>
      </c>
      <c r="BJ38" s="453" t="str">
        <f t="shared" si="23"/>
        <v/>
      </c>
      <c r="BK38" s="453" t="str">
        <f t="shared" si="24"/>
        <v/>
      </c>
      <c r="BL38" s="148" t="str">
        <f t="shared" si="33"/>
        <v/>
      </c>
      <c r="BM38" s="453" t="str">
        <f t="shared" si="25"/>
        <v/>
      </c>
      <c r="BN38" s="453" t="str">
        <f t="shared" si="26"/>
        <v/>
      </c>
      <c r="BO38" s="150" t="s">
        <v>373</v>
      </c>
      <c r="BP38" s="150"/>
      <c r="BQ38" s="150"/>
      <c r="BR38" s="150"/>
      <c r="BS38" s="150"/>
      <c r="BT38" s="150"/>
      <c r="BU38" s="150"/>
    </row>
    <row r="39" spans="2:73" s="94" customFormat="1" ht="12.95" customHeight="1" thickBot="1" x14ac:dyDescent="0.25">
      <c r="B39" s="151" t="str">
        <f>IF(ISNA(Z39),"",IF(OR(Z39=1,Z39=2),"    ",MAX($B$8:B38)+1))</f>
        <v/>
      </c>
      <c r="C39" s="904" t="str">
        <f t="shared" si="40"/>
        <v/>
      </c>
      <c r="D39" s="904"/>
      <c r="E39" s="904"/>
      <c r="F39" s="905"/>
      <c r="G39" s="171" t="str">
        <f t="shared" si="1"/>
        <v/>
      </c>
      <c r="H39" s="134" t="str">
        <f t="shared" si="2"/>
        <v/>
      </c>
      <c r="I39" s="172" t="str">
        <f t="shared" si="2"/>
        <v/>
      </c>
      <c r="J39" s="173" t="s">
        <v>340</v>
      </c>
      <c r="K39" s="174" t="s">
        <v>340</v>
      </c>
      <c r="L39" s="964"/>
      <c r="M39" s="965"/>
      <c r="N39" s="965"/>
      <c r="O39" s="965"/>
      <c r="P39" s="965"/>
      <c r="Q39" s="965"/>
      <c r="R39" s="966"/>
      <c r="T39" s="99">
        <v>32</v>
      </c>
      <c r="U39" s="88" t="e">
        <v>#N/A</v>
      </c>
      <c r="V39" s="453" t="e">
        <v>#N/A</v>
      </c>
      <c r="W39" s="453" t="e">
        <v>#N/A</v>
      </c>
      <c r="X39" s="453" t="e">
        <v>#N/A</v>
      </c>
      <c r="Y39" s="453" t="e">
        <v>#N/A</v>
      </c>
      <c r="Z39" s="146" t="e">
        <v>#N/A</v>
      </c>
      <c r="AA39" s="146" t="e">
        <v>#N/A</v>
      </c>
      <c r="AB39" s="146" t="e">
        <v>#N/A</v>
      </c>
      <c r="AC39" s="453" t="e">
        <v>#N/A</v>
      </c>
      <c r="AD39" s="453" t="e">
        <v>#N/A</v>
      </c>
      <c r="AE39" s="453" t="e">
        <v>#N/A</v>
      </c>
      <c r="AF39" s="453" t="e">
        <v>#N/A</v>
      </c>
      <c r="AG39" s="453" t="e">
        <f t="shared" si="3"/>
        <v>#N/A</v>
      </c>
      <c r="AH39" s="453" t="str">
        <f t="shared" si="4"/>
        <v/>
      </c>
      <c r="AI39" s="138" t="e">
        <f>IF(NOT(OR(Z39=1,Z39=2)),IF(AQ39&gt;0,$AR$44*AQ39/SUMIF($AQ$8:$AQ$39,"&gt;0"),IF(AU39&gt;0,$AV$44*AU39/SUMIF($AU$8:$AU$39,"&gt;0"),IF(AS39&gt;0,$AT$44*AS39/SUMIF($AS$8:$AS$39,"&gt;0"),""))),IF(SUMIF(AJ$39:$AJ40,"=" &amp; AJ39,AI$39:$AI40)=0,"",SUMIF(AJ$39:$AJ40,"=" &amp; AJ39,AI$39:$AI40)))</f>
        <v>#N/A</v>
      </c>
      <c r="AJ39" s="139" t="e">
        <f t="shared" si="34"/>
        <v>#N/A</v>
      </c>
      <c r="AK39" s="453" t="str">
        <f t="shared" si="27"/>
        <v/>
      </c>
      <c r="AL39" s="146" t="str">
        <f t="shared" si="28"/>
        <v/>
      </c>
      <c r="AM39" s="146" t="str">
        <f t="shared" si="35"/>
        <v/>
      </c>
      <c r="AN39" s="146" t="str">
        <f>IF(ISNUMBER(AH39),IF(AND(AB39=0,ISNUMBER(AC39),ISNUMBER(AL39)),1,""),"")</f>
        <v/>
      </c>
      <c r="AO39" s="146" t="e">
        <f t="shared" si="6"/>
        <v>#N/A</v>
      </c>
      <c r="AP39" s="453" t="str">
        <f t="shared" si="7"/>
        <v/>
      </c>
      <c r="AQ39" s="140">
        <f t="shared" si="29"/>
        <v>0</v>
      </c>
      <c r="AR39" s="141" t="str">
        <f t="shared" si="8"/>
        <v/>
      </c>
      <c r="AS39" s="142">
        <f t="shared" si="30"/>
        <v>0</v>
      </c>
      <c r="AT39" s="141" t="str">
        <f t="shared" si="9"/>
        <v/>
      </c>
      <c r="AU39" s="143">
        <f t="shared" si="10"/>
        <v>0</v>
      </c>
      <c r="AV39" s="144" t="str">
        <f t="shared" si="11"/>
        <v/>
      </c>
      <c r="AW39" s="143" t="b">
        <f t="shared" si="12"/>
        <v>0</v>
      </c>
      <c r="AX39" s="145" t="b">
        <f t="shared" si="13"/>
        <v>0</v>
      </c>
      <c r="AY39" s="143" t="b">
        <f t="shared" si="14"/>
        <v>0</v>
      </c>
      <c r="AZ39" s="145" t="b">
        <f t="shared" si="15"/>
        <v>0</v>
      </c>
      <c r="BA39" s="453" t="b">
        <f t="shared" si="16"/>
        <v>0</v>
      </c>
      <c r="BB39" s="453" t="b">
        <f t="shared" si="17"/>
        <v>0</v>
      </c>
      <c r="BC39" s="143" t="b">
        <f t="shared" si="18"/>
        <v>0</v>
      </c>
      <c r="BD39" s="146" t="b">
        <f t="shared" si="31"/>
        <v>0</v>
      </c>
      <c r="BE39" s="145" t="b">
        <f t="shared" si="37"/>
        <v>0</v>
      </c>
      <c r="BF39" s="147" t="b">
        <f t="shared" si="39"/>
        <v>0</v>
      </c>
      <c r="BG39" s="453" t="str">
        <f t="shared" si="38"/>
        <v>NA</v>
      </c>
      <c r="BH39" s="453" t="str">
        <f t="shared" si="32"/>
        <v/>
      </c>
      <c r="BI39" s="453" t="str">
        <f t="shared" si="22"/>
        <v/>
      </c>
      <c r="BJ39" s="453" t="str">
        <f t="shared" si="23"/>
        <v/>
      </c>
      <c r="BK39" s="453" t="str">
        <f t="shared" si="24"/>
        <v/>
      </c>
      <c r="BL39" s="453" t="str">
        <f t="shared" si="33"/>
        <v/>
      </c>
      <c r="BM39" s="453" t="str">
        <f t="shared" si="25"/>
        <v/>
      </c>
      <c r="BN39" s="453" t="str">
        <f t="shared" si="26"/>
        <v/>
      </c>
      <c r="BO39" s="906"/>
      <c r="BP39" s="907"/>
      <c r="BQ39" s="907"/>
      <c r="BR39" s="907"/>
      <c r="BS39" s="907"/>
      <c r="BT39" s="907"/>
      <c r="BU39" s="908"/>
    </row>
    <row r="40" spans="2:73" s="91" customFormat="1" ht="8.25" customHeight="1" x14ac:dyDescent="0.2">
      <c r="B40" s="915" t="s">
        <v>374</v>
      </c>
      <c r="C40" s="916"/>
      <c r="D40" s="917"/>
      <c r="E40" s="452" t="s">
        <v>375</v>
      </c>
      <c r="F40" s="918" t="s">
        <v>376</v>
      </c>
      <c r="G40" s="919"/>
      <c r="H40" s="919" t="s">
        <v>377</v>
      </c>
      <c r="I40" s="919"/>
      <c r="J40" s="920" t="s">
        <v>378</v>
      </c>
      <c r="K40" s="921"/>
      <c r="L40" s="175" t="s">
        <v>379</v>
      </c>
      <c r="M40" s="922" t="s">
        <v>380</v>
      </c>
      <c r="N40" s="922"/>
      <c r="O40" s="923" t="str">
        <f>IF(U44,"DO REVIEW","DO REV N/A")</f>
        <v>DO REV N/A</v>
      </c>
      <c r="P40" s="924"/>
      <c r="Q40" s="176" t="str">
        <f>IF(U45,"ED REVIEW","ED REV N/A")</f>
        <v>ED REV N/A</v>
      </c>
      <c r="R40" s="177"/>
      <c r="S40" s="178">
        <v>0</v>
      </c>
      <c r="AI40" s="179"/>
      <c r="AJ40" s="92"/>
      <c r="AK40" s="92"/>
      <c r="AL40" s="92"/>
      <c r="AM40" s="92"/>
      <c r="AN40" s="92"/>
      <c r="AO40" s="88"/>
      <c r="AP40" s="92"/>
      <c r="AQ40" s="180"/>
      <c r="AR40" s="92"/>
      <c r="AS40" s="180"/>
      <c r="AT40" s="92"/>
      <c r="AU40" s="180"/>
      <c r="AV40" s="181"/>
      <c r="AW40" s="92"/>
      <c r="AX40" s="92"/>
      <c r="AY40" s="92"/>
      <c r="AZ40" s="92"/>
      <c r="BA40" s="92"/>
      <c r="BB40" s="92"/>
      <c r="BC40" s="92"/>
      <c r="BD40" s="92"/>
      <c r="BE40" s="92"/>
      <c r="BF40" s="92"/>
      <c r="BG40" s="92"/>
      <c r="BH40" s="88"/>
      <c r="BI40" s="88"/>
      <c r="BJ40" s="88"/>
      <c r="BK40" s="88"/>
      <c r="BL40" s="88"/>
      <c r="BM40" s="88"/>
      <c r="BN40" s="88"/>
      <c r="BO40" s="909"/>
      <c r="BP40" s="910"/>
      <c r="BQ40" s="910"/>
      <c r="BR40" s="910"/>
      <c r="BS40" s="910"/>
      <c r="BT40" s="910"/>
      <c r="BU40" s="911"/>
    </row>
    <row r="41" spans="2:73" ht="18.75" customHeight="1" thickBot="1" x14ac:dyDescent="0.25">
      <c r="B41" s="925" t="str">
        <f>IF(ISERROR(AR46),"",TEXT(AR45,"0.0%"))</f>
        <v>89.2%</v>
      </c>
      <c r="C41" s="926"/>
      <c r="D41" s="927"/>
      <c r="E41" s="182" t="str">
        <f>IF(AU41=0,"N/A",CONCATENATE(TEXT(AV45,"0.0%")," of ",TEXT(AV44,"0.0%")))</f>
        <v>2.1% of 3.0%</v>
      </c>
      <c r="F41" s="929" t="str">
        <f>IF((graded_aca_events+graded_amn_events)&lt;1,"---",IF(AND(AW4,AX4),"INCOMPLETE",IF(AND(NOT(AW4),AX4),"ACA INC",IF(AND(AW4,NOT(AX4)),"AMN INC","COMPLETE"))))</f>
        <v>COMPLETE</v>
      </c>
      <c r="G41" s="929"/>
      <c r="H41" s="929" t="str">
        <f>IF(AU4,IF(OR(AY4="UNK",NOT(AN6)),"---",IF(AY4,"UNSAT",IF(AVERAGEIFS(AT8:AT39,AS8:AS39,"&gt;0")&lt;0.9,"MARG","SAT"))),"N/A")</f>
        <v>SAT</v>
      </c>
      <c r="I41" s="929"/>
      <c r="J41" s="930" t="str">
        <f>IF(OR(AZ4="UNK",NOT(AM6)),"---",IF(OR(AZ4,AR45&lt;0.7),"FAIL","PASS"))</f>
        <v>PASS</v>
      </c>
      <c r="K41" s="931"/>
      <c r="L41" s="868" t="s">
        <v>1034</v>
      </c>
      <c r="M41" s="932"/>
      <c r="N41" s="932"/>
      <c r="O41" s="933" t="s">
        <v>265</v>
      </c>
      <c r="P41" s="933"/>
      <c r="Q41" s="933" t="s">
        <v>265</v>
      </c>
      <c r="R41" s="934"/>
      <c r="S41" s="183"/>
      <c r="T41" s="99" t="s">
        <v>381</v>
      </c>
      <c r="U41" s="146" t="s">
        <v>382</v>
      </c>
      <c r="V41" s="184"/>
      <c r="W41" s="184"/>
      <c r="X41" s="184"/>
      <c r="Y41" s="184"/>
      <c r="Z41" s="184"/>
      <c r="AA41" s="184"/>
      <c r="AB41" s="184"/>
      <c r="AC41" s="184"/>
      <c r="AD41" s="184"/>
      <c r="AE41" s="184"/>
      <c r="AF41" s="184"/>
      <c r="AG41" s="184"/>
      <c r="AH41" s="184"/>
      <c r="AI41" s="86"/>
      <c r="AJ41" s="85"/>
      <c r="AK41" s="184"/>
      <c r="AL41" s="184"/>
      <c r="AM41" s="184">
        <f>SUM(AM8:AM39)</f>
        <v>23</v>
      </c>
      <c r="AN41" s="184">
        <f>SUM(AN8:AN39)</f>
        <v>5</v>
      </c>
      <c r="AO41" s="99"/>
      <c r="AP41" s="85"/>
      <c r="AQ41" s="185">
        <f>SUMIF(AQ8:AQ39,"&gt;0")</f>
        <v>30</v>
      </c>
      <c r="AR41" s="186">
        <f>IF(AQ41=0,0,SUMPRODUCT($AQ$8:$AQ$39,AR8:AR39)/SUM($AQ$8:$AQ$39))</f>
        <v>0.87888999999999995</v>
      </c>
      <c r="AS41" s="187">
        <f>SUMIF(AS8:AS39,"&gt;0")</f>
        <v>5</v>
      </c>
      <c r="AT41" s="186">
        <f>IF(AS41=0,0,SUMPRODUCT($AS$8:$AS$39,AT8:AT39)/SUM($AS$8:$AS$39))</f>
        <v>0.96</v>
      </c>
      <c r="AU41" s="187">
        <f>SUM(AU9:AU39)</f>
        <v>1</v>
      </c>
      <c r="AV41" s="186">
        <f>IF(AU41=0,0,SUMPRODUCT($AU$8:$AU$39,AV8:AV39)/SUM($AU$8:$AU$39))</f>
        <v>0.7</v>
      </c>
      <c r="AW41" s="188"/>
      <c r="AX41" s="188"/>
      <c r="AY41" s="188"/>
      <c r="AZ41" s="188"/>
      <c r="BA41" s="188"/>
      <c r="BB41" s="188"/>
      <c r="BC41" s="88" t="s">
        <v>383</v>
      </c>
      <c r="BD41" s="88" t="s">
        <v>384</v>
      </c>
      <c r="BE41" s="88" t="s">
        <v>385</v>
      </c>
      <c r="BO41" s="909"/>
      <c r="BP41" s="910"/>
      <c r="BQ41" s="910"/>
      <c r="BR41" s="910"/>
      <c r="BS41" s="910"/>
      <c r="BT41" s="910"/>
      <c r="BU41" s="911"/>
    </row>
    <row r="42" spans="2:73" ht="7.5" customHeight="1" thickTop="1" x14ac:dyDescent="0.2">
      <c r="L42" s="928" t="s">
        <v>732</v>
      </c>
      <c r="M42" s="928"/>
      <c r="N42" s="928"/>
      <c r="O42" s="928"/>
      <c r="P42" s="928"/>
      <c r="Q42" s="928"/>
      <c r="R42" s="928"/>
      <c r="AP42" s="184"/>
      <c r="AQ42" s="85"/>
      <c r="AR42" s="85"/>
      <c r="AT42" s="186"/>
      <c r="AU42" s="186"/>
      <c r="AV42" s="186"/>
      <c r="AW42" s="85"/>
      <c r="AX42" s="186"/>
      <c r="BO42" s="912"/>
      <c r="BP42" s="913"/>
      <c r="BQ42" s="913"/>
      <c r="BR42" s="913"/>
      <c r="BS42" s="913"/>
      <c r="BT42" s="913"/>
      <c r="BU42" s="914"/>
    </row>
    <row r="43" spans="2:73" ht="30.75" customHeight="1" x14ac:dyDescent="0.2">
      <c r="T43" s="189" t="s">
        <v>386</v>
      </c>
      <c r="U43" s="146" t="b">
        <v>0</v>
      </c>
      <c r="AI43" s="89">
        <f ca="1">SUMIF(AJ8:$AJ$39,"=" &amp; AJ8,AI9:$AI$39)</f>
        <v>0.16666666666666666</v>
      </c>
      <c r="AO43" s="190"/>
      <c r="AS43" s="118" t="s">
        <v>387</v>
      </c>
      <c r="AT43" s="191">
        <f>SUMIF(X8:X39,"&gt;0")/SUMIF(W8:W39,"&gt;0")</f>
        <v>0.16666666666666666</v>
      </c>
      <c r="AU43" s="118" t="s">
        <v>388</v>
      </c>
      <c r="AV43" s="192">
        <f>SUMIF(AU8:AU39,"&gt;0")/SUMIF(AQ8:AQ39,"&gt;0")</f>
        <v>3.3333333333333333E-2</v>
      </c>
      <c r="AW43" s="193"/>
      <c r="BE43" s="88" t="b">
        <f>AND(ISBLANK($K30),J30&gt;0)</f>
        <v>0</v>
      </c>
      <c r="BO43" s="88"/>
      <c r="BP43" s="88"/>
      <c r="BQ43" s="90"/>
    </row>
    <row r="44" spans="2:73" ht="30.75" customHeight="1" x14ac:dyDescent="0.2">
      <c r="J44" s="194"/>
      <c r="T44" s="195" t="s">
        <v>389</v>
      </c>
      <c r="U44" s="88" t="b">
        <f>IF(AND(Flight?,OR(AW4,AY4,BA4,AZ4,AR45&lt;0.7,H41="MARG")),TRUE,FALSE)</f>
        <v>0</v>
      </c>
      <c r="AO44" s="196"/>
      <c r="AQ44" s="118" t="s">
        <v>390</v>
      </c>
      <c r="AR44" s="191">
        <f>1-AT44</f>
        <v>0.83333333333333337</v>
      </c>
      <c r="AS44" s="118" t="s">
        <v>391</v>
      </c>
      <c r="AT44" s="191">
        <f>MIN(AT43,AT6)</f>
        <v>0.16666666666666666</v>
      </c>
      <c r="AU44" s="118" t="s">
        <v>392</v>
      </c>
      <c r="AV44" s="89">
        <f>MIN(AV43,AV6)</f>
        <v>0.03</v>
      </c>
      <c r="BO44" s="88"/>
      <c r="BP44" s="88"/>
      <c r="BQ44" s="90"/>
    </row>
    <row r="45" spans="2:73" ht="25.5" x14ac:dyDescent="0.2">
      <c r="T45" s="195" t="s">
        <v>393</v>
      </c>
      <c r="U45" s="88" t="b">
        <f>IF(OR(AX4,AY4,AZ4,BB4,AR45&lt;0.7),TRUE,FALSE)</f>
        <v>0</v>
      </c>
      <c r="AO45" s="197"/>
      <c r="AQ45" s="118" t="s">
        <v>394</v>
      </c>
      <c r="AR45" s="89">
        <f>AR41*(1-AT44)+(AT41*AT44)</f>
        <v>0.89240833333333325</v>
      </c>
      <c r="AU45" s="88" t="s">
        <v>324</v>
      </c>
      <c r="AV45" s="89">
        <f>AV41*AV44</f>
        <v>2.0999999999999998E-2</v>
      </c>
      <c r="BO45" s="88"/>
      <c r="BP45" s="88"/>
      <c r="BQ45" s="90"/>
    </row>
    <row r="46" spans="2:73" ht="25.5" x14ac:dyDescent="0.2">
      <c r="T46" s="195" t="s">
        <v>395</v>
      </c>
      <c r="U46" s="88" t="b">
        <v>0</v>
      </c>
      <c r="AO46" s="197"/>
      <c r="AQ46" s="118" t="s">
        <v>396</v>
      </c>
      <c r="AR46" s="89">
        <f>MIN(1,IF(NOT(OR(AY4,AZ4)),AR45+AV45,MIN(0.69,AR45+AV45)))</f>
        <v>0.91340833333333327</v>
      </c>
      <c r="BO46" s="88"/>
      <c r="BP46" s="88"/>
      <c r="BQ46" s="90"/>
    </row>
    <row r="47" spans="2:73" x14ac:dyDescent="0.2">
      <c r="T47" s="195" t="s">
        <v>397</v>
      </c>
      <c r="U47" s="88" t="b">
        <f>IF(NOT(Flight?),TRUE,NOT(OR(ISBLANK(comments),ISBLANK(hdr_class),ISBLANK(hdr_date),ISBLANK(hdr_stud),ISBLANK(hdr_instr),ISBLANK(hdr_acft),ISBLANK(hdr_time),F41="---")))</f>
        <v>1</v>
      </c>
      <c r="AO47" s="197"/>
      <c r="AR47" s="118"/>
      <c r="AS47" s="89"/>
    </row>
    <row r="48" spans="2:73" x14ac:dyDescent="0.2">
      <c r="T48" s="195" t="s">
        <v>398</v>
      </c>
      <c r="U48" s="88" t="b">
        <f>IF(Flight?,TRUE,NOT(OR(ISBLANK(comments),ISBLANK(hdr_class),ISBLANK(hdr_date),ISBLANK(hdr_stud),ISBLANK(hdr_instr),F41="---")))</f>
        <v>1</v>
      </c>
      <c r="AO48" s="196"/>
      <c r="AP48" s="85" t="s">
        <v>399</v>
      </c>
      <c r="AQ48" s="85"/>
      <c r="AR48" s="85"/>
      <c r="AS48" s="85"/>
      <c r="AT48" s="85"/>
    </row>
    <row r="49" spans="20:50" x14ac:dyDescent="0.2">
      <c r="T49" s="195" t="s">
        <v>400</v>
      </c>
      <c r="U49" s="88" t="b">
        <f>AND(U47:U48)</f>
        <v>1</v>
      </c>
      <c r="AO49" s="196"/>
      <c r="AP49" s="85"/>
      <c r="AQ49" s="85"/>
      <c r="AR49" s="85">
        <v>0</v>
      </c>
      <c r="AS49" s="85">
        <v>1</v>
      </c>
      <c r="AT49" s="85">
        <v>2</v>
      </c>
      <c r="AU49" s="85">
        <v>3</v>
      </c>
      <c r="AV49" s="85">
        <v>4</v>
      </c>
    </row>
    <row r="50" spans="20:50" x14ac:dyDescent="0.2">
      <c r="AO50" s="196"/>
      <c r="AP50" s="85" t="s">
        <v>359</v>
      </c>
      <c r="AQ50" s="85">
        <v>1</v>
      </c>
      <c r="AR50" s="198">
        <v>0.7</v>
      </c>
      <c r="AS50" s="198">
        <v>0.9</v>
      </c>
      <c r="AT50" s="198">
        <v>0.93330000000000002</v>
      </c>
      <c r="AU50" s="198">
        <v>0.9667</v>
      </c>
      <c r="AV50" s="198">
        <v>1</v>
      </c>
    </row>
    <row r="51" spans="20:50" x14ac:dyDescent="0.2">
      <c r="AO51" s="196"/>
      <c r="AP51" s="85" t="s">
        <v>360</v>
      </c>
      <c r="AQ51" s="85">
        <v>2</v>
      </c>
      <c r="AR51" s="198">
        <v>0.7</v>
      </c>
      <c r="AS51" s="198">
        <v>0.8</v>
      </c>
      <c r="AT51" s="198">
        <v>0.9</v>
      </c>
      <c r="AU51" s="198">
        <v>0.95</v>
      </c>
      <c r="AV51" s="198">
        <v>1</v>
      </c>
    </row>
    <row r="52" spans="20:50" x14ac:dyDescent="0.2">
      <c r="AO52" s="196"/>
      <c r="AP52" s="85" t="s">
        <v>361</v>
      </c>
      <c r="AQ52" s="85">
        <v>3</v>
      </c>
      <c r="AR52" s="198">
        <v>0.7</v>
      </c>
      <c r="AS52" s="198">
        <v>0.76670000000000005</v>
      </c>
      <c r="AT52" s="198">
        <v>0.83330000000000004</v>
      </c>
      <c r="AU52" s="198">
        <v>0.9</v>
      </c>
      <c r="AV52" s="198">
        <v>1</v>
      </c>
    </row>
    <row r="53" spans="20:50" x14ac:dyDescent="0.2">
      <c r="AP53" s="199" t="s">
        <v>362</v>
      </c>
      <c r="AQ53" s="85">
        <v>11</v>
      </c>
      <c r="AR53" s="198">
        <v>0.6</v>
      </c>
      <c r="AS53" s="198">
        <v>0.9</v>
      </c>
      <c r="AT53" s="198">
        <v>0.93330000000000002</v>
      </c>
      <c r="AU53" s="198">
        <v>0.9667</v>
      </c>
      <c r="AV53" s="198">
        <v>1</v>
      </c>
    </row>
    <row r="54" spans="20:50" x14ac:dyDescent="0.2">
      <c r="AP54" s="199" t="s">
        <v>363</v>
      </c>
      <c r="AQ54" s="85">
        <v>12</v>
      </c>
      <c r="AR54" s="198">
        <v>0.6</v>
      </c>
      <c r="AS54" s="198">
        <v>0.7</v>
      </c>
      <c r="AT54" s="198">
        <v>0.9</v>
      </c>
      <c r="AU54" s="198">
        <v>0.95</v>
      </c>
      <c r="AV54" s="198">
        <v>1</v>
      </c>
    </row>
    <row r="55" spans="20:50" x14ac:dyDescent="0.2">
      <c r="AP55" s="199" t="s">
        <v>364</v>
      </c>
      <c r="AQ55" s="85">
        <v>13</v>
      </c>
      <c r="AR55" s="198">
        <v>0.6</v>
      </c>
      <c r="AS55" s="198">
        <v>0.7</v>
      </c>
      <c r="AT55" s="198">
        <v>0.8</v>
      </c>
      <c r="AU55" s="198">
        <v>0.9</v>
      </c>
      <c r="AV55" s="198">
        <v>1</v>
      </c>
    </row>
    <row r="56" spans="20:50" x14ac:dyDescent="0.2">
      <c r="AP56" s="199" t="s">
        <v>365</v>
      </c>
      <c r="AQ56" s="85">
        <v>22</v>
      </c>
      <c r="AR56" s="198">
        <v>0.3</v>
      </c>
      <c r="AS56" s="198">
        <v>0.6</v>
      </c>
      <c r="AT56" s="198">
        <v>0.9</v>
      </c>
      <c r="AU56" s="198">
        <v>0.95</v>
      </c>
      <c r="AV56" s="198">
        <v>1</v>
      </c>
    </row>
    <row r="57" spans="20:50" x14ac:dyDescent="0.2">
      <c r="AP57" s="199" t="s">
        <v>366</v>
      </c>
      <c r="AQ57" s="85">
        <v>23</v>
      </c>
      <c r="AR57" s="198">
        <v>0.3</v>
      </c>
      <c r="AS57" s="198">
        <v>0.6</v>
      </c>
      <c r="AT57" s="198">
        <v>0.7</v>
      </c>
      <c r="AU57" s="198">
        <v>0.9</v>
      </c>
      <c r="AV57" s="198">
        <v>1</v>
      </c>
    </row>
    <row r="58" spans="20:50" x14ac:dyDescent="0.2">
      <c r="AP58" s="199" t="s">
        <v>367</v>
      </c>
      <c r="AQ58" s="85">
        <v>33</v>
      </c>
      <c r="AR58" s="198">
        <v>0</v>
      </c>
      <c r="AS58" s="198">
        <v>0.3</v>
      </c>
      <c r="AT58" s="198">
        <v>0.6</v>
      </c>
      <c r="AU58" s="198">
        <v>0.9</v>
      </c>
      <c r="AV58" s="198">
        <v>1</v>
      </c>
      <c r="AW58" s="85"/>
    </row>
    <row r="60" spans="20:50" x14ac:dyDescent="0.2">
      <c r="AQ60" s="85"/>
      <c r="AW60" s="85"/>
      <c r="AX60" s="85"/>
    </row>
    <row r="61" spans="20:50" x14ac:dyDescent="0.2">
      <c r="AP61" s="200"/>
      <c r="AQ61" s="85"/>
      <c r="AW61" s="85"/>
      <c r="AX61" s="85"/>
    </row>
    <row r="62" spans="20:50" x14ac:dyDescent="0.2">
      <c r="AP62" s="85"/>
      <c r="AQ62" s="85"/>
      <c r="AW62" s="85"/>
      <c r="AX62" s="85"/>
    </row>
    <row r="63" spans="20:50" x14ac:dyDescent="0.2">
      <c r="AP63" s="85"/>
      <c r="AQ63" s="85"/>
      <c r="AW63" s="85"/>
    </row>
    <row r="64" spans="20:50" x14ac:dyDescent="0.2">
      <c r="AP64" s="85"/>
      <c r="AQ64" s="85"/>
      <c r="AW64" s="85"/>
    </row>
    <row r="65" spans="42:43" x14ac:dyDescent="0.2">
      <c r="AP65" s="85"/>
      <c r="AQ65" s="85"/>
    </row>
    <row r="66" spans="42:43" x14ac:dyDescent="0.2">
      <c r="AP66" s="85"/>
      <c r="AQ66" s="85"/>
    </row>
  </sheetData>
  <sheetProtection algorithmName="SHA-512" hashValue="8yBuE8zRfpniMQNzFLDMLNfmoA3WNIa30MHm+hFVMEta7WqZxBc3/DffCnXI84SUxTBe26N0Z/e+QzSr3ZOBqA==" saltValue="KoVe7Xhcol+UEyOPVu38Lw==" spinCount="100000" sheet="1" objects="1" scenarios="1"/>
  <mergeCells count="76">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 ref="BO34:BU37"/>
    <mergeCell ref="C35:F35"/>
    <mergeCell ref="C36:F36"/>
    <mergeCell ref="C37:F37"/>
    <mergeCell ref="C38:F38"/>
    <mergeCell ref="BQ19:BU19"/>
    <mergeCell ref="C20:F20"/>
    <mergeCell ref="C21:F21"/>
    <mergeCell ref="BO21:BO29"/>
    <mergeCell ref="C22:F22"/>
    <mergeCell ref="C23:F23"/>
    <mergeCell ref="C24:F24"/>
    <mergeCell ref="C25:F25"/>
    <mergeCell ref="C26:F26"/>
    <mergeCell ref="C27:F27"/>
    <mergeCell ref="C28:F28"/>
    <mergeCell ref="C29:F29"/>
    <mergeCell ref="C32:F32"/>
    <mergeCell ref="C33:F33"/>
    <mergeCell ref="C34:F34"/>
    <mergeCell ref="C13:F13"/>
    <mergeCell ref="C14:F14"/>
    <mergeCell ref="C15:F15"/>
    <mergeCell ref="C16:F16"/>
    <mergeCell ref="C31:F31"/>
    <mergeCell ref="C18:F18"/>
    <mergeCell ref="C19:F19"/>
    <mergeCell ref="C30:F30"/>
    <mergeCell ref="Q5:R5"/>
    <mergeCell ref="B6:E6"/>
    <mergeCell ref="F6:G6"/>
    <mergeCell ref="H6:L6"/>
    <mergeCell ref="C17:F17"/>
    <mergeCell ref="M6:N6"/>
    <mergeCell ref="O6:P6"/>
    <mergeCell ref="Q6:R6"/>
    <mergeCell ref="B7:F7"/>
    <mergeCell ref="L7:R7"/>
    <mergeCell ref="C8:F8"/>
    <mergeCell ref="L8:R39"/>
    <mergeCell ref="C9:F9"/>
    <mergeCell ref="C10:F10"/>
    <mergeCell ref="C11:F11"/>
    <mergeCell ref="C12:F12"/>
    <mergeCell ref="B3:G3"/>
    <mergeCell ref="H3:N3"/>
    <mergeCell ref="O3:P3"/>
    <mergeCell ref="Q3:R3"/>
    <mergeCell ref="BO3:BT4"/>
    <mergeCell ref="B4:G4"/>
    <mergeCell ref="H4:N4"/>
    <mergeCell ref="O4:P4"/>
    <mergeCell ref="Q4:R4"/>
    <mergeCell ref="BH4:BK6"/>
    <mergeCell ref="BL4:BN6"/>
    <mergeCell ref="B5:E5"/>
    <mergeCell ref="F5:G5"/>
    <mergeCell ref="H5:L5"/>
    <mergeCell ref="M5:N5"/>
    <mergeCell ref="O5:P5"/>
  </mergeCells>
  <conditionalFormatting sqref="B8:F39">
    <cfRule type="expression" dxfId="363" priority="9" stopIfTrue="1">
      <formula>IF($Z8=1,TRUE,FALSE)</formula>
    </cfRule>
    <cfRule type="expression" dxfId="362" priority="10">
      <formula>IF($Z8=2,TRUE,FALSE)</formula>
    </cfRule>
  </conditionalFormatting>
  <conditionalFormatting sqref="C8:F39">
    <cfRule type="expression" dxfId="361" priority="2" stopIfTrue="1">
      <formula>IF($AF8=FALSE,TRUE,FALSE)</formula>
    </cfRule>
  </conditionalFormatting>
  <conditionalFormatting sqref="F5:G6 M5:P6">
    <cfRule type="expression" dxfId="360" priority="5" stopIfTrue="1">
      <formula>NOT($AU$4)</formula>
    </cfRule>
  </conditionalFormatting>
  <conditionalFormatting sqref="F6:G6">
    <cfRule type="cellIs" dxfId="359" priority="4" operator="equal">
      <formula>""</formula>
    </cfRule>
  </conditionalFormatting>
  <conditionalFormatting sqref="G8:K39">
    <cfRule type="expression" dxfId="358" priority="7" stopIfTrue="1">
      <formula>IF($Z8=1,TRUE,FALSE)</formula>
    </cfRule>
    <cfRule type="expression" dxfId="357" priority="8" stopIfTrue="1">
      <formula>IF($Z8=2,TRUE,FALSE)</formula>
    </cfRule>
  </conditionalFormatting>
  <conditionalFormatting sqref="H8:H39">
    <cfRule type="expression" dxfId="356" priority="11" stopIfTrue="1">
      <formula>IF($AB8=0,TRUE,FALSE)</formula>
    </cfRule>
  </conditionalFormatting>
  <conditionalFormatting sqref="H40:I41">
    <cfRule type="expression" dxfId="355" priority="3" stopIfTrue="1">
      <formula>IF($H$41="N/A",TRUE,FALSE)</formula>
    </cfRule>
  </conditionalFormatting>
  <conditionalFormatting sqref="H6:P6 O4:R4 B6 L8">
    <cfRule type="containsBlanks" dxfId="354" priority="6">
      <formula>LEN(TRIM(B4))=0</formula>
    </cfRule>
  </conditionalFormatting>
  <conditionalFormatting sqref="J8:J39">
    <cfRule type="expression" dxfId="353" priority="15">
      <formula>IF($Z8=1,FALSE,OR($BE8,$BD8))</formula>
    </cfRule>
  </conditionalFormatting>
  <conditionalFormatting sqref="J8:K39 C8:F39">
    <cfRule type="expression" dxfId="352" priority="14">
      <formula>IF($Z8=1,FALSE,OR($AW8,$AX8,$AY8,$AZ8))</formula>
    </cfRule>
  </conditionalFormatting>
  <conditionalFormatting sqref="J8:K39">
    <cfRule type="expression" dxfId="351" priority="12" stopIfTrue="1">
      <formula>IF(ISNA($Z8),TRUE,FALSE)</formula>
    </cfRule>
  </conditionalFormatting>
  <conditionalFormatting sqref="K8:K39">
    <cfRule type="expression" dxfId="350" priority="13">
      <formula>IF(OR($Z8=1,$Z8=2),FALSE,OR($BC8,$BE8,$BF8))</formula>
    </cfRule>
  </conditionalFormatting>
  <conditionalFormatting sqref="L41">
    <cfRule type="expression" dxfId="349" priority="1">
      <formula>NOT($U$49)</formula>
    </cfRule>
  </conditionalFormatting>
  <dataValidations count="6">
    <dataValidation type="date" allowBlank="1" showInputMessage="1" showErrorMessage="1" sqref="Q4:R4" xr:uid="{1DCACEA4-0CA5-4555-912A-B2DCC3358927}">
      <formula1>41151</formula1>
      <formula2>77433</formula2>
    </dataValidation>
    <dataValidation type="decimal" allowBlank="1" showInputMessage="1" showErrorMessage="1" sqref="O6:P6" xr:uid="{B4E47E49-36DF-4D2B-992A-3F660FB97172}">
      <formula1>0</formula1>
      <formula2>10</formula2>
    </dataValidation>
    <dataValidation showInputMessage="1" showErrorMessage="1" sqref="O41:R41" xr:uid="{9CE9E1E8-31FA-4BE0-AEB1-D73A436BE2F1}"/>
    <dataValidation type="list" allowBlank="1" showInputMessage="1" showErrorMessage="1" sqref="K8:K39" xr:uid="{2DC540DF-4A5F-4BFF-A02C-A13B98501741}">
      <formula1>"D,0,1,2,3,4"</formula1>
    </dataValidation>
    <dataValidation type="list" allowBlank="1" showInputMessage="1" showErrorMessage="1" sqref="J8:J39" xr:uid="{F9BD4C7B-F446-4870-9E7D-C1AD549A0323}">
      <formula1>"NA,0,1,2,3,4,5,6,7,8,9,10,11,12,13,14,15"</formula1>
    </dataValidation>
    <dataValidation type="list" allowBlank="1" showInputMessage="1" showErrorMessage="1" sqref="F6:G6" xr:uid="{FF415F41-3D07-4CFA-8A4E-0456D1B67E53}">
      <formula1>"No,Yes"</formula1>
    </dataValidation>
  </dataValidations>
  <hyperlinks>
    <hyperlink ref="BO3" location="PF!A1" display="PF phase Summary Page" xr:uid="{79FBCF45-C8D3-4BFB-AD11-6F5F6201DCE6}"/>
  </hyperlinks>
  <pageMargins left="0.5" right="0.5" top="0.75" bottom="0.5" header="0.5" footer="0.5"/>
  <pageSetup orientation="landscape" verticalDpi="599" r:id="rId1"/>
  <headerFooter alignWithMargins="0"/>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37F63-561D-481C-AF76-8014FDAFC749}">
  <sheetPr codeName="Sheet15">
    <tabColor rgb="FF00B0F0"/>
    <pageSetUpPr autoPageBreaks="0"/>
  </sheetPr>
  <dimension ref="B1:BU66"/>
  <sheetViews>
    <sheetView showGridLines="0" showRowColHeaders="0" topLeftCell="A2" zoomScaleNormal="100" zoomScaleSheetLayoutView="100" workbookViewId="0">
      <selection activeCell="BP3" sqref="BP3:BU4"/>
    </sheetView>
  </sheetViews>
  <sheetFormatPr defaultColWidth="9.140625" defaultRowHeight="12.75" x14ac:dyDescent="0.2"/>
  <cols>
    <col min="1" max="1" width="1.5703125" style="87" customWidth="1"/>
    <col min="2" max="2" width="3.5703125" style="87" customWidth="1"/>
    <col min="3" max="3" width="5.5703125" style="87" customWidth="1"/>
    <col min="4" max="4" width="9.140625" style="87" customWidth="1"/>
    <col min="5" max="5" width="14" style="87" customWidth="1"/>
    <col min="6" max="6" width="7.85546875" style="87" customWidth="1"/>
    <col min="7" max="11" width="5.140625" style="87" customWidth="1"/>
    <col min="12" max="12" width="21.5703125" style="87" customWidth="1"/>
    <col min="13" max="13" width="6.5703125" style="87" customWidth="1"/>
    <col min="14" max="14" width="12.5703125" style="87" customWidth="1"/>
    <col min="15" max="15" width="7.85546875" style="87" customWidth="1"/>
    <col min="16" max="16" width="2.7109375" style="87" customWidth="1"/>
    <col min="17" max="17" width="4.85546875" style="87" customWidth="1"/>
    <col min="18" max="18" width="7.28515625" style="87" customWidth="1"/>
    <col min="19" max="19" width="1.7109375" style="87" customWidth="1"/>
    <col min="20" max="20" width="19.140625" style="88" hidden="1" customWidth="1"/>
    <col min="21" max="21" width="31.140625" style="88" hidden="1" customWidth="1"/>
    <col min="22" max="22" width="5.140625" style="88" hidden="1" customWidth="1"/>
    <col min="23" max="24" width="6.28515625" style="88" hidden="1" customWidth="1"/>
    <col min="25" max="25" width="8.42578125" style="88" hidden="1" customWidth="1"/>
    <col min="26" max="26" width="7.85546875" style="88" hidden="1" customWidth="1"/>
    <col min="27" max="27" width="10.7109375" style="88" hidden="1" customWidth="1"/>
    <col min="28" max="28" width="8" style="88" hidden="1" customWidth="1"/>
    <col min="29" max="31" width="5.140625" style="88" hidden="1" customWidth="1"/>
    <col min="32" max="34" width="5.85546875" style="88" hidden="1" customWidth="1"/>
    <col min="35" max="35" width="8.5703125" style="89" hidden="1" customWidth="1"/>
    <col min="36" max="36" width="7" style="88" hidden="1" customWidth="1"/>
    <col min="37" max="38" width="5.28515625" style="88" hidden="1" customWidth="1"/>
    <col min="39" max="40" width="7" style="88" hidden="1" customWidth="1"/>
    <col min="41" max="41" width="5.140625" style="88" hidden="1" customWidth="1"/>
    <col min="42" max="42" width="11.28515625" style="88" hidden="1" customWidth="1"/>
    <col min="43" max="43" width="6.42578125" style="88" hidden="1" customWidth="1"/>
    <col min="44" max="44" width="7.28515625" style="88" hidden="1" customWidth="1"/>
    <col min="45" max="45" width="8.85546875" style="88" hidden="1" customWidth="1"/>
    <col min="46" max="46" width="10.7109375" style="88" hidden="1" customWidth="1"/>
    <col min="47" max="47" width="8.85546875" style="88" hidden="1" customWidth="1"/>
    <col min="48" max="48" width="6.28515625" style="88" hidden="1" customWidth="1"/>
    <col min="49" max="49" width="10" style="88" hidden="1" customWidth="1"/>
    <col min="50" max="50" width="7.5703125" style="88" hidden="1" customWidth="1"/>
    <col min="51" max="51" width="7" style="88" hidden="1" customWidth="1"/>
    <col min="52" max="52" width="8.140625" style="88" hidden="1" customWidth="1"/>
    <col min="53" max="53" width="12.5703125" style="88" hidden="1" customWidth="1"/>
    <col min="54" max="54" width="7.7109375" style="88" hidden="1" customWidth="1"/>
    <col min="55" max="55" width="12.7109375" style="88" hidden="1" customWidth="1"/>
    <col min="56" max="56" width="7" style="88" hidden="1" customWidth="1"/>
    <col min="57" max="57" width="15.5703125" style="88" hidden="1" customWidth="1"/>
    <col min="58" max="58" width="9.140625" style="88" hidden="1" customWidth="1"/>
    <col min="59" max="59" width="10" style="88" hidden="1" customWidth="1"/>
    <col min="60" max="60" width="5.28515625" style="88" hidden="1" customWidth="1"/>
    <col min="61" max="61" width="4" style="88" hidden="1" customWidth="1"/>
    <col min="62" max="62" width="4.7109375" style="88" hidden="1" customWidth="1"/>
    <col min="63" max="63" width="5.5703125" style="88" hidden="1" customWidth="1"/>
    <col min="64" max="64" width="5.28515625" style="88" hidden="1" customWidth="1"/>
    <col min="65" max="65" width="4" style="88" hidden="1" customWidth="1"/>
    <col min="66" max="66" width="5.5703125" style="88" hidden="1" customWidth="1"/>
    <col min="67" max="67" width="5.140625" style="90" customWidth="1"/>
    <col min="68" max="73" width="5.140625" style="87" customWidth="1"/>
    <col min="74" max="16384" width="9.140625" style="87"/>
  </cols>
  <sheetData>
    <row r="1" spans="2:73" s="84" customFormat="1" ht="12" hidden="1" x14ac:dyDescent="0.2">
      <c r="T1" s="85"/>
      <c r="U1" s="85"/>
      <c r="V1" s="85"/>
      <c r="W1" s="85"/>
      <c r="X1" s="85"/>
      <c r="Y1" s="85"/>
      <c r="Z1" s="85"/>
      <c r="AA1" s="85"/>
      <c r="AB1" s="85"/>
      <c r="AC1" s="85"/>
      <c r="AD1" s="85"/>
      <c r="AE1" s="85"/>
      <c r="AF1" s="85"/>
      <c r="AG1" s="85"/>
      <c r="AH1" s="85"/>
      <c r="AI1" s="86"/>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row>
    <row r="2" spans="2:73" ht="13.5" thickBot="1" x14ac:dyDescent="0.25"/>
    <row r="3" spans="2:73" ht="13.5" customHeight="1" thickTop="1" x14ac:dyDescent="0.3">
      <c r="B3" s="967" t="s">
        <v>267</v>
      </c>
      <c r="C3" s="968"/>
      <c r="D3" s="968"/>
      <c r="E3" s="968"/>
      <c r="F3" s="968"/>
      <c r="G3" s="969"/>
      <c r="H3" s="970" t="s">
        <v>733</v>
      </c>
      <c r="I3" s="971"/>
      <c r="J3" s="971"/>
      <c r="K3" s="971"/>
      <c r="L3" s="971"/>
      <c r="M3" s="971"/>
      <c r="N3" s="972"/>
      <c r="O3" s="973" t="s">
        <v>269</v>
      </c>
      <c r="P3" s="974"/>
      <c r="Q3" s="973" t="s">
        <v>270</v>
      </c>
      <c r="R3" s="975"/>
      <c r="S3" s="91"/>
      <c r="T3" s="92"/>
      <c r="U3" s="92"/>
      <c r="V3" s="92"/>
      <c r="W3" s="92"/>
      <c r="X3" s="92"/>
      <c r="Y3" s="92"/>
      <c r="Z3" s="92"/>
      <c r="AA3" s="92"/>
      <c r="AB3" s="92"/>
      <c r="AC3" s="92"/>
      <c r="AD3" s="92"/>
      <c r="AE3" s="92"/>
      <c r="AF3" s="92"/>
      <c r="AG3" s="92"/>
      <c r="AH3" s="92"/>
      <c r="AI3" s="93"/>
      <c r="AJ3" s="92"/>
      <c r="AK3" s="92"/>
      <c r="AL3" s="92"/>
      <c r="AM3" s="92"/>
      <c r="AN3" s="92"/>
      <c r="AO3" s="92"/>
      <c r="AP3" s="92"/>
      <c r="AQ3" s="85"/>
      <c r="AR3" s="85"/>
      <c r="AW3" s="88" t="s">
        <v>271</v>
      </c>
      <c r="AX3" s="88" t="s">
        <v>272</v>
      </c>
      <c r="AY3" s="88" t="s">
        <v>273</v>
      </c>
      <c r="AZ3" s="88" t="s">
        <v>274</v>
      </c>
      <c r="BA3" s="88" t="s">
        <v>275</v>
      </c>
      <c r="BB3" s="88" t="s">
        <v>276</v>
      </c>
      <c r="BO3" s="483"/>
      <c r="BP3" s="1032" t="s">
        <v>842</v>
      </c>
      <c r="BQ3" s="1032"/>
      <c r="BR3" s="1032"/>
      <c r="BS3" s="1032"/>
      <c r="BT3" s="1032"/>
      <c r="BU3" s="1032"/>
    </row>
    <row r="4" spans="2:73" s="94" customFormat="1" ht="15.75" customHeight="1" x14ac:dyDescent="0.2">
      <c r="B4" s="994" t="s">
        <v>462</v>
      </c>
      <c r="C4" s="995"/>
      <c r="D4" s="995"/>
      <c r="E4" s="995"/>
      <c r="F4" s="995"/>
      <c r="G4" s="996"/>
      <c r="H4" s="937" t="s">
        <v>722</v>
      </c>
      <c r="I4" s="938"/>
      <c r="J4" s="938"/>
      <c r="K4" s="938"/>
      <c r="L4" s="938"/>
      <c r="M4" s="938"/>
      <c r="N4" s="939"/>
      <c r="O4" s="997"/>
      <c r="P4" s="998"/>
      <c r="Q4" s="999"/>
      <c r="R4" s="1000"/>
      <c r="S4" s="95"/>
      <c r="T4" s="96"/>
      <c r="U4" s="96"/>
      <c r="V4" s="96"/>
      <c r="W4" s="96"/>
      <c r="X4" s="96"/>
      <c r="Y4" s="96"/>
      <c r="Z4" s="96"/>
      <c r="AA4" s="96"/>
      <c r="AB4" s="96"/>
      <c r="AC4" s="96"/>
      <c r="AD4" s="96"/>
      <c r="AE4" s="96"/>
      <c r="AF4" s="96"/>
      <c r="AG4" s="96"/>
      <c r="AH4" s="96"/>
      <c r="AI4" s="97"/>
      <c r="AJ4" s="96"/>
      <c r="AK4" s="96"/>
      <c r="AL4" s="96"/>
      <c r="AM4" s="96"/>
      <c r="AN4" s="96"/>
      <c r="AO4" s="96"/>
      <c r="AP4" s="96"/>
      <c r="AQ4" s="98"/>
      <c r="AR4" s="98"/>
      <c r="AS4" s="99"/>
      <c r="AT4" s="100" t="s">
        <v>278</v>
      </c>
      <c r="AU4" s="101" t="b">
        <v>1</v>
      </c>
      <c r="AV4" s="99">
        <v>5</v>
      </c>
      <c r="AW4" s="99" t="b">
        <f>IF(ISERR(OR(AW8:AW39)),"UNK",IF(AND(graded_aca_events&gt;=1,input_test),FALSE,OR(AW8:AW39)))</f>
        <v>1</v>
      </c>
      <c r="AX4" s="99" t="b">
        <f>IF(ISERR(OR(AX8:AX39)),"UNK",IF(AND(graded_aca_events&gt;=1,input_test),FALSE,OR(AX8:AX39)))</f>
        <v>1</v>
      </c>
      <c r="AY4" s="99" t="b">
        <f>IF(ISERR(OR(AY8:AY39)),"UNK",OR(AY8:AY39))</f>
        <v>0</v>
      </c>
      <c r="AZ4" s="99" t="b">
        <f>IF(ISERR(OR(AZ8:AZ39)),"UNK",OR(AZ8:AZ39))</f>
        <v>0</v>
      </c>
      <c r="BA4" s="99" t="b">
        <f>IF(ISERR(OR(BA8:BA39)),"UNK",OR(BA8:BA39))</f>
        <v>0</v>
      </c>
      <c r="BB4" s="99" t="b">
        <f>IF(ISERR(OR(BB8:BB39)),"UNK",OR(BB8:BB39))</f>
        <v>0</v>
      </c>
      <c r="BC4" s="102" t="b">
        <f>OR(BC8:BC39)</f>
        <v>0</v>
      </c>
      <c r="BD4" s="102" t="b">
        <f>OR(BD8:BD39)</f>
        <v>0</v>
      </c>
      <c r="BE4" s="102" t="b">
        <f>OR(BE8:BE39)</f>
        <v>0</v>
      </c>
      <c r="BF4" s="102"/>
      <c r="BG4" s="99"/>
      <c r="BH4" s="944" t="s">
        <v>279</v>
      </c>
      <c r="BI4" s="944"/>
      <c r="BJ4" s="944"/>
      <c r="BK4" s="944"/>
      <c r="BL4" s="977" t="s">
        <v>280</v>
      </c>
      <c r="BM4" s="977"/>
      <c r="BN4" s="977"/>
      <c r="BO4" s="90"/>
      <c r="BP4" s="1032"/>
      <c r="BQ4" s="1032"/>
      <c r="BR4" s="1032"/>
      <c r="BS4" s="1032"/>
      <c r="BT4" s="1032"/>
      <c r="BU4" s="1032"/>
    </row>
    <row r="5" spans="2:73" s="91" customFormat="1" ht="7.5" customHeight="1" x14ac:dyDescent="0.25">
      <c r="B5" s="978" t="s">
        <v>281</v>
      </c>
      <c r="C5" s="979"/>
      <c r="D5" s="979"/>
      <c r="E5" s="980"/>
      <c r="F5" s="981" t="s">
        <v>282</v>
      </c>
      <c r="G5" s="980"/>
      <c r="H5" s="981" t="s">
        <v>283</v>
      </c>
      <c r="I5" s="979"/>
      <c r="J5" s="979"/>
      <c r="K5" s="979"/>
      <c r="L5" s="980"/>
      <c r="M5" s="982" t="s">
        <v>284</v>
      </c>
      <c r="N5" s="983"/>
      <c r="O5" s="984" t="s">
        <v>285</v>
      </c>
      <c r="P5" s="985"/>
      <c r="Q5" s="981" t="str">
        <f>IF(AU41=0,"GRADE","GRADE (inc. bonus)")</f>
        <v>GRADE</v>
      </c>
      <c r="R5" s="986"/>
      <c r="T5" s="92"/>
      <c r="U5" s="92"/>
      <c r="V5" s="92"/>
      <c r="W5" s="92"/>
      <c r="X5" s="92"/>
      <c r="Y5" s="92"/>
      <c r="Z5" s="92"/>
      <c r="AA5" s="92"/>
      <c r="AB5" s="92"/>
      <c r="AC5" s="92"/>
      <c r="AD5" s="92"/>
      <c r="AE5" s="92"/>
      <c r="AF5" s="92"/>
      <c r="AG5" s="92"/>
      <c r="AH5" s="92"/>
      <c r="AI5" s="93"/>
      <c r="AJ5" s="92"/>
      <c r="AK5" s="92"/>
      <c r="AL5" s="92"/>
      <c r="AM5" s="92"/>
      <c r="AN5" s="92"/>
      <c r="AO5" s="92"/>
      <c r="AP5" s="92"/>
      <c r="AQ5" s="92"/>
      <c r="AR5" s="92"/>
      <c r="AS5" s="92"/>
      <c r="AT5" s="92"/>
      <c r="AU5" s="92"/>
      <c r="AV5" s="92"/>
      <c r="AW5" s="92"/>
      <c r="AX5" s="92"/>
      <c r="AY5" s="92"/>
      <c r="AZ5" s="92"/>
      <c r="BA5" s="92"/>
      <c r="BB5" s="92"/>
      <c r="BC5" s="92"/>
      <c r="BD5" s="92"/>
      <c r="BE5" s="92"/>
      <c r="BF5" s="92"/>
      <c r="BG5" s="92"/>
      <c r="BH5" s="944"/>
      <c r="BI5" s="944"/>
      <c r="BJ5" s="944"/>
      <c r="BK5" s="944"/>
      <c r="BL5" s="977"/>
      <c r="BM5" s="977"/>
      <c r="BN5" s="977"/>
      <c r="BO5" s="103"/>
    </row>
    <row r="6" spans="2:73" s="94" customFormat="1" ht="15.75" customHeight="1" thickBot="1" x14ac:dyDescent="0.25">
      <c r="B6" s="1001"/>
      <c r="C6" s="1002"/>
      <c r="D6" s="1002"/>
      <c r="E6" s="1003"/>
      <c r="F6" s="1004" t="s">
        <v>457</v>
      </c>
      <c r="G6" s="1005"/>
      <c r="H6" s="1006"/>
      <c r="I6" s="1007"/>
      <c r="J6" s="1007"/>
      <c r="K6" s="1007"/>
      <c r="L6" s="1005"/>
      <c r="M6" s="1008"/>
      <c r="N6" s="1009"/>
      <c r="O6" s="1010"/>
      <c r="P6" s="1011"/>
      <c r="Q6" s="949" t="str">
        <f>IF((graded_aca_events+graded_amn_events)&lt;1,"0",IF(ISERROR(AR46),"",IF(F41&lt;&gt;"COMPLETE","INCOMPLETE",AR46)))</f>
        <v>0</v>
      </c>
      <c r="R6" s="950"/>
      <c r="S6" s="87"/>
      <c r="T6" s="99"/>
      <c r="U6" s="99">
        <v>2</v>
      </c>
      <c r="V6" s="99">
        <v>3</v>
      </c>
      <c r="W6" s="99">
        <v>6</v>
      </c>
      <c r="X6" s="99">
        <v>7</v>
      </c>
      <c r="Y6" s="99">
        <v>11</v>
      </c>
      <c r="Z6" s="99">
        <v>8</v>
      </c>
      <c r="AA6" s="99">
        <v>9</v>
      </c>
      <c r="AB6" s="99">
        <v>10</v>
      </c>
      <c r="AC6" s="99">
        <v>5</v>
      </c>
      <c r="AD6" s="99">
        <v>4</v>
      </c>
      <c r="AE6" s="99">
        <v>12</v>
      </c>
      <c r="AF6" s="99">
        <v>13</v>
      </c>
      <c r="AG6" s="99"/>
      <c r="AH6" s="99"/>
      <c r="AI6" s="104"/>
      <c r="AJ6" s="105"/>
      <c r="AK6" s="105"/>
      <c r="AL6" s="105"/>
      <c r="AM6" s="105" t="b">
        <f>IF(COUNT(AM8:AM39)&gt;0,TRUE,FALSE)</f>
        <v>0</v>
      </c>
      <c r="AN6" s="105" t="b">
        <f>IF(COUNT(AN8:AN39)&gt;0,TRUE,FALSE)</f>
        <v>0</v>
      </c>
      <c r="AO6" s="99"/>
      <c r="AP6" s="99"/>
      <c r="AQ6" s="98"/>
      <c r="AR6" s="98"/>
      <c r="AS6" s="99"/>
      <c r="AT6" s="106">
        <v>0.15</v>
      </c>
      <c r="AU6" s="99"/>
      <c r="AV6" s="107">
        <f>0.01*input_maxb</f>
        <v>0.05</v>
      </c>
      <c r="AW6" s="108" t="s">
        <v>287</v>
      </c>
      <c r="AX6" s="109"/>
      <c r="AY6" s="108" t="s">
        <v>288</v>
      </c>
      <c r="AZ6" s="109"/>
      <c r="BA6" s="110" t="s">
        <v>289</v>
      </c>
      <c r="BB6" s="110"/>
      <c r="BC6" s="108" t="s">
        <v>290</v>
      </c>
      <c r="BD6" s="110"/>
      <c r="BE6" s="111"/>
      <c r="BF6" s="112"/>
      <c r="BG6" s="99" t="s">
        <v>291</v>
      </c>
      <c r="BH6" s="944"/>
      <c r="BI6" s="944"/>
      <c r="BJ6" s="944"/>
      <c r="BK6" s="944"/>
      <c r="BL6" s="977"/>
      <c r="BM6" s="977"/>
      <c r="BN6" s="977"/>
      <c r="BO6" s="90"/>
    </row>
    <row r="7" spans="2:73" ht="27" customHeight="1" thickBot="1" x14ac:dyDescent="0.25">
      <c r="B7" s="951" t="s">
        <v>292</v>
      </c>
      <c r="C7" s="952"/>
      <c r="D7" s="952"/>
      <c r="E7" s="952"/>
      <c r="F7" s="953"/>
      <c r="G7" s="113" t="s">
        <v>293</v>
      </c>
      <c r="H7" s="114" t="s">
        <v>294</v>
      </c>
      <c r="I7" s="115" t="s">
        <v>295</v>
      </c>
      <c r="J7" s="116" t="s">
        <v>296</v>
      </c>
      <c r="K7" s="117" t="s">
        <v>297</v>
      </c>
      <c r="L7" s="954" t="s">
        <v>298</v>
      </c>
      <c r="M7" s="952"/>
      <c r="N7" s="952"/>
      <c r="O7" s="952"/>
      <c r="P7" s="952"/>
      <c r="Q7" s="952"/>
      <c r="R7" s="955"/>
      <c r="T7" s="118" t="s">
        <v>299</v>
      </c>
      <c r="U7" s="118"/>
      <c r="V7" s="118" t="s">
        <v>300</v>
      </c>
      <c r="W7" s="118" t="s">
        <v>301</v>
      </c>
      <c r="X7" s="118" t="s">
        <v>302</v>
      </c>
      <c r="Y7" s="118" t="s">
        <v>303</v>
      </c>
      <c r="Z7" s="118" t="s">
        <v>304</v>
      </c>
      <c r="AA7" s="118" t="s">
        <v>305</v>
      </c>
      <c r="AB7" s="118" t="s">
        <v>306</v>
      </c>
      <c r="AC7" s="118" t="s">
        <v>307</v>
      </c>
      <c r="AD7" s="118" t="s">
        <v>308</v>
      </c>
      <c r="AE7" s="118" t="s">
        <v>309</v>
      </c>
      <c r="AF7" s="118" t="s">
        <v>310</v>
      </c>
      <c r="AG7" s="118" t="s">
        <v>311</v>
      </c>
      <c r="AH7" s="118" t="s">
        <v>312</v>
      </c>
      <c r="AI7" s="119" t="s">
        <v>313</v>
      </c>
      <c r="AJ7" s="120" t="s">
        <v>314</v>
      </c>
      <c r="AK7" s="121" t="s">
        <v>315</v>
      </c>
      <c r="AL7" s="121" t="s">
        <v>316</v>
      </c>
      <c r="AM7" s="121" t="s">
        <v>317</v>
      </c>
      <c r="AN7" s="121" t="s">
        <v>318</v>
      </c>
      <c r="AO7" s="120" t="s">
        <v>319</v>
      </c>
      <c r="AP7" s="120" t="s">
        <v>320</v>
      </c>
      <c r="AQ7" s="122" t="s">
        <v>321</v>
      </c>
      <c r="AR7" s="123" t="s">
        <v>1</v>
      </c>
      <c r="AS7" s="122" t="s">
        <v>322</v>
      </c>
      <c r="AT7" s="123" t="s">
        <v>1</v>
      </c>
      <c r="AU7" s="122" t="s">
        <v>323</v>
      </c>
      <c r="AV7" s="124" t="s">
        <v>324</v>
      </c>
      <c r="AW7" s="125" t="s">
        <v>325</v>
      </c>
      <c r="AX7" s="126" t="s">
        <v>326</v>
      </c>
      <c r="AY7" s="125" t="s">
        <v>327</v>
      </c>
      <c r="AZ7" s="126" t="s">
        <v>328</v>
      </c>
      <c r="BA7" s="127" t="s">
        <v>329</v>
      </c>
      <c r="BB7" s="127" t="s">
        <v>330</v>
      </c>
      <c r="BC7" s="128" t="s">
        <v>331</v>
      </c>
      <c r="BD7" s="129" t="s">
        <v>332</v>
      </c>
      <c r="BE7" s="130" t="s">
        <v>333</v>
      </c>
      <c r="BF7" s="131" t="s">
        <v>334</v>
      </c>
      <c r="BH7" s="88" t="s">
        <v>335</v>
      </c>
      <c r="BI7" s="88" t="s">
        <v>336</v>
      </c>
      <c r="BJ7" s="118" t="s">
        <v>337</v>
      </c>
      <c r="BK7" s="88" t="s">
        <v>338</v>
      </c>
      <c r="BL7" s="88" t="s">
        <v>335</v>
      </c>
      <c r="BM7" s="88" t="s">
        <v>336</v>
      </c>
      <c r="BN7" s="88" t="s">
        <v>338</v>
      </c>
    </row>
    <row r="8" spans="2:73" ht="12.95" customHeight="1" x14ac:dyDescent="0.2">
      <c r="B8" s="132" t="str">
        <f>IF(ISNA(Z8),"",IF(OR(Z8=1,Z8=2),"",1))</f>
        <v/>
      </c>
      <c r="C8" s="956" t="str">
        <f t="shared" ref="C8:C36" si="0">IF(ISNA(Z8),"",CONCATENATE($U8,IF(ISNUMBER(AI8),TEXT(ROUND($AI8,3)," (0.0%)"),""),IF(AU8&gt;0," Bonus","")))</f>
        <v>Airmanship Tasks (13.5%)</v>
      </c>
      <c r="D8" s="956"/>
      <c r="E8" s="956"/>
      <c r="F8" s="957"/>
      <c r="G8" s="133" t="str">
        <f t="shared" ref="G8:G39" si="1">BH8</f>
        <v/>
      </c>
      <c r="H8" s="134" t="str">
        <f t="shared" ref="H8:I39" si="2">BJ8</f>
        <v/>
      </c>
      <c r="I8" s="135" t="str">
        <f t="shared" si="2"/>
        <v/>
      </c>
      <c r="J8" s="136"/>
      <c r="K8" s="137"/>
      <c r="L8" s="1012"/>
      <c r="M8" s="1013"/>
      <c r="N8" s="1013"/>
      <c r="O8" s="1013"/>
      <c r="P8" s="1013"/>
      <c r="Q8" s="1013"/>
      <c r="R8" s="1014"/>
      <c r="T8" s="88">
        <v>1</v>
      </c>
      <c r="U8" s="88" t="s">
        <v>339</v>
      </c>
      <c r="V8" s="453" t="s">
        <v>340</v>
      </c>
      <c r="W8" s="453" t="s">
        <v>340</v>
      </c>
      <c r="X8" s="453" t="s">
        <v>340</v>
      </c>
      <c r="Y8" s="453" t="s">
        <v>340</v>
      </c>
      <c r="Z8" s="453">
        <v>1</v>
      </c>
      <c r="AA8" s="453">
        <v>0</v>
      </c>
      <c r="AB8" s="453">
        <v>0</v>
      </c>
      <c r="AC8" s="453" t="s">
        <v>340</v>
      </c>
      <c r="AD8" s="453" t="s">
        <v>340</v>
      </c>
      <c r="AE8" s="453">
        <v>0</v>
      </c>
      <c r="AF8" s="453" t="s">
        <v>340</v>
      </c>
      <c r="AG8" s="453" t="str">
        <f t="shared" ref="AG8:AG39" si="3">IF(CrewSoloQual="Yes",$AC8,$AD8)</f>
        <v/>
      </c>
      <c r="AH8" s="453" t="str">
        <f t="shared" ref="AH8:AH39" si="4">IF(ISNUMBER(AC8),IF(CrewSoloQual="Yes",$AC8-1,$AD8-1),"")</f>
        <v/>
      </c>
      <c r="AI8" s="138">
        <f>IF(NOT(OR(Z8=1,Z8=2)),IF(AQ8&gt;0,$AR$44*AQ8/SUMIF($AQ$8:$AQ$39,"&gt;0"),IF(AU8&gt;0,$AV$44*AU8/SUMIF($AU$8:$AU$39,"&gt;0"),IF(AS8&gt;0,$AT$44*AS8/SUMIF($AS$8:$AS$39,"&gt;0"),""))),IF(SUMIF(AJ9:$AJ$39,"=" &amp; AJ8,AI9:$AI$39)=0,"",SUMIF(AJ9:$AJ$39,"=" &amp; AJ8,AI9:$AI$39)))</f>
        <v>0.13452914798206278</v>
      </c>
      <c r="AJ8" s="139">
        <f>0</f>
        <v>0</v>
      </c>
      <c r="AK8" s="453" t="str">
        <f>BI8</f>
        <v/>
      </c>
      <c r="AL8" s="453" t="str">
        <f>IF(ISBLANK(K8),"",K8)</f>
        <v/>
      </c>
      <c r="AM8" s="453" t="str">
        <f>IF(ISNUMBER(AK8),IF(ISNUMBER(AL8),1,""),"")</f>
        <v/>
      </c>
      <c r="AN8" s="453" t="str">
        <f t="shared" ref="AN8:AN36" si="5">IF(ISNUMBER(AH8),IF(AND(AB8=0,ISNUMBER(AC8),ISNUMBER(AL8)),1,""),"")</f>
        <v/>
      </c>
      <c r="AO8" s="453" t="str">
        <f t="shared" ref="AO8:AO39" si="6">IF(AB8=0,IF(CrewSoloQual="No",BI8,BK8),"")</f>
        <v/>
      </c>
      <c r="AP8" s="453" t="str">
        <f t="shared" ref="AP8:AP39" si="7">IF(ISNA(Z8),"",IF(AND(ISNUMBER(B8),G8&gt;=1,H8&lt;&gt;"NG"),IF(K8&lt;BK8,TRUE,FALSE),IF(AND(G8&gt;=1,J8="NA"),TRUE,IF(AND(AM8=1,G8=0,AL8&lt;BI8),TRUE,""))))</f>
        <v/>
      </c>
      <c r="AQ8" s="140">
        <f>IF(ISNA(Z8),0,IF(OR(J8="NA",W8="",AB8=0),0,W8))</f>
        <v>0</v>
      </c>
      <c r="AR8" s="141" t="str">
        <f t="shared" ref="AR8:AR39" si="8">IF(ISNA(Z8),"",IF(AND(NOT(OR(Z8=1,Z8=2,AK8="NG",AB8=0)),IF(ISNUMBER(AL8),AL8&gt;=0,FALSE)),VLOOKUP((10*AD8+AC8),$AQ$50:$AV$58,2+AL8,FALSE),IF(AND(input_test=TRUE,ISNUMBER(AD8),V8&lt;&gt;0),VLOOKUP((10*AD8+AC8),$AQ$50:$AV$58,2,FALSE),"")))</f>
        <v/>
      </c>
      <c r="AS8" s="142">
        <f>IF(ISNA(Z8),0,IF(OR(J8="NA",X8="",AB8=1),0,X8))</f>
        <v>0</v>
      </c>
      <c r="AT8" s="141" t="str">
        <f t="shared" ref="AT8:AT39" si="9">IF(ISNA(Z8),"",IF(AND(NOT(OR(Z8=1,Z8=2,AK8="NG",AB8=1)),IF(ISNUMBER(AL8),AL8&gt;=0,FALSE)),VLOOKUP((10*AH8+AG8),$AQ$50:$AV$58,2+AL8,FALSE),IF(AND(input_test=TRUE,ISNUMBER(AD8),V8&lt;&gt;0),VLOOKUP((10*AH8+AG8),$AQ$50:$AV$58,2,FALSE),"")))</f>
        <v/>
      </c>
      <c r="AU8" s="143">
        <f t="shared" ref="AU8:AU39" si="10">IF(ISNA(Z8),0,IF(OR(J8="NA",Y8=""),0,Y8))</f>
        <v>0</v>
      </c>
      <c r="AV8" s="144" t="str">
        <f t="shared" ref="AV8:AV39" si="11">AR8</f>
        <v/>
      </c>
      <c r="AW8" s="143" t="b">
        <f t="shared" ref="AW8:AW39" si="12">IF(ISNA(Z8),FALSE,IF(OR(AB8=1,G8=0,Z8=1,Z8=2),FALSE,IF(OR(J8="NA",J8&gt;=G8),FALSE,TRUE)))</f>
        <v>0</v>
      </c>
      <c r="AX8" s="145" t="b">
        <f t="shared" ref="AX8:AX39" si="13">IF(ISNA(Z8),FALSE,IF(OR(AB8=0,G8=0,Z8=1,Z8=2,J8="NA"),FALSE,IF(AK8="NG",IF(NOT(ISBLANK(K8)),FALSE,TRUE),IF(J8&gt;=G8,FALSE,TRUE))))</f>
        <v>0</v>
      </c>
      <c r="AY8" s="143" t="b">
        <f t="shared" ref="AY8:AY39" si="14">IF(ISNA(Z8),FALSE,IF(OR(AB8=1,G8&lt;1,Z8=1,Z8=2,AE8=0,ISBLANK(K8)),FALSE,IF(OR(J8="NA",K8&gt;=BI8),FALSE,TRUE)))</f>
        <v>0</v>
      </c>
      <c r="AZ8" s="145" t="b">
        <f t="shared" ref="AZ8:AZ39" si="15">IF(ISNA(Z8),FALSE,IF(OR(AB8=0,G8=0,Z8=1,Z8=2,AE8=0,BI8="NG",K8="",ISBLANK(K8)),FALSE,IF(OR(J8="NA",K8&gt;=AK8),FALSE,TRUE)))</f>
        <v>0</v>
      </c>
      <c r="BA8" s="453" t="b">
        <f t="shared" ref="BA8:BA39" si="16">IF(ISNA(Z8),FALSE,IF(OR(AB8=1,G8&lt;1,Z8=1,Z8=2,AE8=0),FALSE,IF(J8="NA",TRUE,FALSE)))</f>
        <v>0</v>
      </c>
      <c r="BB8" s="453" t="b">
        <f t="shared" ref="BB8:BB39" si="17">IF(ISNA(Z8),FALSE,IF(OR(AB8=0,G8=0,Z8=1,Z8=2),FALSE,IF(J8="NA",TRUE,FALSE)))</f>
        <v>0</v>
      </c>
      <c r="BC8" s="143" t="b">
        <f t="shared" ref="BC8:BC39" si="18">IF(OR(ISNA($Z8),ISNUMBER($Z8),NOT(ISNUMBER($J8)),K8="D"),FALSE,IF(AND(NOT(ISNUMBER($K8)),J8&gt;0),TRUE,FALSE))</f>
        <v>0</v>
      </c>
      <c r="BD8" s="146" t="b">
        <f>IF(OR(ISNA($Z8),ISNUMBER($Z8),NOT(ISNUMBER(K8))),FALSE,OR(NOT(ISNUMBER(J8)),J8=0,AND(J8=0,K8&lt;&gt;0)))</f>
        <v>0</v>
      </c>
      <c r="BE8" s="145" t="b">
        <f t="shared" ref="BE8:BE21" si="19">IF(OR(ISNA($Z8),K8&lt;&gt;"D"),FALSE,IF(OR(AND(H8="NG",J8=0),AND(H8&lt;&gt;"NG",NOT(OR(J8="NA",J8=0)))),TRUE,FALSE))</f>
        <v>0</v>
      </c>
      <c r="BF8" s="147" t="b">
        <f t="shared" ref="BF8:BF30" si="20">IF(OR(ISNA($Z8),H8&lt;&gt;"NG"),FALSE,IF(AND(J8="NA",K8&lt;&gt;""),TRUE,FALSE))</f>
        <v>0</v>
      </c>
      <c r="BG8" s="453" t="b">
        <f t="shared" ref="BG8:BG21" si="21">IF(ISNA($Z8),"NA",IF(OR(AZ8,AY8,AX8,AW8,AP8,BA8,BB8),TRUE,FALSE))</f>
        <v>0</v>
      </c>
      <c r="BH8" s="148" t="str">
        <f>IF(ISNA($Z8),"",IF(OR($Z8=1,$Z8=2),"",$V8))</f>
        <v/>
      </c>
      <c r="BI8" s="453" t="str">
        <f t="shared" ref="BI8:BI39" si="22">IF(ISNA($Z8),"",IF(OR($Z8=1,$Z8=2,$G8=""),"",IF(AB8=0,AH8,$AD8)))</f>
        <v/>
      </c>
      <c r="BJ8" s="453" t="str">
        <f t="shared" ref="BJ8:BJ39" si="23">IF(ISNA(AE8),"",IF(OR(Z8=1,Z8=2),"",IF(OR(AE8=0,AD8="NG"),TEXT(BI8,"0"),CONCATENATE(TEXT(BI8,"0"),"*"))))</f>
        <v/>
      </c>
      <c r="BK8" s="453" t="str">
        <f t="shared" ref="BK8:BK39" si="24">IF(ISNA($Z8),"",IF(OR($Z8=1,$Z8=2,$G8=""),"",IF(AB8=0,AG8,$AC8)))</f>
        <v/>
      </c>
      <c r="BL8" s="148" t="str">
        <f>IF(ISBLANK(BH8),"",IF(BH8=0,"",BH8))</f>
        <v/>
      </c>
      <c r="BM8" s="453" t="str">
        <f t="shared" ref="BM8:BM39" si="25">IF($BH8=0,"",IF($BI8="NG","D",$BI8))</f>
        <v/>
      </c>
      <c r="BN8" s="453" t="str">
        <f t="shared" ref="BN8:BN39" si="26">IF(ISNA(U8),"",IF($BH8=0,"",IF($BI8="NG","D",BK8)))</f>
        <v/>
      </c>
      <c r="BO8" s="149" t="s">
        <v>341</v>
      </c>
      <c r="BP8" s="150"/>
    </row>
    <row r="9" spans="2:73" s="94" customFormat="1" ht="12.95" customHeight="1" x14ac:dyDescent="0.2">
      <c r="B9" s="151">
        <f>IF(ISNA(Z9),"",IF(OR(Z9=1,Z9=2),"    ",MAX($B$8:B8)+1))</f>
        <v>1</v>
      </c>
      <c r="C9" s="904" t="str">
        <f t="shared" si="0"/>
        <v>Basic Aircraft Procedures (2.7%)</v>
      </c>
      <c r="D9" s="904"/>
      <c r="E9" s="904"/>
      <c r="F9" s="905"/>
      <c r="G9" s="133">
        <f t="shared" si="1"/>
        <v>1</v>
      </c>
      <c r="H9" s="134" t="str">
        <f t="shared" si="2"/>
        <v>1*</v>
      </c>
      <c r="I9" s="152">
        <f t="shared" si="2"/>
        <v>2</v>
      </c>
      <c r="J9" s="153"/>
      <c r="K9" s="154"/>
      <c r="L9" s="1015"/>
      <c r="M9" s="1016"/>
      <c r="N9" s="1016"/>
      <c r="O9" s="1016"/>
      <c r="P9" s="1016"/>
      <c r="Q9" s="1016"/>
      <c r="R9" s="1017"/>
      <c r="T9" s="99">
        <v>2</v>
      </c>
      <c r="U9" s="88" t="s">
        <v>342</v>
      </c>
      <c r="V9" s="453">
        <v>1</v>
      </c>
      <c r="W9" s="453" t="s">
        <v>340</v>
      </c>
      <c r="X9" s="453">
        <v>3</v>
      </c>
      <c r="Y9" s="453" t="s">
        <v>340</v>
      </c>
      <c r="Z9" s="146" t="s">
        <v>340</v>
      </c>
      <c r="AA9" s="146">
        <v>1</v>
      </c>
      <c r="AB9" s="146">
        <v>0</v>
      </c>
      <c r="AC9" s="453">
        <v>2</v>
      </c>
      <c r="AD9" s="453">
        <v>2</v>
      </c>
      <c r="AE9" s="453">
        <v>1</v>
      </c>
      <c r="AF9" s="453" t="b">
        <v>1</v>
      </c>
      <c r="AG9" s="453">
        <f t="shared" si="3"/>
        <v>2</v>
      </c>
      <c r="AH9" s="453">
        <f t="shared" si="4"/>
        <v>1</v>
      </c>
      <c r="AI9" s="138">
        <f>IF(NOT(OR(Z9=1,Z9=2)),IF(AQ9&gt;0,$AR$44*AQ9/SUMIF($AQ$8:$AQ$39,"&gt;0"),IF(AU9&gt;0,$AV$44*AU9/SUMIF($AU$8:$AU$39,"&gt;0"),IF(AS9&gt;0,$AT$44*AS9/SUMIF($AS$8:$AS$39,"&gt;0"),""))),IF(SUMIF(AJ10:$AJ$39,"=" &amp; AJ9,AI10:$AI$39)=0,"",SUMIF(AJ10:$AJ$39,"=" &amp; AJ9,AI10:$AI$39)))</f>
        <v>2.6905829596412557E-2</v>
      </c>
      <c r="AJ9" s="139">
        <f>IF(OR(Z9=1,Z9=2,AA9&lt;AA8),AJ8+1,AJ8)</f>
        <v>0</v>
      </c>
      <c r="AK9" s="453">
        <f t="shared" ref="AK9:AK39" si="27">BI9</f>
        <v>1</v>
      </c>
      <c r="AL9" s="146" t="str">
        <f t="shared" ref="AL9:AL39" si="28">IF(ISBLANK(K9),"",K9)</f>
        <v/>
      </c>
      <c r="AM9" s="146" t="str">
        <f>IF(ISNUMBER(AK9),IF(ISNUMBER(AL9),1,""),"")</f>
        <v/>
      </c>
      <c r="AN9" s="146" t="str">
        <f t="shared" si="5"/>
        <v/>
      </c>
      <c r="AO9" s="146">
        <f t="shared" si="6"/>
        <v>1</v>
      </c>
      <c r="AP9" s="453" t="b">
        <f>IF(ISNA(Z9),"",IF(AND(ISNUMBER(B9),G9&gt;=1,H9&lt;&gt;"NG"),IF(K9&lt;BK9,TRUE,FALSE),IF(AND(G9&gt;=1,J9="NA"),TRUE,IF(AND(AM9=1,G9=0,AL9&lt;BI9),TRUE,""))))</f>
        <v>1</v>
      </c>
      <c r="AQ9" s="140">
        <f t="shared" ref="AQ9:AQ39" si="29">IF(ISNA(Z9),0,IF(OR(J9="NA",W9="",AB9=0),0,W9))</f>
        <v>0</v>
      </c>
      <c r="AR9" s="141">
        <f>IF(ISNA(Z9),"",IF(AND(NOT(OR(Z9=1,Z9=2,AK9="NG",AB9=0)),IF(ISNUMBER(AL9),AL9&gt;=0,FALSE)),VLOOKUP((10*AD9+AC9),$AQ$50:$AV$58,2+AL9,FALSE),IF(AND(input_test=TRUE,ISNUMBER(AD9),V9&lt;&gt;0),VLOOKUP((10*AD9+AC9),$AQ$50:$AV$58,2,FALSE),"")))</f>
        <v>0.3</v>
      </c>
      <c r="AS9" s="142">
        <f t="shared" ref="AS9:AS39" si="30">IF(ISNA(Z9),0,IF(OR(J9="NA",X9="",AB9=1),0,X9))</f>
        <v>3</v>
      </c>
      <c r="AT9" s="141">
        <f>IF(ISNA(Z9),"",IF(AND(NOT(OR(Z9=1,Z9=2,AK9="NG",AB9=1)),IF(ISNUMBER(AL9),AL9&gt;=0,FALSE)),VLOOKUP((10*AH9+AG9),$AQ$50:$AV$58,2+AL9,FALSE),IF(AND(input_test=TRUE,ISNUMBER(AD9),V9&lt;&gt;0),VLOOKUP((10*AH9+AG9),$AQ$50:$AV$58,2,FALSE),"")))</f>
        <v>0.6</v>
      </c>
      <c r="AU9" s="143">
        <f t="shared" si="10"/>
        <v>0</v>
      </c>
      <c r="AV9" s="144">
        <f t="shared" si="11"/>
        <v>0.3</v>
      </c>
      <c r="AW9" s="143" t="b">
        <f t="shared" si="12"/>
        <v>1</v>
      </c>
      <c r="AX9" s="145" t="b">
        <f t="shared" si="13"/>
        <v>0</v>
      </c>
      <c r="AY9" s="143" t="b">
        <f t="shared" si="14"/>
        <v>0</v>
      </c>
      <c r="AZ9" s="145" t="b">
        <f t="shared" si="15"/>
        <v>0</v>
      </c>
      <c r="BA9" s="453" t="b">
        <f t="shared" si="16"/>
        <v>0</v>
      </c>
      <c r="BB9" s="453" t="b">
        <f t="shared" si="17"/>
        <v>0</v>
      </c>
      <c r="BC9" s="143" t="b">
        <f t="shared" si="18"/>
        <v>0</v>
      </c>
      <c r="BD9" s="146" t="b">
        <f t="shared" ref="BD9:BD39" si="31">IF(OR(ISNA($Z9),ISNUMBER($Z9),NOT(ISNUMBER(K9))),FALSE,OR(NOT(ISNUMBER(J9)),J9=0,AND(J9=0,K9&lt;&gt;0)))</f>
        <v>0</v>
      </c>
      <c r="BE9" s="145" t="b">
        <f t="shared" si="19"/>
        <v>0</v>
      </c>
      <c r="BF9" s="147" t="b">
        <f t="shared" si="20"/>
        <v>0</v>
      </c>
      <c r="BG9" s="453" t="b">
        <f t="shared" si="21"/>
        <v>1</v>
      </c>
      <c r="BH9" s="453">
        <f t="shared" ref="BH9:BH39" si="32">IF(ISNA($Z9),"",IF(OR($Z9=1,$Z9=2),"",$V9))</f>
        <v>1</v>
      </c>
      <c r="BI9" s="453">
        <f t="shared" si="22"/>
        <v>1</v>
      </c>
      <c r="BJ9" s="453" t="str">
        <f t="shared" si="23"/>
        <v>1*</v>
      </c>
      <c r="BK9" s="453">
        <f t="shared" si="24"/>
        <v>2</v>
      </c>
      <c r="BL9" s="148">
        <f t="shared" ref="BL9:BL39" si="33">IF(ISBLANK(BH9),"",IF(BH9=0,"",BH9))</f>
        <v>1</v>
      </c>
      <c r="BM9" s="453">
        <f t="shared" si="25"/>
        <v>1</v>
      </c>
      <c r="BN9" s="453">
        <f t="shared" si="26"/>
        <v>2</v>
      </c>
      <c r="BO9" s="155" t="s">
        <v>343</v>
      </c>
      <c r="BP9" s="156" t="s">
        <v>344</v>
      </c>
    </row>
    <row r="10" spans="2:73" s="94" customFormat="1" ht="12.95" customHeight="1" x14ac:dyDescent="0.2">
      <c r="B10" s="151">
        <f>IF(ISNA(Z10),"",IF(OR(Z10=1,Z10=2),"    ",MAX($B$8:B9)+1))</f>
        <v>2</v>
      </c>
      <c r="C10" s="904" t="str">
        <f t="shared" si="0"/>
        <v>Basic Aircraft Handling (2.7%)</v>
      </c>
      <c r="D10" s="904"/>
      <c r="E10" s="904"/>
      <c r="F10" s="905"/>
      <c r="G10" s="133">
        <f t="shared" si="1"/>
        <v>1</v>
      </c>
      <c r="H10" s="134" t="str">
        <f t="shared" si="2"/>
        <v>1*</v>
      </c>
      <c r="I10" s="152">
        <f t="shared" si="2"/>
        <v>2</v>
      </c>
      <c r="J10" s="157"/>
      <c r="K10" s="154"/>
      <c r="L10" s="1015"/>
      <c r="M10" s="1016"/>
      <c r="N10" s="1016"/>
      <c r="O10" s="1016"/>
      <c r="P10" s="1016"/>
      <c r="Q10" s="1016"/>
      <c r="R10" s="1017"/>
      <c r="T10" s="99">
        <v>3</v>
      </c>
      <c r="U10" s="88" t="s">
        <v>551</v>
      </c>
      <c r="V10" s="453">
        <v>1</v>
      </c>
      <c r="W10" s="453" t="s">
        <v>340</v>
      </c>
      <c r="X10" s="453">
        <v>3</v>
      </c>
      <c r="Y10" s="453" t="s">
        <v>340</v>
      </c>
      <c r="Z10" s="146" t="s">
        <v>340</v>
      </c>
      <c r="AA10" s="146">
        <v>1</v>
      </c>
      <c r="AB10" s="146">
        <v>0</v>
      </c>
      <c r="AC10" s="453">
        <v>2</v>
      </c>
      <c r="AD10" s="453">
        <v>2</v>
      </c>
      <c r="AE10" s="453">
        <v>1</v>
      </c>
      <c r="AF10" s="453" t="b">
        <v>1</v>
      </c>
      <c r="AG10" s="453">
        <f t="shared" si="3"/>
        <v>2</v>
      </c>
      <c r="AH10" s="453">
        <f t="shared" si="4"/>
        <v>1</v>
      </c>
      <c r="AI10" s="138">
        <f>IF(NOT(OR(Z10=1,Z10=2)),IF(AQ10&gt;0,$AR$44*AQ10/SUMIF($AQ$8:$AQ$39,"&gt;0"),IF(AU10&gt;0,$AV$44*AU10/SUMIF($AU$8:$AU$39,"&gt;0"),IF(AS10&gt;0,$AT$44*AS10/SUMIF($AS$8:$AS$39,"&gt;0"),""))),IF(SUMIF(AJ11:$AJ$39,"=" &amp; AJ10,AI11:$AI$39)=0,"",SUMIF(AJ11:$AJ$39,"=" &amp; AJ10,AI11:$AI$39)))</f>
        <v>2.6905829596412557E-2</v>
      </c>
      <c r="AJ10" s="139">
        <f t="shared" ref="AJ10:AJ39" si="34">IF(OR(Z10=1,Z10=2,AA10&lt;AA9),AJ9+1,AJ9)</f>
        <v>0</v>
      </c>
      <c r="AK10" s="453">
        <f t="shared" si="27"/>
        <v>1</v>
      </c>
      <c r="AL10" s="146" t="str">
        <f t="shared" si="28"/>
        <v/>
      </c>
      <c r="AM10" s="146" t="str">
        <f t="shared" ref="AM10:AM39" si="35">IF(ISNUMBER(AK10),IF(ISNUMBER(AL10),1,""),"")</f>
        <v/>
      </c>
      <c r="AN10" s="146" t="str">
        <f t="shared" si="5"/>
        <v/>
      </c>
      <c r="AO10" s="146">
        <f t="shared" si="6"/>
        <v>1</v>
      </c>
      <c r="AP10" s="453" t="b">
        <f t="shared" si="7"/>
        <v>1</v>
      </c>
      <c r="AQ10" s="140">
        <f t="shared" si="29"/>
        <v>0</v>
      </c>
      <c r="AR10" s="141">
        <f t="shared" si="8"/>
        <v>0.3</v>
      </c>
      <c r="AS10" s="142">
        <f t="shared" si="30"/>
        <v>3</v>
      </c>
      <c r="AT10" s="141">
        <f t="shared" si="9"/>
        <v>0.6</v>
      </c>
      <c r="AU10" s="143">
        <f t="shared" si="10"/>
        <v>0</v>
      </c>
      <c r="AV10" s="144">
        <f t="shared" si="11"/>
        <v>0.3</v>
      </c>
      <c r="AW10" s="143" t="b">
        <f t="shared" si="12"/>
        <v>1</v>
      </c>
      <c r="AX10" s="145" t="b">
        <f t="shared" si="13"/>
        <v>0</v>
      </c>
      <c r="AY10" s="143" t="b">
        <f t="shared" si="14"/>
        <v>0</v>
      </c>
      <c r="AZ10" s="145" t="b">
        <f t="shared" si="15"/>
        <v>0</v>
      </c>
      <c r="BA10" s="453" t="b">
        <f t="shared" si="16"/>
        <v>0</v>
      </c>
      <c r="BB10" s="453" t="b">
        <f t="shared" si="17"/>
        <v>0</v>
      </c>
      <c r="BC10" s="143" t="b">
        <f t="shared" si="18"/>
        <v>0</v>
      </c>
      <c r="BD10" s="146" t="b">
        <f t="shared" si="31"/>
        <v>0</v>
      </c>
      <c r="BE10" s="145" t="b">
        <f t="shared" si="19"/>
        <v>0</v>
      </c>
      <c r="BF10" s="147" t="b">
        <f t="shared" si="20"/>
        <v>0</v>
      </c>
      <c r="BG10" s="453" t="b">
        <f t="shared" si="21"/>
        <v>1</v>
      </c>
      <c r="BH10" s="453">
        <f t="shared" si="32"/>
        <v>1</v>
      </c>
      <c r="BI10" s="453">
        <f t="shared" si="22"/>
        <v>1</v>
      </c>
      <c r="BJ10" s="453" t="str">
        <f t="shared" si="23"/>
        <v>1*</v>
      </c>
      <c r="BK10" s="453">
        <f t="shared" si="24"/>
        <v>2</v>
      </c>
      <c r="BL10" s="148">
        <f t="shared" si="33"/>
        <v>1</v>
      </c>
      <c r="BM10" s="453">
        <f t="shared" si="25"/>
        <v>1</v>
      </c>
      <c r="BN10" s="453">
        <f t="shared" si="26"/>
        <v>2</v>
      </c>
      <c r="BO10" s="155">
        <v>0</v>
      </c>
      <c r="BP10" s="156" t="s">
        <v>346</v>
      </c>
    </row>
    <row r="11" spans="2:73" s="94" customFormat="1" ht="12.95" customHeight="1" x14ac:dyDescent="0.2">
      <c r="B11" s="151">
        <f>IF(ISNA(Z11),"",IF(OR(Z11=1,Z11=2),"    ",MAX($B$8:B10)+1))</f>
        <v>3</v>
      </c>
      <c r="C11" s="904" t="str">
        <f t="shared" si="0"/>
        <v>Local Area Proc./Orientation/Comm (2.7%)</v>
      </c>
      <c r="D11" s="904"/>
      <c r="E11" s="904"/>
      <c r="F11" s="905"/>
      <c r="G11" s="133">
        <f t="shared" si="1"/>
        <v>1</v>
      </c>
      <c r="H11" s="134" t="str">
        <f t="shared" si="2"/>
        <v>2*</v>
      </c>
      <c r="I11" s="152">
        <f t="shared" si="2"/>
        <v>3</v>
      </c>
      <c r="J11" s="157"/>
      <c r="K11" s="154"/>
      <c r="L11" s="1015"/>
      <c r="M11" s="1016"/>
      <c r="N11" s="1016"/>
      <c r="O11" s="1016"/>
      <c r="P11" s="1016"/>
      <c r="Q11" s="1016"/>
      <c r="R11" s="1017"/>
      <c r="T11" s="99">
        <v>4</v>
      </c>
      <c r="U11" s="88" t="s">
        <v>345</v>
      </c>
      <c r="V11" s="453">
        <v>1</v>
      </c>
      <c r="W11" s="453" t="s">
        <v>340</v>
      </c>
      <c r="X11" s="453">
        <v>3</v>
      </c>
      <c r="Y11" s="453" t="s">
        <v>340</v>
      </c>
      <c r="Z11" s="146" t="s">
        <v>340</v>
      </c>
      <c r="AA11" s="146">
        <v>1</v>
      </c>
      <c r="AB11" s="146">
        <v>0</v>
      </c>
      <c r="AC11" s="453">
        <v>3</v>
      </c>
      <c r="AD11" s="453">
        <v>3</v>
      </c>
      <c r="AE11" s="453">
        <v>1</v>
      </c>
      <c r="AF11" s="453" t="b">
        <v>1</v>
      </c>
      <c r="AG11" s="453">
        <f t="shared" si="3"/>
        <v>3</v>
      </c>
      <c r="AH11" s="453">
        <f t="shared" si="4"/>
        <v>2</v>
      </c>
      <c r="AI11" s="138">
        <f>IF(NOT(OR(Z11=1,Z11=2)),IF(AQ11&gt;0,$AR$44*AQ11/SUMIF($AQ$8:$AQ$39,"&gt;0"),IF(AU11&gt;0,$AV$44*AU11/SUMIF($AU$8:$AU$39,"&gt;0"),IF(AS11&gt;0,$AT$44*AS11/SUMIF($AS$8:$AS$39,"&gt;0"),""))),IF(SUMIF(AJ12:$AJ$39,"=" &amp; AJ11,AI12:$AI$39)=0,"",SUMIF(AJ12:$AJ$39,"=" &amp; AJ11,AI12:$AI$39)))</f>
        <v>2.6905829596412557E-2</v>
      </c>
      <c r="AJ11" s="139">
        <f t="shared" si="34"/>
        <v>0</v>
      </c>
      <c r="AK11" s="453">
        <f t="shared" si="27"/>
        <v>2</v>
      </c>
      <c r="AL11" s="146" t="str">
        <f t="shared" si="28"/>
        <v/>
      </c>
      <c r="AM11" s="146" t="str">
        <f t="shared" si="35"/>
        <v/>
      </c>
      <c r="AN11" s="146" t="str">
        <f t="shared" si="5"/>
        <v/>
      </c>
      <c r="AO11" s="146">
        <f t="shared" si="6"/>
        <v>2</v>
      </c>
      <c r="AP11" s="453" t="b">
        <f t="shared" si="7"/>
        <v>1</v>
      </c>
      <c r="AQ11" s="140">
        <f t="shared" si="29"/>
        <v>0</v>
      </c>
      <c r="AR11" s="141">
        <f t="shared" si="8"/>
        <v>0</v>
      </c>
      <c r="AS11" s="142">
        <f t="shared" si="30"/>
        <v>3</v>
      </c>
      <c r="AT11" s="141">
        <f t="shared" si="9"/>
        <v>0.3</v>
      </c>
      <c r="AU11" s="143">
        <f t="shared" si="10"/>
        <v>0</v>
      </c>
      <c r="AV11" s="144">
        <f t="shared" si="11"/>
        <v>0</v>
      </c>
      <c r="AW11" s="143" t="b">
        <f t="shared" si="12"/>
        <v>1</v>
      </c>
      <c r="AX11" s="145" t="b">
        <f t="shared" si="13"/>
        <v>0</v>
      </c>
      <c r="AY11" s="143" t="b">
        <f t="shared" si="14"/>
        <v>0</v>
      </c>
      <c r="AZ11" s="145" t="b">
        <f t="shared" si="15"/>
        <v>0</v>
      </c>
      <c r="BA11" s="453" t="b">
        <f t="shared" si="16"/>
        <v>0</v>
      </c>
      <c r="BB11" s="453" t="b">
        <f t="shared" si="17"/>
        <v>0</v>
      </c>
      <c r="BC11" s="143" t="b">
        <f t="shared" si="18"/>
        <v>0</v>
      </c>
      <c r="BD11" s="146" t="b">
        <f t="shared" si="31"/>
        <v>0</v>
      </c>
      <c r="BE11" s="145" t="b">
        <f t="shared" si="19"/>
        <v>0</v>
      </c>
      <c r="BF11" s="147" t="b">
        <f t="shared" si="20"/>
        <v>0</v>
      </c>
      <c r="BG11" s="453" t="b">
        <f t="shared" si="21"/>
        <v>1</v>
      </c>
      <c r="BH11" s="453">
        <f t="shared" si="32"/>
        <v>1</v>
      </c>
      <c r="BI11" s="453">
        <f t="shared" si="22"/>
        <v>2</v>
      </c>
      <c r="BJ11" s="453" t="str">
        <f t="shared" si="23"/>
        <v>2*</v>
      </c>
      <c r="BK11" s="453">
        <f t="shared" si="24"/>
        <v>3</v>
      </c>
      <c r="BL11" s="148">
        <f t="shared" si="33"/>
        <v>1</v>
      </c>
      <c r="BM11" s="453">
        <f t="shared" si="25"/>
        <v>2</v>
      </c>
      <c r="BN11" s="453">
        <f t="shared" si="26"/>
        <v>3</v>
      </c>
      <c r="BO11" s="155">
        <v>1</v>
      </c>
      <c r="BP11" s="156" t="s">
        <v>348</v>
      </c>
    </row>
    <row r="12" spans="2:73" s="94" customFormat="1" ht="12.95" customHeight="1" x14ac:dyDescent="0.2">
      <c r="B12" s="151">
        <f>IF(ISNA(Z12),"",IF(OR(Z12=1,Z12=2),"    ",MAX($B$8:B11)+1))</f>
        <v>4</v>
      </c>
      <c r="C12" s="904" t="str">
        <f t="shared" si="0"/>
        <v>Situational Awareness/Judgement (2.7%)</v>
      </c>
      <c r="D12" s="904"/>
      <c r="E12" s="904"/>
      <c r="F12" s="905"/>
      <c r="G12" s="133">
        <f t="shared" si="1"/>
        <v>1</v>
      </c>
      <c r="H12" s="134" t="str">
        <f t="shared" si="2"/>
        <v>2*</v>
      </c>
      <c r="I12" s="152">
        <f t="shared" si="2"/>
        <v>3</v>
      </c>
      <c r="J12" s="157"/>
      <c r="K12" s="154"/>
      <c r="L12" s="1015"/>
      <c r="M12" s="1016"/>
      <c r="N12" s="1016"/>
      <c r="O12" s="1016"/>
      <c r="P12" s="1016"/>
      <c r="Q12" s="1016"/>
      <c r="R12" s="1017"/>
      <c r="T12" s="99">
        <v>5</v>
      </c>
      <c r="U12" s="88" t="s">
        <v>347</v>
      </c>
      <c r="V12" s="453">
        <v>1</v>
      </c>
      <c r="W12" s="453" t="s">
        <v>340</v>
      </c>
      <c r="X12" s="453">
        <v>3</v>
      </c>
      <c r="Y12" s="453" t="s">
        <v>340</v>
      </c>
      <c r="Z12" s="146" t="s">
        <v>340</v>
      </c>
      <c r="AA12" s="146">
        <v>1</v>
      </c>
      <c r="AB12" s="146">
        <v>0</v>
      </c>
      <c r="AC12" s="453">
        <v>3</v>
      </c>
      <c r="AD12" s="453">
        <v>3</v>
      </c>
      <c r="AE12" s="453">
        <v>1</v>
      </c>
      <c r="AF12" s="453" t="b">
        <v>1</v>
      </c>
      <c r="AG12" s="453">
        <f t="shared" si="3"/>
        <v>3</v>
      </c>
      <c r="AH12" s="453">
        <f t="shared" si="4"/>
        <v>2</v>
      </c>
      <c r="AI12" s="138">
        <f>IF(NOT(OR(Z12=1,Z12=2)),IF(AQ12&gt;0,$AR$44*AQ12/SUMIF($AQ$8:$AQ$39,"&gt;0"),IF(AU12&gt;0,$AV$44*AU12/SUMIF($AU$8:$AU$39,"&gt;0"),IF(AS12&gt;0,$AT$44*AS12/SUMIF($AS$8:$AS$39,"&gt;0"),""))),IF(SUMIF(AJ13:$AJ$39,"=" &amp; AJ12,AI13:$AI$39)=0,"",SUMIF(AJ13:$AJ$39,"=" &amp; AJ12,AI13:$AI$39)))</f>
        <v>2.6905829596412557E-2</v>
      </c>
      <c r="AJ12" s="139">
        <f t="shared" si="34"/>
        <v>0</v>
      </c>
      <c r="AK12" s="453">
        <f t="shared" si="27"/>
        <v>2</v>
      </c>
      <c r="AL12" s="146" t="str">
        <f t="shared" si="28"/>
        <v/>
      </c>
      <c r="AM12" s="146" t="str">
        <f t="shared" si="35"/>
        <v/>
      </c>
      <c r="AN12" s="146" t="str">
        <f t="shared" si="5"/>
        <v/>
      </c>
      <c r="AO12" s="146">
        <f t="shared" si="6"/>
        <v>2</v>
      </c>
      <c r="AP12" s="453" t="b">
        <f t="shared" si="7"/>
        <v>1</v>
      </c>
      <c r="AQ12" s="140">
        <f t="shared" si="29"/>
        <v>0</v>
      </c>
      <c r="AR12" s="141">
        <f t="shared" si="8"/>
        <v>0</v>
      </c>
      <c r="AS12" s="142">
        <f t="shared" si="30"/>
        <v>3</v>
      </c>
      <c r="AT12" s="141">
        <f t="shared" si="9"/>
        <v>0.3</v>
      </c>
      <c r="AU12" s="143">
        <f t="shared" si="10"/>
        <v>0</v>
      </c>
      <c r="AV12" s="144">
        <f t="shared" si="11"/>
        <v>0</v>
      </c>
      <c r="AW12" s="143" t="b">
        <f t="shared" si="12"/>
        <v>1</v>
      </c>
      <c r="AX12" s="145" t="b">
        <f t="shared" si="13"/>
        <v>0</v>
      </c>
      <c r="AY12" s="143" t="b">
        <f t="shared" si="14"/>
        <v>0</v>
      </c>
      <c r="AZ12" s="145" t="b">
        <f t="shared" si="15"/>
        <v>0</v>
      </c>
      <c r="BA12" s="453" t="b">
        <f t="shared" si="16"/>
        <v>0</v>
      </c>
      <c r="BB12" s="453" t="b">
        <f t="shared" si="17"/>
        <v>0</v>
      </c>
      <c r="BC12" s="143" t="b">
        <f t="shared" si="18"/>
        <v>0</v>
      </c>
      <c r="BD12" s="146" t="b">
        <f t="shared" si="31"/>
        <v>0</v>
      </c>
      <c r="BE12" s="145" t="b">
        <f t="shared" si="19"/>
        <v>0</v>
      </c>
      <c r="BF12" s="147" t="b">
        <f t="shared" si="20"/>
        <v>0</v>
      </c>
      <c r="BG12" s="453" t="b">
        <f t="shared" si="21"/>
        <v>1</v>
      </c>
      <c r="BH12" s="453">
        <f t="shared" si="32"/>
        <v>1</v>
      </c>
      <c r="BI12" s="453">
        <f t="shared" si="22"/>
        <v>2</v>
      </c>
      <c r="BJ12" s="453" t="str">
        <f t="shared" si="23"/>
        <v>2*</v>
      </c>
      <c r="BK12" s="453">
        <f t="shared" si="24"/>
        <v>3</v>
      </c>
      <c r="BL12" s="148">
        <f t="shared" si="33"/>
        <v>1</v>
      </c>
      <c r="BM12" s="453">
        <f t="shared" si="25"/>
        <v>2</v>
      </c>
      <c r="BN12" s="453">
        <f t="shared" si="26"/>
        <v>3</v>
      </c>
      <c r="BO12" s="155">
        <v>2</v>
      </c>
      <c r="BP12" s="156" t="s">
        <v>350</v>
      </c>
    </row>
    <row r="13" spans="2:73" s="94" customFormat="1" ht="12.95" customHeight="1" x14ac:dyDescent="0.2">
      <c r="B13" s="151">
        <f>IF(ISNA(Z13),"",IF(OR(Z13=1,Z13=2),"    ",MAX($B$8:B12)+1))</f>
        <v>5</v>
      </c>
      <c r="C13" s="904" t="str">
        <f t="shared" si="0"/>
        <v>Clearing/Visual Lookout (2.7%)</v>
      </c>
      <c r="D13" s="904"/>
      <c r="E13" s="904"/>
      <c r="F13" s="905"/>
      <c r="G13" s="133">
        <f t="shared" si="1"/>
        <v>1</v>
      </c>
      <c r="H13" s="134" t="str">
        <f t="shared" si="2"/>
        <v>2*</v>
      </c>
      <c r="I13" s="152">
        <f t="shared" si="2"/>
        <v>3</v>
      </c>
      <c r="J13" s="157"/>
      <c r="K13" s="154"/>
      <c r="L13" s="1015"/>
      <c r="M13" s="1016"/>
      <c r="N13" s="1016"/>
      <c r="O13" s="1016"/>
      <c r="P13" s="1016"/>
      <c r="Q13" s="1016"/>
      <c r="R13" s="1017"/>
      <c r="T13" s="99">
        <v>6</v>
      </c>
      <c r="U13" s="88" t="s">
        <v>349</v>
      </c>
      <c r="V13" s="453">
        <v>1</v>
      </c>
      <c r="W13" s="453" t="s">
        <v>340</v>
      </c>
      <c r="X13" s="453">
        <v>3</v>
      </c>
      <c r="Y13" s="453" t="s">
        <v>340</v>
      </c>
      <c r="Z13" s="146" t="s">
        <v>340</v>
      </c>
      <c r="AA13" s="146">
        <v>1</v>
      </c>
      <c r="AB13" s="146">
        <v>0</v>
      </c>
      <c r="AC13" s="453">
        <v>3</v>
      </c>
      <c r="AD13" s="453">
        <v>3</v>
      </c>
      <c r="AE13" s="453">
        <v>1</v>
      </c>
      <c r="AF13" s="453" t="b">
        <v>1</v>
      </c>
      <c r="AG13" s="453">
        <f t="shared" si="3"/>
        <v>3</v>
      </c>
      <c r="AH13" s="453">
        <f t="shared" si="4"/>
        <v>2</v>
      </c>
      <c r="AI13" s="138">
        <f>IF(NOT(OR(Z13=1,Z13=2)),IF(AQ13&gt;0,$AR$44*AQ13/SUMIF($AQ$8:$AQ$39,"&gt;0"),IF(AU13&gt;0,$AV$44*AU13/SUMIF($AU$8:$AU$39,"&gt;0"),IF(AS13&gt;0,$AT$44*AS13/SUMIF($AS$8:$AS$39,"&gt;0"),""))),IF(SUMIF(AJ14:$AJ$39,"=" &amp; AJ13,AI14:$AI$39)=0,"",SUMIF(AJ14:$AJ$39,"=" &amp; AJ13,AI14:$AI$39)))</f>
        <v>2.6905829596412557E-2</v>
      </c>
      <c r="AJ13" s="139">
        <f t="shared" si="34"/>
        <v>0</v>
      </c>
      <c r="AK13" s="453">
        <f t="shared" si="27"/>
        <v>2</v>
      </c>
      <c r="AL13" s="146" t="str">
        <f t="shared" si="28"/>
        <v/>
      </c>
      <c r="AM13" s="146" t="str">
        <f t="shared" si="35"/>
        <v/>
      </c>
      <c r="AN13" s="146" t="str">
        <f t="shared" si="5"/>
        <v/>
      </c>
      <c r="AO13" s="146">
        <f t="shared" si="6"/>
        <v>2</v>
      </c>
      <c r="AP13" s="453" t="b">
        <f t="shared" si="7"/>
        <v>1</v>
      </c>
      <c r="AQ13" s="140">
        <f t="shared" si="29"/>
        <v>0</v>
      </c>
      <c r="AR13" s="141">
        <f t="shared" si="8"/>
        <v>0</v>
      </c>
      <c r="AS13" s="142">
        <f t="shared" si="30"/>
        <v>3</v>
      </c>
      <c r="AT13" s="141">
        <f t="shared" si="9"/>
        <v>0.3</v>
      </c>
      <c r="AU13" s="143">
        <f t="shared" si="10"/>
        <v>0</v>
      </c>
      <c r="AV13" s="144">
        <f t="shared" si="11"/>
        <v>0</v>
      </c>
      <c r="AW13" s="143" t="b">
        <f t="shared" si="12"/>
        <v>1</v>
      </c>
      <c r="AX13" s="145" t="b">
        <f t="shared" si="13"/>
        <v>0</v>
      </c>
      <c r="AY13" s="143" t="b">
        <f t="shared" si="14"/>
        <v>0</v>
      </c>
      <c r="AZ13" s="145" t="b">
        <f t="shared" si="15"/>
        <v>0</v>
      </c>
      <c r="BA13" s="453" t="b">
        <f t="shared" si="16"/>
        <v>0</v>
      </c>
      <c r="BB13" s="453" t="b">
        <f t="shared" si="17"/>
        <v>0</v>
      </c>
      <c r="BC13" s="143" t="b">
        <f t="shared" si="18"/>
        <v>0</v>
      </c>
      <c r="BD13" s="146" t="b">
        <f t="shared" si="31"/>
        <v>0</v>
      </c>
      <c r="BE13" s="145" t="b">
        <f t="shared" si="19"/>
        <v>0</v>
      </c>
      <c r="BF13" s="147" t="b">
        <f t="shared" si="20"/>
        <v>0</v>
      </c>
      <c r="BG13" s="453" t="b">
        <f t="shared" si="21"/>
        <v>1</v>
      </c>
      <c r="BH13" s="453">
        <f t="shared" si="32"/>
        <v>1</v>
      </c>
      <c r="BI13" s="453">
        <f t="shared" si="22"/>
        <v>2</v>
      </c>
      <c r="BJ13" s="453" t="str">
        <f t="shared" si="23"/>
        <v>2*</v>
      </c>
      <c r="BK13" s="453">
        <f t="shared" si="24"/>
        <v>3</v>
      </c>
      <c r="BL13" s="148">
        <f t="shared" si="33"/>
        <v>1</v>
      </c>
      <c r="BM13" s="453">
        <f t="shared" si="25"/>
        <v>2</v>
      </c>
      <c r="BN13" s="453">
        <f t="shared" si="26"/>
        <v>3</v>
      </c>
      <c r="BO13" s="155">
        <v>3</v>
      </c>
      <c r="BP13" s="156" t="s">
        <v>352</v>
      </c>
    </row>
    <row r="14" spans="2:73" s="94" customFormat="1" ht="12.95" customHeight="1" x14ac:dyDescent="0.2">
      <c r="B14" s="151" t="str">
        <f>IF(ISNA(Z14),"",IF(OR(Z14=1,Z14=2),"    ",MAX($B$8:B13)+1))</f>
        <v xml:space="preserve">    </v>
      </c>
      <c r="C14" s="904" t="str">
        <f t="shared" si="0"/>
        <v>Academic Tasks</v>
      </c>
      <c r="D14" s="904"/>
      <c r="E14" s="904"/>
      <c r="F14" s="905"/>
      <c r="G14" s="133" t="str">
        <f t="shared" si="1"/>
        <v/>
      </c>
      <c r="H14" s="134" t="str">
        <f t="shared" si="2"/>
        <v/>
      </c>
      <c r="I14" s="152" t="str">
        <f t="shared" si="2"/>
        <v/>
      </c>
      <c r="J14" s="158"/>
      <c r="K14" s="159"/>
      <c r="L14" s="1015"/>
      <c r="M14" s="1016"/>
      <c r="N14" s="1016"/>
      <c r="O14" s="1016"/>
      <c r="P14" s="1016"/>
      <c r="Q14" s="1016"/>
      <c r="R14" s="1017"/>
      <c r="T14" s="99">
        <v>7</v>
      </c>
      <c r="U14" s="88" t="s">
        <v>351</v>
      </c>
      <c r="V14" s="453" t="s">
        <v>340</v>
      </c>
      <c r="W14" s="453" t="s">
        <v>340</v>
      </c>
      <c r="X14" s="453" t="s">
        <v>340</v>
      </c>
      <c r="Y14" s="453" t="s">
        <v>340</v>
      </c>
      <c r="Z14" s="146">
        <v>1</v>
      </c>
      <c r="AA14" s="146">
        <v>0</v>
      </c>
      <c r="AB14" s="146">
        <v>1</v>
      </c>
      <c r="AC14" s="453" t="s">
        <v>340</v>
      </c>
      <c r="AD14" s="453" t="s">
        <v>340</v>
      </c>
      <c r="AE14" s="453">
        <v>0</v>
      </c>
      <c r="AF14" s="453" t="s">
        <v>340</v>
      </c>
      <c r="AG14" s="453" t="str">
        <f t="shared" si="3"/>
        <v/>
      </c>
      <c r="AH14" s="453" t="str">
        <f t="shared" si="4"/>
        <v/>
      </c>
      <c r="AI14" s="138" t="str">
        <f>IF(NOT(OR(Z14=1,Z14=2)),IF(AQ14&gt;0,$AR$44*AQ14/SUMIF($AQ$8:$AQ$39,"&gt;0"),IF(AU14&gt;0,$AV$44*AU14/SUMIF($AU$8:$AU$39,"&gt;0"),IF(AS14&gt;0,$AT$44*AS14/SUMIF($AS$8:$AS$39,"&gt;0"),""))),IF(SUMIF(AJ15:$AJ$39,"=" &amp; AJ14,AI15:$AI$39)=0,"",SUMIF(AJ15:$AJ$39,"=" &amp; AJ14,AI15:$AI$39)))</f>
        <v/>
      </c>
      <c r="AJ14" s="139">
        <f t="shared" si="34"/>
        <v>1</v>
      </c>
      <c r="AK14" s="453" t="str">
        <f t="shared" si="27"/>
        <v/>
      </c>
      <c r="AL14" s="146" t="str">
        <f t="shared" si="28"/>
        <v/>
      </c>
      <c r="AM14" s="146" t="str">
        <f t="shared" si="35"/>
        <v/>
      </c>
      <c r="AN14" s="146" t="str">
        <f t="shared" si="5"/>
        <v/>
      </c>
      <c r="AO14" s="146" t="str">
        <f t="shared" si="6"/>
        <v/>
      </c>
      <c r="AP14" s="453" t="str">
        <f t="shared" si="7"/>
        <v/>
      </c>
      <c r="AQ14" s="140">
        <f t="shared" si="29"/>
        <v>0</v>
      </c>
      <c r="AR14" s="141" t="str">
        <f t="shared" si="8"/>
        <v/>
      </c>
      <c r="AS14" s="142">
        <f t="shared" si="30"/>
        <v>0</v>
      </c>
      <c r="AT14" s="141" t="str">
        <f t="shared" si="9"/>
        <v/>
      </c>
      <c r="AU14" s="143">
        <f t="shared" si="10"/>
        <v>0</v>
      </c>
      <c r="AV14" s="144" t="str">
        <f t="shared" si="11"/>
        <v/>
      </c>
      <c r="AW14" s="143" t="b">
        <f t="shared" si="12"/>
        <v>0</v>
      </c>
      <c r="AX14" s="145" t="b">
        <f t="shared" si="13"/>
        <v>0</v>
      </c>
      <c r="AY14" s="143" t="b">
        <f t="shared" si="14"/>
        <v>0</v>
      </c>
      <c r="AZ14" s="145" t="b">
        <f t="shared" si="15"/>
        <v>0</v>
      </c>
      <c r="BA14" s="453" t="b">
        <f t="shared" si="16"/>
        <v>0</v>
      </c>
      <c r="BB14" s="453" t="b">
        <f t="shared" si="17"/>
        <v>0</v>
      </c>
      <c r="BC14" s="143" t="b">
        <f t="shared" si="18"/>
        <v>0</v>
      </c>
      <c r="BD14" s="146" t="b">
        <f t="shared" si="31"/>
        <v>0</v>
      </c>
      <c r="BE14" s="145" t="b">
        <f t="shared" si="19"/>
        <v>0</v>
      </c>
      <c r="BF14" s="147" t="b">
        <f t="shared" si="20"/>
        <v>0</v>
      </c>
      <c r="BG14" s="453" t="b">
        <f t="shared" si="21"/>
        <v>0</v>
      </c>
      <c r="BH14" s="453" t="str">
        <f t="shared" si="32"/>
        <v/>
      </c>
      <c r="BI14" s="453" t="str">
        <f t="shared" si="22"/>
        <v/>
      </c>
      <c r="BJ14" s="453" t="str">
        <f t="shared" si="23"/>
        <v/>
      </c>
      <c r="BK14" s="453" t="str">
        <f t="shared" si="24"/>
        <v/>
      </c>
      <c r="BL14" s="148" t="str">
        <f t="shared" si="33"/>
        <v/>
      </c>
      <c r="BM14" s="453" t="str">
        <f t="shared" si="25"/>
        <v/>
      </c>
      <c r="BN14" s="453" t="str">
        <f t="shared" si="26"/>
        <v/>
      </c>
      <c r="BO14" s="155">
        <v>4</v>
      </c>
      <c r="BP14" s="156" t="s">
        <v>354</v>
      </c>
    </row>
    <row r="15" spans="2:73" s="94" customFormat="1" ht="12.95" customHeight="1" x14ac:dyDescent="0.2">
      <c r="B15" s="151" t="str">
        <f>IF(ISNA(Z15),"",IF(OR(Z15=1,Z15=2),"    ",MAX($B$8:B14)+1))</f>
        <v xml:space="preserve">    </v>
      </c>
      <c r="C15" s="904" t="str">
        <f t="shared" si="0"/>
        <v>Test Conduct (35.3%)</v>
      </c>
      <c r="D15" s="904"/>
      <c r="E15" s="904"/>
      <c r="F15" s="905"/>
      <c r="G15" s="133" t="str">
        <f t="shared" si="1"/>
        <v/>
      </c>
      <c r="H15" s="134" t="str">
        <f t="shared" si="2"/>
        <v/>
      </c>
      <c r="I15" s="152" t="str">
        <f t="shared" si="2"/>
        <v/>
      </c>
      <c r="J15" s="158"/>
      <c r="K15" s="159"/>
      <c r="L15" s="1015"/>
      <c r="M15" s="1016"/>
      <c r="N15" s="1016"/>
      <c r="O15" s="1016"/>
      <c r="P15" s="1016"/>
      <c r="Q15" s="1016"/>
      <c r="R15" s="1017"/>
      <c r="T15" s="99">
        <v>8</v>
      </c>
      <c r="U15" s="88" t="s">
        <v>353</v>
      </c>
      <c r="V15" s="453" t="s">
        <v>340</v>
      </c>
      <c r="W15" s="453" t="s">
        <v>340</v>
      </c>
      <c r="X15" s="453" t="s">
        <v>340</v>
      </c>
      <c r="Y15" s="453" t="s">
        <v>340</v>
      </c>
      <c r="Z15" s="146">
        <v>2</v>
      </c>
      <c r="AA15" s="146">
        <v>1</v>
      </c>
      <c r="AB15" s="146">
        <v>1</v>
      </c>
      <c r="AC15" s="453" t="s">
        <v>340</v>
      </c>
      <c r="AD15" s="453" t="s">
        <v>340</v>
      </c>
      <c r="AE15" s="453" t="s">
        <v>340</v>
      </c>
      <c r="AF15" s="453" t="s">
        <v>340</v>
      </c>
      <c r="AG15" s="453" t="str">
        <f t="shared" si="3"/>
        <v/>
      </c>
      <c r="AH15" s="453" t="str">
        <f t="shared" si="4"/>
        <v/>
      </c>
      <c r="AI15" s="138">
        <f>IF(NOT(OR(Z15=1,Z15=2)),IF(AQ15&gt;0,$AR$44*AQ15/SUMIF($AQ$8:$AQ$39,"&gt;0"),IF(AU15&gt;0,$AV$44*AU15/SUMIF($AU$8:$AU$39,"&gt;0"),IF(AS15&gt;0,$AT$44*AS15/SUMIF($AS$8:$AS$39,"&gt;0"),""))),IF(SUMIF(AJ16:$AJ$39,"=" &amp; AJ15,AI16:$AI$39)=0,"",SUMIF(AJ16:$AJ$39,"=" &amp; AJ15,AI16:$AI$39)))</f>
        <v>0.35317420418669193</v>
      </c>
      <c r="AJ15" s="139">
        <f t="shared" si="34"/>
        <v>2</v>
      </c>
      <c r="AK15" s="453" t="str">
        <f t="shared" si="27"/>
        <v/>
      </c>
      <c r="AL15" s="146" t="str">
        <f t="shared" si="28"/>
        <v/>
      </c>
      <c r="AM15" s="146" t="str">
        <f t="shared" si="35"/>
        <v/>
      </c>
      <c r="AN15" s="146" t="str">
        <f t="shared" si="5"/>
        <v/>
      </c>
      <c r="AO15" s="146" t="str">
        <f t="shared" si="6"/>
        <v/>
      </c>
      <c r="AP15" s="453" t="str">
        <f t="shared" si="7"/>
        <v/>
      </c>
      <c r="AQ15" s="140">
        <f t="shared" si="29"/>
        <v>0</v>
      </c>
      <c r="AR15" s="141" t="str">
        <f t="shared" si="8"/>
        <v/>
      </c>
      <c r="AS15" s="142">
        <f t="shared" si="30"/>
        <v>0</v>
      </c>
      <c r="AT15" s="141" t="str">
        <f t="shared" si="9"/>
        <v/>
      </c>
      <c r="AU15" s="143">
        <f t="shared" si="10"/>
        <v>0</v>
      </c>
      <c r="AV15" s="144" t="str">
        <f t="shared" si="11"/>
        <v/>
      </c>
      <c r="AW15" s="143" t="b">
        <f t="shared" si="12"/>
        <v>0</v>
      </c>
      <c r="AX15" s="145" t="b">
        <f t="shared" si="13"/>
        <v>0</v>
      </c>
      <c r="AY15" s="143" t="b">
        <f t="shared" si="14"/>
        <v>0</v>
      </c>
      <c r="AZ15" s="145" t="b">
        <f t="shared" si="15"/>
        <v>0</v>
      </c>
      <c r="BA15" s="453" t="b">
        <f t="shared" si="16"/>
        <v>0</v>
      </c>
      <c r="BB15" s="453" t="b">
        <f t="shared" si="17"/>
        <v>0</v>
      </c>
      <c r="BC15" s="143" t="b">
        <f t="shared" si="18"/>
        <v>0</v>
      </c>
      <c r="BD15" s="146" t="b">
        <f t="shared" si="31"/>
        <v>0</v>
      </c>
      <c r="BE15" s="145" t="b">
        <f t="shared" si="19"/>
        <v>0</v>
      </c>
      <c r="BF15" s="147" t="b">
        <f t="shared" si="20"/>
        <v>0</v>
      </c>
      <c r="BG15" s="453" t="b">
        <f t="shared" si="21"/>
        <v>0</v>
      </c>
      <c r="BH15" s="453" t="str">
        <f t="shared" si="32"/>
        <v/>
      </c>
      <c r="BI15" s="453" t="str">
        <f t="shared" si="22"/>
        <v/>
      </c>
      <c r="BJ15" s="453" t="str">
        <f t="shared" si="23"/>
        <v/>
      </c>
      <c r="BK15" s="453" t="str">
        <f t="shared" si="24"/>
        <v/>
      </c>
      <c r="BL15" s="148" t="str">
        <f t="shared" si="33"/>
        <v/>
      </c>
      <c r="BM15" s="453" t="str">
        <f t="shared" si="25"/>
        <v/>
      </c>
      <c r="BN15" s="453" t="str">
        <f t="shared" si="26"/>
        <v/>
      </c>
      <c r="BO15" s="90"/>
    </row>
    <row r="16" spans="2:73" s="94" customFormat="1" ht="12.95" customHeight="1" x14ac:dyDescent="0.2">
      <c r="B16" s="151">
        <f>IF(ISNA(Z16),"",IF(OR(Z16=1,Z16=2),"    ",MAX($B$8:B15)+1))</f>
        <v>6</v>
      </c>
      <c r="C16" s="904" t="str">
        <f t="shared" si="0"/>
        <v xml:space="preserve">      - Mission Preparation/Cards (5.0%)</v>
      </c>
      <c r="D16" s="904"/>
      <c r="E16" s="904"/>
      <c r="F16" s="905"/>
      <c r="G16" s="133">
        <f t="shared" si="1"/>
        <v>1</v>
      </c>
      <c r="H16" s="134" t="str">
        <f t="shared" si="2"/>
        <v>2*</v>
      </c>
      <c r="I16" s="152">
        <f t="shared" si="2"/>
        <v>3</v>
      </c>
      <c r="J16" s="157"/>
      <c r="K16" s="154"/>
      <c r="L16" s="1015"/>
      <c r="M16" s="1016"/>
      <c r="N16" s="1016"/>
      <c r="O16" s="1016"/>
      <c r="P16" s="1016"/>
      <c r="Q16" s="1016"/>
      <c r="R16" s="1017"/>
      <c r="T16" s="99">
        <v>9</v>
      </c>
      <c r="U16" s="88" t="s">
        <v>600</v>
      </c>
      <c r="V16" s="453">
        <v>1</v>
      </c>
      <c r="W16" s="453">
        <v>6.5</v>
      </c>
      <c r="X16" s="453" t="s">
        <v>340</v>
      </c>
      <c r="Y16" s="453" t="s">
        <v>340</v>
      </c>
      <c r="Z16" s="146" t="s">
        <v>340</v>
      </c>
      <c r="AA16" s="146">
        <v>2</v>
      </c>
      <c r="AB16" s="146">
        <v>1</v>
      </c>
      <c r="AC16" s="453">
        <v>3</v>
      </c>
      <c r="AD16" s="453">
        <v>2</v>
      </c>
      <c r="AE16" s="453">
        <v>1</v>
      </c>
      <c r="AF16" s="453" t="b">
        <v>1</v>
      </c>
      <c r="AG16" s="453">
        <f t="shared" si="3"/>
        <v>2</v>
      </c>
      <c r="AH16" s="453">
        <f t="shared" si="4"/>
        <v>1</v>
      </c>
      <c r="AI16" s="138">
        <f>IF(NOT(OR(Z16=1,Z16=2)),IF(AQ16&gt;0,$AR$44*AQ16/SUMIF($AQ$8:$AQ$39,"&gt;0"),IF(AU16&gt;0,$AV$44*AU16/SUMIF($AU$8:$AU$39,"&gt;0"),IF(AS16&gt;0,$AT$44*AS16/SUMIF($AS$8:$AS$39,"&gt;0"),""))),IF(SUMIF(AJ17:$AJ$39,"=" &amp; AJ16,AI17:$AI$39)=0,"",SUMIF(AJ17:$AJ$39,"=" &amp; AJ16,AI17:$AI$39)))</f>
        <v>5.0453457740955984E-2</v>
      </c>
      <c r="AJ16" s="139">
        <f t="shared" si="34"/>
        <v>2</v>
      </c>
      <c r="AK16" s="453">
        <f t="shared" si="27"/>
        <v>2</v>
      </c>
      <c r="AL16" s="146" t="str">
        <f t="shared" si="28"/>
        <v/>
      </c>
      <c r="AM16" s="146" t="str">
        <f t="shared" si="35"/>
        <v/>
      </c>
      <c r="AN16" s="146" t="str">
        <f t="shared" si="5"/>
        <v/>
      </c>
      <c r="AO16" s="146" t="str">
        <f t="shared" si="6"/>
        <v/>
      </c>
      <c r="AP16" s="453" t="b">
        <f t="shared" si="7"/>
        <v>1</v>
      </c>
      <c r="AQ16" s="140">
        <f t="shared" si="29"/>
        <v>6.5</v>
      </c>
      <c r="AR16" s="141">
        <f t="shared" si="8"/>
        <v>0.3</v>
      </c>
      <c r="AS16" s="142">
        <f t="shared" si="30"/>
        <v>0</v>
      </c>
      <c r="AT16" s="141">
        <f t="shared" si="9"/>
        <v>0.6</v>
      </c>
      <c r="AU16" s="143">
        <f t="shared" si="10"/>
        <v>0</v>
      </c>
      <c r="AV16" s="144">
        <f t="shared" si="11"/>
        <v>0.3</v>
      </c>
      <c r="AW16" s="143" t="b">
        <f t="shared" si="12"/>
        <v>0</v>
      </c>
      <c r="AX16" s="145" t="b">
        <f t="shared" si="13"/>
        <v>1</v>
      </c>
      <c r="AY16" s="143" t="b">
        <f t="shared" si="14"/>
        <v>0</v>
      </c>
      <c r="AZ16" s="145" t="b">
        <f t="shared" si="15"/>
        <v>0</v>
      </c>
      <c r="BA16" s="453" t="b">
        <f t="shared" si="16"/>
        <v>0</v>
      </c>
      <c r="BB16" s="453" t="b">
        <f t="shared" si="17"/>
        <v>0</v>
      </c>
      <c r="BC16" s="143" t="b">
        <f t="shared" si="18"/>
        <v>0</v>
      </c>
      <c r="BD16" s="146" t="b">
        <f t="shared" si="31"/>
        <v>0</v>
      </c>
      <c r="BE16" s="145" t="b">
        <f t="shared" si="19"/>
        <v>0</v>
      </c>
      <c r="BF16" s="147" t="b">
        <f t="shared" si="20"/>
        <v>0</v>
      </c>
      <c r="BG16" s="453" t="b">
        <f t="shared" si="21"/>
        <v>1</v>
      </c>
      <c r="BH16" s="453">
        <f t="shared" si="32"/>
        <v>1</v>
      </c>
      <c r="BI16" s="453">
        <f t="shared" si="22"/>
        <v>2</v>
      </c>
      <c r="BJ16" s="453" t="str">
        <f t="shared" si="23"/>
        <v>2*</v>
      </c>
      <c r="BK16" s="453">
        <f t="shared" si="24"/>
        <v>3</v>
      </c>
      <c r="BL16" s="148">
        <f t="shared" si="33"/>
        <v>1</v>
      </c>
      <c r="BM16" s="453">
        <f t="shared" si="25"/>
        <v>2</v>
      </c>
      <c r="BN16" s="453">
        <f t="shared" si="26"/>
        <v>3</v>
      </c>
      <c r="BO16" s="155"/>
      <c r="BP16" s="160"/>
    </row>
    <row r="17" spans="2:73" s="94" customFormat="1" ht="12.95" customHeight="1" x14ac:dyDescent="0.2">
      <c r="B17" s="151">
        <f>IF(ISNA(Z17),"",IF(OR(Z17=1,Z17=2),"    ",MAX($B$8:B16)+1))</f>
        <v>7</v>
      </c>
      <c r="C17" s="904" t="str">
        <f t="shared" si="0"/>
        <v xml:space="preserve">      - Mission Briefing (5.0%)</v>
      </c>
      <c r="D17" s="904"/>
      <c r="E17" s="904"/>
      <c r="F17" s="905"/>
      <c r="G17" s="133">
        <f t="shared" si="1"/>
        <v>1</v>
      </c>
      <c r="H17" s="134" t="str">
        <f t="shared" si="2"/>
        <v>2*</v>
      </c>
      <c r="I17" s="152">
        <f t="shared" si="2"/>
        <v>3</v>
      </c>
      <c r="J17" s="157"/>
      <c r="K17" s="154"/>
      <c r="L17" s="1015"/>
      <c r="M17" s="1016"/>
      <c r="N17" s="1016"/>
      <c r="O17" s="1016"/>
      <c r="P17" s="1016"/>
      <c r="Q17" s="1016"/>
      <c r="R17" s="1017"/>
      <c r="T17" s="99">
        <v>10</v>
      </c>
      <c r="U17" s="88" t="s">
        <v>621</v>
      </c>
      <c r="V17" s="453">
        <v>1</v>
      </c>
      <c r="W17" s="453">
        <v>6.5</v>
      </c>
      <c r="X17" s="453" t="s">
        <v>340</v>
      </c>
      <c r="Y17" s="453" t="s">
        <v>340</v>
      </c>
      <c r="Z17" s="146" t="s">
        <v>340</v>
      </c>
      <c r="AA17" s="146">
        <v>2</v>
      </c>
      <c r="AB17" s="146">
        <v>1</v>
      </c>
      <c r="AC17" s="453">
        <v>3</v>
      </c>
      <c r="AD17" s="453">
        <v>2</v>
      </c>
      <c r="AE17" s="453">
        <v>1</v>
      </c>
      <c r="AF17" s="453" t="b">
        <v>1</v>
      </c>
      <c r="AG17" s="453">
        <f t="shared" si="3"/>
        <v>2</v>
      </c>
      <c r="AH17" s="453">
        <f t="shared" si="4"/>
        <v>1</v>
      </c>
      <c r="AI17" s="138">
        <f>IF(NOT(OR(Z17=1,Z17=2)),IF(AQ17&gt;0,$AR$44*AQ17/SUMIF($AQ$8:$AQ$39,"&gt;0"),IF(AU17&gt;0,$AV$44*AU17/SUMIF($AU$8:$AU$39,"&gt;0"),IF(AS17&gt;0,$AT$44*AS17/SUMIF($AS$8:$AS$39,"&gt;0"),""))),IF(SUMIF(AJ18:$AJ$39,"=" &amp; AJ17,AI18:$AI$39)=0,"",SUMIF(AJ18:$AJ$39,"=" &amp; AJ17,AI18:$AI$39)))</f>
        <v>5.0453457740955984E-2</v>
      </c>
      <c r="AJ17" s="139">
        <f t="shared" si="34"/>
        <v>2</v>
      </c>
      <c r="AK17" s="453">
        <f t="shared" si="27"/>
        <v>2</v>
      </c>
      <c r="AL17" s="146" t="str">
        <f t="shared" si="28"/>
        <v/>
      </c>
      <c r="AM17" s="146" t="str">
        <f t="shared" si="35"/>
        <v/>
      </c>
      <c r="AN17" s="146" t="str">
        <f t="shared" si="5"/>
        <v/>
      </c>
      <c r="AO17" s="146" t="str">
        <f t="shared" si="6"/>
        <v/>
      </c>
      <c r="AP17" s="453" t="b">
        <f t="shared" si="7"/>
        <v>1</v>
      </c>
      <c r="AQ17" s="140">
        <f t="shared" si="29"/>
        <v>6.5</v>
      </c>
      <c r="AR17" s="141">
        <f t="shared" si="8"/>
        <v>0.3</v>
      </c>
      <c r="AS17" s="142">
        <f t="shared" si="30"/>
        <v>0</v>
      </c>
      <c r="AT17" s="141">
        <f t="shared" si="9"/>
        <v>0.6</v>
      </c>
      <c r="AU17" s="143">
        <f t="shared" si="10"/>
        <v>0</v>
      </c>
      <c r="AV17" s="144">
        <f t="shared" si="11"/>
        <v>0.3</v>
      </c>
      <c r="AW17" s="143" t="b">
        <f t="shared" si="12"/>
        <v>0</v>
      </c>
      <c r="AX17" s="145" t="b">
        <f t="shared" si="13"/>
        <v>1</v>
      </c>
      <c r="AY17" s="143" t="b">
        <f t="shared" si="14"/>
        <v>0</v>
      </c>
      <c r="AZ17" s="145" t="b">
        <f t="shared" si="15"/>
        <v>0</v>
      </c>
      <c r="BA17" s="453" t="b">
        <f t="shared" si="16"/>
        <v>0</v>
      </c>
      <c r="BB17" s="453" t="b">
        <f t="shared" si="17"/>
        <v>0</v>
      </c>
      <c r="BC17" s="143" t="b">
        <f t="shared" si="18"/>
        <v>0</v>
      </c>
      <c r="BD17" s="146" t="b">
        <f t="shared" si="31"/>
        <v>0</v>
      </c>
      <c r="BE17" s="145" t="b">
        <f t="shared" si="19"/>
        <v>0</v>
      </c>
      <c r="BF17" s="147" t="b">
        <f t="shared" si="20"/>
        <v>0</v>
      </c>
      <c r="BG17" s="453" t="b">
        <f t="shared" si="21"/>
        <v>1</v>
      </c>
      <c r="BH17" s="453">
        <f t="shared" si="32"/>
        <v>1</v>
      </c>
      <c r="BI17" s="453">
        <f t="shared" si="22"/>
        <v>2</v>
      </c>
      <c r="BJ17" s="453" t="str">
        <f t="shared" si="23"/>
        <v>2*</v>
      </c>
      <c r="BK17" s="453">
        <f t="shared" si="24"/>
        <v>3</v>
      </c>
      <c r="BL17" s="148">
        <f t="shared" si="33"/>
        <v>1</v>
      </c>
      <c r="BM17" s="453">
        <f t="shared" si="25"/>
        <v>2</v>
      </c>
      <c r="BN17" s="453">
        <f t="shared" si="26"/>
        <v>3</v>
      </c>
      <c r="BO17" s="90"/>
    </row>
    <row r="18" spans="2:73" s="94" customFormat="1" ht="12.95" customHeight="1" x14ac:dyDescent="0.2">
      <c r="B18" s="151">
        <f>IF(ISNA(Z18),"",IF(OR(Z18=1,Z18=2),"    ",MAX($B$8:B17)+1))</f>
        <v>8</v>
      </c>
      <c r="C18" s="904" t="str">
        <f t="shared" si="0"/>
        <v xml:space="preserve">      - Test Point Control (5.0%)</v>
      </c>
      <c r="D18" s="904"/>
      <c r="E18" s="904"/>
      <c r="F18" s="905"/>
      <c r="G18" s="133">
        <f t="shared" si="1"/>
        <v>1</v>
      </c>
      <c r="H18" s="134" t="str">
        <f t="shared" si="2"/>
        <v>2*</v>
      </c>
      <c r="I18" s="152">
        <f t="shared" si="2"/>
        <v>3</v>
      </c>
      <c r="J18" s="157"/>
      <c r="K18" s="154"/>
      <c r="L18" s="1015"/>
      <c r="M18" s="1016"/>
      <c r="N18" s="1016"/>
      <c r="O18" s="1016"/>
      <c r="P18" s="1016"/>
      <c r="Q18" s="1016"/>
      <c r="R18" s="1017"/>
      <c r="T18" s="99">
        <v>11</v>
      </c>
      <c r="U18" s="88" t="s">
        <v>734</v>
      </c>
      <c r="V18" s="453">
        <v>1</v>
      </c>
      <c r="W18" s="453">
        <v>6.5</v>
      </c>
      <c r="X18" s="453" t="s">
        <v>340</v>
      </c>
      <c r="Y18" s="453" t="s">
        <v>340</v>
      </c>
      <c r="Z18" s="146" t="s">
        <v>340</v>
      </c>
      <c r="AA18" s="146">
        <v>2</v>
      </c>
      <c r="AB18" s="146">
        <v>1</v>
      </c>
      <c r="AC18" s="453">
        <v>3</v>
      </c>
      <c r="AD18" s="453">
        <v>2</v>
      </c>
      <c r="AE18" s="453">
        <v>1</v>
      </c>
      <c r="AF18" s="453" t="b">
        <v>1</v>
      </c>
      <c r="AG18" s="453">
        <f t="shared" si="3"/>
        <v>2</v>
      </c>
      <c r="AH18" s="453">
        <f t="shared" si="4"/>
        <v>1</v>
      </c>
      <c r="AI18" s="138">
        <f>IF(NOT(OR(Z18=1,Z18=2)),IF(AQ18&gt;0,$AR$44*AQ18/SUMIF($AQ$8:$AQ$39,"&gt;0"),IF(AU18&gt;0,$AV$44*AU18/SUMIF($AU$8:$AU$39,"&gt;0"),IF(AS18&gt;0,$AT$44*AS18/SUMIF($AS$8:$AS$39,"&gt;0"),""))),IF(SUMIF(AJ19:$AJ$39,"=" &amp; AJ18,AI19:$AI$39)=0,"",SUMIF(AJ19:$AJ$39,"=" &amp; AJ18,AI19:$AI$39)))</f>
        <v>5.0453457740955984E-2</v>
      </c>
      <c r="AJ18" s="139">
        <f t="shared" si="34"/>
        <v>2</v>
      </c>
      <c r="AK18" s="453">
        <f t="shared" si="27"/>
        <v>2</v>
      </c>
      <c r="AL18" s="146" t="str">
        <f t="shared" si="28"/>
        <v/>
      </c>
      <c r="AM18" s="146" t="str">
        <f t="shared" si="35"/>
        <v/>
      </c>
      <c r="AN18" s="146" t="str">
        <f t="shared" si="5"/>
        <v/>
      </c>
      <c r="AO18" s="146" t="str">
        <f t="shared" si="6"/>
        <v/>
      </c>
      <c r="AP18" s="453" t="b">
        <f t="shared" si="7"/>
        <v>1</v>
      </c>
      <c r="AQ18" s="140">
        <f t="shared" si="29"/>
        <v>6.5</v>
      </c>
      <c r="AR18" s="141">
        <f t="shared" si="8"/>
        <v>0.3</v>
      </c>
      <c r="AS18" s="142">
        <f t="shared" si="30"/>
        <v>0</v>
      </c>
      <c r="AT18" s="141">
        <f t="shared" si="9"/>
        <v>0.6</v>
      </c>
      <c r="AU18" s="143">
        <f t="shared" si="10"/>
        <v>0</v>
      </c>
      <c r="AV18" s="144">
        <f t="shared" si="11"/>
        <v>0.3</v>
      </c>
      <c r="AW18" s="143" t="b">
        <f t="shared" si="12"/>
        <v>0</v>
      </c>
      <c r="AX18" s="145" t="b">
        <f t="shared" si="13"/>
        <v>1</v>
      </c>
      <c r="AY18" s="143" t="b">
        <f t="shared" si="14"/>
        <v>0</v>
      </c>
      <c r="AZ18" s="145" t="b">
        <f t="shared" si="15"/>
        <v>0</v>
      </c>
      <c r="BA18" s="453" t="b">
        <f t="shared" si="16"/>
        <v>0</v>
      </c>
      <c r="BB18" s="453" t="b">
        <f t="shared" si="17"/>
        <v>0</v>
      </c>
      <c r="BC18" s="143" t="b">
        <f t="shared" si="18"/>
        <v>0</v>
      </c>
      <c r="BD18" s="146" t="b">
        <f t="shared" si="31"/>
        <v>0</v>
      </c>
      <c r="BE18" s="145" t="b">
        <f t="shared" si="19"/>
        <v>0</v>
      </c>
      <c r="BF18" s="147" t="b">
        <f t="shared" si="20"/>
        <v>0</v>
      </c>
      <c r="BG18" s="453" t="b">
        <f t="shared" si="21"/>
        <v>1</v>
      </c>
      <c r="BH18" s="453">
        <f t="shared" si="32"/>
        <v>1</v>
      </c>
      <c r="BI18" s="453">
        <f t="shared" si="22"/>
        <v>2</v>
      </c>
      <c r="BJ18" s="453" t="str">
        <f t="shared" si="23"/>
        <v>2*</v>
      </c>
      <c r="BK18" s="453">
        <f t="shared" si="24"/>
        <v>3</v>
      </c>
      <c r="BL18" s="148">
        <f t="shared" si="33"/>
        <v>1</v>
      </c>
      <c r="BM18" s="453">
        <f t="shared" si="25"/>
        <v>2</v>
      </c>
      <c r="BN18" s="453">
        <f t="shared" si="26"/>
        <v>3</v>
      </c>
      <c r="BO18" s="300"/>
      <c r="BP18" s="160" t="s">
        <v>355</v>
      </c>
      <c r="BQ18" s="161"/>
      <c r="BR18" s="161"/>
      <c r="BS18" s="161"/>
      <c r="BT18" s="161"/>
      <c r="BU18" s="161"/>
    </row>
    <row r="19" spans="2:73" s="94" customFormat="1" ht="12.95" customHeight="1" x14ac:dyDescent="0.2">
      <c r="B19" s="151">
        <f>IF(ISNA(Z19),"",IF(OR(Z19=1,Z19=2),"    ",MAX($B$8:B18)+1))</f>
        <v>9</v>
      </c>
      <c r="C19" s="904" t="str">
        <f t="shared" si="0"/>
        <v xml:space="preserve">      - Test Point Communication (5.0%)</v>
      </c>
      <c r="D19" s="904"/>
      <c r="E19" s="904"/>
      <c r="F19" s="905"/>
      <c r="G19" s="133">
        <f t="shared" si="1"/>
        <v>1</v>
      </c>
      <c r="H19" s="134" t="str">
        <f t="shared" si="2"/>
        <v>2*</v>
      </c>
      <c r="I19" s="152">
        <f t="shared" si="2"/>
        <v>3</v>
      </c>
      <c r="J19" s="157"/>
      <c r="K19" s="154"/>
      <c r="L19" s="1015"/>
      <c r="M19" s="1016"/>
      <c r="N19" s="1016"/>
      <c r="O19" s="1016"/>
      <c r="P19" s="1016"/>
      <c r="Q19" s="1016"/>
      <c r="R19" s="1017"/>
      <c r="T19" s="99">
        <v>12</v>
      </c>
      <c r="U19" s="88" t="s">
        <v>735</v>
      </c>
      <c r="V19" s="453">
        <v>1</v>
      </c>
      <c r="W19" s="453">
        <v>6.5</v>
      </c>
      <c r="X19" s="453" t="s">
        <v>340</v>
      </c>
      <c r="Y19" s="453" t="s">
        <v>340</v>
      </c>
      <c r="Z19" s="146" t="s">
        <v>340</v>
      </c>
      <c r="AA19" s="146">
        <v>2</v>
      </c>
      <c r="AB19" s="146">
        <v>1</v>
      </c>
      <c r="AC19" s="453">
        <v>3</v>
      </c>
      <c r="AD19" s="453">
        <v>2</v>
      </c>
      <c r="AE19" s="453">
        <v>1</v>
      </c>
      <c r="AF19" s="453" t="b">
        <v>1</v>
      </c>
      <c r="AG19" s="453">
        <f t="shared" si="3"/>
        <v>2</v>
      </c>
      <c r="AH19" s="453">
        <f t="shared" si="4"/>
        <v>1</v>
      </c>
      <c r="AI19" s="138">
        <f>IF(NOT(OR(Z19=1,Z19=2)),IF(AQ19&gt;0,$AR$44*AQ19/SUMIF($AQ$8:$AQ$39,"&gt;0"),IF(AU19&gt;0,$AV$44*AU19/SUMIF($AU$8:$AU$39,"&gt;0"),IF(AS19&gt;0,$AT$44*AS19/SUMIF($AS$8:$AS$39,"&gt;0"),""))),IF(SUMIF(AJ20:$AJ$39,"=" &amp; AJ19,AI20:$AI$39)=0,"",SUMIF(AJ20:$AJ$39,"=" &amp; AJ19,AI20:$AI$39)))</f>
        <v>5.0453457740955984E-2</v>
      </c>
      <c r="AJ19" s="139">
        <f t="shared" si="34"/>
        <v>2</v>
      </c>
      <c r="AK19" s="453">
        <f t="shared" si="27"/>
        <v>2</v>
      </c>
      <c r="AL19" s="146" t="str">
        <f t="shared" si="28"/>
        <v/>
      </c>
      <c r="AM19" s="146" t="str">
        <f t="shared" si="35"/>
        <v/>
      </c>
      <c r="AN19" s="146" t="str">
        <f t="shared" si="5"/>
        <v/>
      </c>
      <c r="AO19" s="146" t="str">
        <f t="shared" si="6"/>
        <v/>
      </c>
      <c r="AP19" s="453" t="b">
        <f t="shared" si="7"/>
        <v>1</v>
      </c>
      <c r="AQ19" s="140">
        <f t="shared" si="29"/>
        <v>6.5</v>
      </c>
      <c r="AR19" s="141">
        <f t="shared" si="8"/>
        <v>0.3</v>
      </c>
      <c r="AS19" s="142">
        <f t="shared" si="30"/>
        <v>0</v>
      </c>
      <c r="AT19" s="141">
        <f t="shared" si="9"/>
        <v>0.6</v>
      </c>
      <c r="AU19" s="143">
        <f t="shared" si="10"/>
        <v>0</v>
      </c>
      <c r="AV19" s="144">
        <f t="shared" si="11"/>
        <v>0.3</v>
      </c>
      <c r="AW19" s="143" t="b">
        <f t="shared" si="12"/>
        <v>0</v>
      </c>
      <c r="AX19" s="145" t="b">
        <f t="shared" si="13"/>
        <v>1</v>
      </c>
      <c r="AY19" s="143" t="b">
        <f t="shared" si="14"/>
        <v>0</v>
      </c>
      <c r="AZ19" s="145" t="b">
        <f t="shared" si="15"/>
        <v>0</v>
      </c>
      <c r="BA19" s="453" t="b">
        <f t="shared" si="16"/>
        <v>0</v>
      </c>
      <c r="BB19" s="453" t="b">
        <f t="shared" si="17"/>
        <v>0</v>
      </c>
      <c r="BC19" s="143" t="b">
        <f t="shared" si="18"/>
        <v>0</v>
      </c>
      <c r="BD19" s="146" t="b">
        <f t="shared" si="31"/>
        <v>0</v>
      </c>
      <c r="BE19" s="145" t="b">
        <f t="shared" si="19"/>
        <v>0</v>
      </c>
      <c r="BF19" s="147" t="b">
        <f t="shared" si="20"/>
        <v>0</v>
      </c>
      <c r="BG19" s="453" t="b">
        <f t="shared" si="21"/>
        <v>1</v>
      </c>
      <c r="BH19" s="453">
        <f t="shared" si="32"/>
        <v>1</v>
      </c>
      <c r="BI19" s="453">
        <f t="shared" si="22"/>
        <v>2</v>
      </c>
      <c r="BJ19" s="453" t="str">
        <f t="shared" si="23"/>
        <v>2*</v>
      </c>
      <c r="BK19" s="453">
        <f t="shared" si="24"/>
        <v>3</v>
      </c>
      <c r="BL19" s="148">
        <f t="shared" si="33"/>
        <v>1</v>
      </c>
      <c r="BM19" s="453">
        <f t="shared" si="25"/>
        <v>2</v>
      </c>
      <c r="BN19" s="453">
        <f t="shared" si="26"/>
        <v>3</v>
      </c>
      <c r="BO19" s="300"/>
      <c r="BP19" s="150"/>
      <c r="BQ19" s="935" t="s">
        <v>356</v>
      </c>
      <c r="BR19" s="935"/>
      <c r="BS19" s="935"/>
      <c r="BT19" s="935"/>
      <c r="BU19" s="935"/>
    </row>
    <row r="20" spans="2:73" s="94" customFormat="1" ht="12.95" customHeight="1" x14ac:dyDescent="0.2">
      <c r="B20" s="151">
        <f>IF(ISNA(Z20),"",IF(OR(Z20=1,Z20=2),"    ",MAX($B$8:B19)+1))</f>
        <v>10</v>
      </c>
      <c r="C20" s="904" t="str">
        <f t="shared" si="0"/>
        <v xml:space="preserve">      - CRM - Awareness (5.0%)</v>
      </c>
      <c r="D20" s="904"/>
      <c r="E20" s="904"/>
      <c r="F20" s="905"/>
      <c r="G20" s="133">
        <f t="shared" si="1"/>
        <v>1</v>
      </c>
      <c r="H20" s="134" t="str">
        <f t="shared" si="2"/>
        <v>2*</v>
      </c>
      <c r="I20" s="152">
        <f t="shared" si="2"/>
        <v>3</v>
      </c>
      <c r="J20" s="157"/>
      <c r="K20" s="154"/>
      <c r="L20" s="1015"/>
      <c r="M20" s="1016"/>
      <c r="N20" s="1016"/>
      <c r="O20" s="1016"/>
      <c r="P20" s="1016"/>
      <c r="Q20" s="1016"/>
      <c r="R20" s="1017"/>
      <c r="T20" s="99">
        <v>13</v>
      </c>
      <c r="U20" s="88" t="s">
        <v>736</v>
      </c>
      <c r="V20" s="453">
        <v>1</v>
      </c>
      <c r="W20" s="453">
        <v>6.5</v>
      </c>
      <c r="X20" s="453" t="s">
        <v>340</v>
      </c>
      <c r="Y20" s="453" t="s">
        <v>340</v>
      </c>
      <c r="Z20" s="146" t="s">
        <v>340</v>
      </c>
      <c r="AA20" s="146">
        <v>2</v>
      </c>
      <c r="AB20" s="146">
        <v>1</v>
      </c>
      <c r="AC20" s="453">
        <v>3</v>
      </c>
      <c r="AD20" s="453">
        <v>2</v>
      </c>
      <c r="AE20" s="453">
        <v>1</v>
      </c>
      <c r="AF20" s="453" t="b">
        <v>1</v>
      </c>
      <c r="AG20" s="453">
        <f t="shared" si="3"/>
        <v>2</v>
      </c>
      <c r="AH20" s="453">
        <f t="shared" si="4"/>
        <v>1</v>
      </c>
      <c r="AI20" s="138">
        <f>IF(NOT(OR(Z20=1,Z20=2)),IF(AQ20&gt;0,$AR$44*AQ20/SUMIF($AQ$8:$AQ$39,"&gt;0"),IF(AU20&gt;0,$AV$44*AU20/SUMIF($AU$8:$AU$39,"&gt;0"),IF(AS20&gt;0,$AT$44*AS20/SUMIF($AS$8:$AS$39,"&gt;0"),""))),IF(SUMIF(AJ21:$AJ$39,"=" &amp; AJ20,AI21:$AI$39)=0,"",SUMIF(AJ21:$AJ$39,"=" &amp; AJ20,AI21:$AI$39)))</f>
        <v>5.0453457740955984E-2</v>
      </c>
      <c r="AJ20" s="139">
        <f t="shared" si="34"/>
        <v>2</v>
      </c>
      <c r="AK20" s="453">
        <f t="shared" si="27"/>
        <v>2</v>
      </c>
      <c r="AL20" s="146" t="str">
        <f t="shared" si="28"/>
        <v/>
      </c>
      <c r="AM20" s="146" t="str">
        <f t="shared" si="35"/>
        <v/>
      </c>
      <c r="AN20" s="146" t="str">
        <f t="shared" si="5"/>
        <v/>
      </c>
      <c r="AO20" s="146" t="str">
        <f t="shared" si="6"/>
        <v/>
      </c>
      <c r="AP20" s="453" t="b">
        <f t="shared" si="7"/>
        <v>1</v>
      </c>
      <c r="AQ20" s="140">
        <f t="shared" si="29"/>
        <v>6.5</v>
      </c>
      <c r="AR20" s="141">
        <f t="shared" si="8"/>
        <v>0.3</v>
      </c>
      <c r="AS20" s="142">
        <f t="shared" si="30"/>
        <v>0</v>
      </c>
      <c r="AT20" s="141">
        <f t="shared" si="9"/>
        <v>0.6</v>
      </c>
      <c r="AU20" s="143">
        <f t="shared" si="10"/>
        <v>0</v>
      </c>
      <c r="AV20" s="144">
        <f t="shared" si="11"/>
        <v>0.3</v>
      </c>
      <c r="AW20" s="143" t="b">
        <f t="shared" si="12"/>
        <v>0</v>
      </c>
      <c r="AX20" s="145" t="b">
        <f t="shared" si="13"/>
        <v>1</v>
      </c>
      <c r="AY20" s="143" t="b">
        <f t="shared" si="14"/>
        <v>0</v>
      </c>
      <c r="AZ20" s="145" t="b">
        <f t="shared" si="15"/>
        <v>0</v>
      </c>
      <c r="BA20" s="453" t="b">
        <f t="shared" si="16"/>
        <v>0</v>
      </c>
      <c r="BB20" s="453" t="b">
        <f t="shared" si="17"/>
        <v>0</v>
      </c>
      <c r="BC20" s="143" t="b">
        <f t="shared" si="18"/>
        <v>0</v>
      </c>
      <c r="BD20" s="146" t="b">
        <f t="shared" si="31"/>
        <v>0</v>
      </c>
      <c r="BE20" s="145" t="b">
        <f t="shared" si="19"/>
        <v>0</v>
      </c>
      <c r="BF20" s="147" t="b">
        <f t="shared" si="20"/>
        <v>0</v>
      </c>
      <c r="BG20" s="453" t="b">
        <f t="shared" si="21"/>
        <v>1</v>
      </c>
      <c r="BH20" s="453">
        <f t="shared" si="32"/>
        <v>1</v>
      </c>
      <c r="BI20" s="453">
        <f t="shared" si="22"/>
        <v>2</v>
      </c>
      <c r="BJ20" s="453" t="str">
        <f t="shared" si="23"/>
        <v>2*</v>
      </c>
      <c r="BK20" s="453">
        <f t="shared" si="24"/>
        <v>3</v>
      </c>
      <c r="BL20" s="148">
        <f t="shared" si="33"/>
        <v>1</v>
      </c>
      <c r="BM20" s="453">
        <f t="shared" si="25"/>
        <v>2</v>
      </c>
      <c r="BN20" s="453">
        <f t="shared" si="26"/>
        <v>3</v>
      </c>
      <c r="BO20" s="300"/>
      <c r="BP20" s="300"/>
      <c r="BQ20" s="300">
        <v>0</v>
      </c>
      <c r="BR20" s="300">
        <v>1</v>
      </c>
      <c r="BS20" s="300">
        <v>2</v>
      </c>
      <c r="BT20" s="300">
        <v>3</v>
      </c>
      <c r="BU20" s="300">
        <v>4</v>
      </c>
    </row>
    <row r="21" spans="2:73" s="94" customFormat="1" ht="12.95" customHeight="1" x14ac:dyDescent="0.2">
      <c r="B21" s="151">
        <f>IF(ISNA(Z21),"",IF(OR(Z21=1,Z21=2),"    ",MAX($B$8:B20)+1))</f>
        <v>11</v>
      </c>
      <c r="C21" s="904" t="str">
        <f t="shared" si="0"/>
        <v xml:space="preserve">      - CRM - Adaptation (5.0%)</v>
      </c>
      <c r="D21" s="904"/>
      <c r="E21" s="904"/>
      <c r="F21" s="905"/>
      <c r="G21" s="133">
        <f t="shared" si="1"/>
        <v>1</v>
      </c>
      <c r="H21" s="134" t="str">
        <f t="shared" si="2"/>
        <v>2*</v>
      </c>
      <c r="I21" s="152">
        <f t="shared" si="2"/>
        <v>3</v>
      </c>
      <c r="J21" s="157"/>
      <c r="K21" s="154"/>
      <c r="L21" s="1015"/>
      <c r="M21" s="1016"/>
      <c r="N21" s="1016"/>
      <c r="O21" s="1016"/>
      <c r="P21" s="1016"/>
      <c r="Q21" s="1016"/>
      <c r="R21" s="1017"/>
      <c r="T21" s="99">
        <v>14</v>
      </c>
      <c r="U21" s="88" t="s">
        <v>737</v>
      </c>
      <c r="V21" s="453">
        <v>1</v>
      </c>
      <c r="W21" s="453">
        <v>6.5</v>
      </c>
      <c r="X21" s="453" t="s">
        <v>340</v>
      </c>
      <c r="Y21" s="453" t="s">
        <v>340</v>
      </c>
      <c r="Z21" s="146" t="s">
        <v>340</v>
      </c>
      <c r="AA21" s="146">
        <v>2</v>
      </c>
      <c r="AB21" s="146">
        <v>1</v>
      </c>
      <c r="AC21" s="453">
        <v>3</v>
      </c>
      <c r="AD21" s="453">
        <v>2</v>
      </c>
      <c r="AE21" s="453">
        <v>1</v>
      </c>
      <c r="AF21" s="453" t="b">
        <v>1</v>
      </c>
      <c r="AG21" s="453">
        <f t="shared" si="3"/>
        <v>2</v>
      </c>
      <c r="AH21" s="453">
        <f t="shared" si="4"/>
        <v>1</v>
      </c>
      <c r="AI21" s="138">
        <f>IF(NOT(OR(Z21=1,Z21=2)),IF(AQ21&gt;0,$AR$44*AQ21/SUMIF($AQ$8:$AQ$39,"&gt;0"),IF(AU21&gt;0,$AV$44*AU21/SUMIF($AU$8:$AU$39,"&gt;0"),IF(AS21&gt;0,$AT$44*AS21/SUMIF($AS$8:$AS$39,"&gt;0"),""))),IF(SUMIF(AJ22:$AJ$39,"=" &amp; AJ21,AI22:$AI$39)=0,"",SUMIF(AJ22:$AJ$39,"=" &amp; AJ21,AI22:$AI$39)))</f>
        <v>5.0453457740955984E-2</v>
      </c>
      <c r="AJ21" s="139">
        <f t="shared" si="34"/>
        <v>2</v>
      </c>
      <c r="AK21" s="453">
        <f t="shared" si="27"/>
        <v>2</v>
      </c>
      <c r="AL21" s="146" t="str">
        <f t="shared" si="28"/>
        <v/>
      </c>
      <c r="AM21" s="146" t="str">
        <f t="shared" si="35"/>
        <v/>
      </c>
      <c r="AN21" s="146" t="str">
        <f t="shared" si="5"/>
        <v/>
      </c>
      <c r="AO21" s="146" t="str">
        <f t="shared" si="6"/>
        <v/>
      </c>
      <c r="AP21" s="453" t="b">
        <f t="shared" si="7"/>
        <v>1</v>
      </c>
      <c r="AQ21" s="140">
        <f t="shared" si="29"/>
        <v>6.5</v>
      </c>
      <c r="AR21" s="141">
        <f t="shared" si="8"/>
        <v>0.3</v>
      </c>
      <c r="AS21" s="142">
        <f t="shared" si="30"/>
        <v>0</v>
      </c>
      <c r="AT21" s="141">
        <f t="shared" si="9"/>
        <v>0.6</v>
      </c>
      <c r="AU21" s="143">
        <f t="shared" si="10"/>
        <v>0</v>
      </c>
      <c r="AV21" s="144">
        <f t="shared" si="11"/>
        <v>0.3</v>
      </c>
      <c r="AW21" s="143" t="b">
        <f t="shared" si="12"/>
        <v>0</v>
      </c>
      <c r="AX21" s="145" t="b">
        <f t="shared" si="13"/>
        <v>1</v>
      </c>
      <c r="AY21" s="143" t="b">
        <f t="shared" si="14"/>
        <v>0</v>
      </c>
      <c r="AZ21" s="145" t="b">
        <f t="shared" si="15"/>
        <v>0</v>
      </c>
      <c r="BA21" s="453" t="b">
        <f t="shared" si="16"/>
        <v>0</v>
      </c>
      <c r="BB21" s="453" t="b">
        <f t="shared" si="17"/>
        <v>0</v>
      </c>
      <c r="BC21" s="143" t="b">
        <f t="shared" si="18"/>
        <v>0</v>
      </c>
      <c r="BD21" s="146" t="b">
        <f t="shared" si="31"/>
        <v>0</v>
      </c>
      <c r="BE21" s="145" t="b">
        <f t="shared" si="19"/>
        <v>0</v>
      </c>
      <c r="BF21" s="147" t="b">
        <f t="shared" si="20"/>
        <v>0</v>
      </c>
      <c r="BG21" s="453" t="b">
        <f t="shared" si="21"/>
        <v>1</v>
      </c>
      <c r="BH21" s="453">
        <f t="shared" si="32"/>
        <v>1</v>
      </c>
      <c r="BI21" s="453">
        <f t="shared" si="22"/>
        <v>2</v>
      </c>
      <c r="BJ21" s="453" t="str">
        <f t="shared" si="23"/>
        <v>2*</v>
      </c>
      <c r="BK21" s="453">
        <f t="shared" si="24"/>
        <v>3</v>
      </c>
      <c r="BL21" s="148">
        <f t="shared" si="33"/>
        <v>1</v>
      </c>
      <c r="BM21" s="453">
        <f t="shared" si="25"/>
        <v>2</v>
      </c>
      <c r="BN21" s="453">
        <f t="shared" si="26"/>
        <v>3</v>
      </c>
      <c r="BO21" s="936" t="s">
        <v>358</v>
      </c>
      <c r="BP21" s="300" t="s">
        <v>359</v>
      </c>
      <c r="BQ21" s="162">
        <f t="shared" ref="BQ21:BU29" si="36">AR50</f>
        <v>0.7</v>
      </c>
      <c r="BR21" s="163">
        <f t="shared" si="36"/>
        <v>0.9</v>
      </c>
      <c r="BS21" s="163">
        <f t="shared" si="36"/>
        <v>0.93330000000000002</v>
      </c>
      <c r="BT21" s="163">
        <f t="shared" si="36"/>
        <v>0.9667</v>
      </c>
      <c r="BU21" s="164">
        <f t="shared" si="36"/>
        <v>1</v>
      </c>
    </row>
    <row r="22" spans="2:73" s="94" customFormat="1" ht="12.95" customHeight="1" x14ac:dyDescent="0.2">
      <c r="B22" s="151">
        <f>IF(ISNA(Z22),"",IF(OR(Z22=1,Z22=2),"    ",MAX($B$8:B21)+1))</f>
        <v>12</v>
      </c>
      <c r="C22" s="904" t="str">
        <f t="shared" si="0"/>
        <v xml:space="preserve">      - CRM - Communication (5.0%)</v>
      </c>
      <c r="D22" s="904"/>
      <c r="E22" s="904"/>
      <c r="F22" s="905"/>
      <c r="G22" s="133">
        <f t="shared" si="1"/>
        <v>1</v>
      </c>
      <c r="H22" s="134" t="str">
        <f t="shared" si="2"/>
        <v>2*</v>
      </c>
      <c r="I22" s="152">
        <f t="shared" si="2"/>
        <v>3</v>
      </c>
      <c r="J22" s="157"/>
      <c r="K22" s="154"/>
      <c r="L22" s="1015"/>
      <c r="M22" s="1016"/>
      <c r="N22" s="1016"/>
      <c r="O22" s="1016"/>
      <c r="P22" s="1016"/>
      <c r="Q22" s="1016"/>
      <c r="R22" s="1017"/>
      <c r="T22" s="99">
        <v>15</v>
      </c>
      <c r="U22" s="88" t="s">
        <v>738</v>
      </c>
      <c r="V22" s="453">
        <v>1</v>
      </c>
      <c r="W22" s="453">
        <v>6.5</v>
      </c>
      <c r="X22" s="453" t="s">
        <v>340</v>
      </c>
      <c r="Y22" s="453" t="s">
        <v>340</v>
      </c>
      <c r="Z22" s="146" t="s">
        <v>340</v>
      </c>
      <c r="AA22" s="146">
        <v>2</v>
      </c>
      <c r="AB22" s="146">
        <v>1</v>
      </c>
      <c r="AC22" s="453">
        <v>3</v>
      </c>
      <c r="AD22" s="453">
        <v>2</v>
      </c>
      <c r="AE22" s="453">
        <v>1</v>
      </c>
      <c r="AF22" s="453" t="b">
        <v>1</v>
      </c>
      <c r="AG22" s="453">
        <f t="shared" si="3"/>
        <v>2</v>
      </c>
      <c r="AH22" s="453">
        <f t="shared" si="4"/>
        <v>1</v>
      </c>
      <c r="AI22" s="138">
        <f>IF(NOT(OR(Z22=1,Z22=2)),IF(AQ22&gt;0,$AR$44*AQ22/SUMIF($AQ$8:$AQ$39,"&gt;0"),IF(AU22&gt;0,$AV$44*AU22/SUMIF($AU$8:$AU$39,"&gt;0"),IF(AS22&gt;0,$AT$44*AS22/SUMIF($AS$8:$AS$39,"&gt;0"),""))),IF(SUMIF(AJ23:$AJ$39,"=" &amp; AJ22,AI23:$AI$39)=0,"",SUMIF(AJ23:$AJ$39,"=" &amp; AJ22,AI23:$AI$39)))</f>
        <v>5.0453457740955984E-2</v>
      </c>
      <c r="AJ22" s="139">
        <f t="shared" si="34"/>
        <v>2</v>
      </c>
      <c r="AK22" s="453">
        <f t="shared" si="27"/>
        <v>2</v>
      </c>
      <c r="AL22" s="146" t="str">
        <f t="shared" si="28"/>
        <v/>
      </c>
      <c r="AM22" s="146" t="str">
        <f t="shared" si="35"/>
        <v/>
      </c>
      <c r="AN22" s="146" t="str">
        <f t="shared" si="5"/>
        <v/>
      </c>
      <c r="AO22" s="146" t="str">
        <f t="shared" si="6"/>
        <v/>
      </c>
      <c r="AP22" s="453" t="b">
        <f t="shared" si="7"/>
        <v>1</v>
      </c>
      <c r="AQ22" s="140">
        <f t="shared" si="29"/>
        <v>6.5</v>
      </c>
      <c r="AR22" s="141">
        <f t="shared" si="8"/>
        <v>0.3</v>
      </c>
      <c r="AS22" s="142">
        <f t="shared" si="30"/>
        <v>0</v>
      </c>
      <c r="AT22" s="141">
        <f t="shared" si="9"/>
        <v>0.6</v>
      </c>
      <c r="AU22" s="143">
        <f t="shared" si="10"/>
        <v>0</v>
      </c>
      <c r="AV22" s="144">
        <f t="shared" si="11"/>
        <v>0.3</v>
      </c>
      <c r="AW22" s="143" t="b">
        <f t="shared" si="12"/>
        <v>0</v>
      </c>
      <c r="AX22" s="145" t="b">
        <f t="shared" si="13"/>
        <v>1</v>
      </c>
      <c r="AY22" s="143" t="b">
        <f t="shared" si="14"/>
        <v>0</v>
      </c>
      <c r="AZ22" s="145" t="b">
        <f t="shared" si="15"/>
        <v>0</v>
      </c>
      <c r="BA22" s="453" t="b">
        <f t="shared" si="16"/>
        <v>0</v>
      </c>
      <c r="BB22" s="453" t="b">
        <f t="shared" si="17"/>
        <v>0</v>
      </c>
      <c r="BC22" s="143" t="b">
        <f t="shared" si="18"/>
        <v>0</v>
      </c>
      <c r="BD22" s="146" t="b">
        <f t="shared" si="31"/>
        <v>0</v>
      </c>
      <c r="BE22" s="145" t="b">
        <f>IF(OR(ISNA($Z22),K22&lt;&gt;"D"),FALSE,IF(OR(AND(H22="NG",J22=0),AND(H22&lt;&gt;"NG",NOT(OR(J22="NA",J22=0)))),TRUE,FALSE))</f>
        <v>0</v>
      </c>
      <c r="BF22" s="147" t="b">
        <f t="shared" si="20"/>
        <v>0</v>
      </c>
      <c r="BG22" s="453" t="b">
        <f>IF(ISNA($Z22),"NA",IF(OR(AZ22,AY22,AX22,AW22,AP22,BA22,BB22),TRUE,FALSE))</f>
        <v>1</v>
      </c>
      <c r="BH22" s="453">
        <f t="shared" si="32"/>
        <v>1</v>
      </c>
      <c r="BI22" s="453">
        <f t="shared" si="22"/>
        <v>2</v>
      </c>
      <c r="BJ22" s="453" t="str">
        <f t="shared" si="23"/>
        <v>2*</v>
      </c>
      <c r="BK22" s="453">
        <f t="shared" si="24"/>
        <v>3</v>
      </c>
      <c r="BL22" s="148">
        <f t="shared" si="33"/>
        <v>1</v>
      </c>
      <c r="BM22" s="453">
        <f t="shared" si="25"/>
        <v>2</v>
      </c>
      <c r="BN22" s="453">
        <f t="shared" si="26"/>
        <v>3</v>
      </c>
      <c r="BO22" s="936"/>
      <c r="BP22" s="300" t="s">
        <v>360</v>
      </c>
      <c r="BQ22" s="165">
        <f t="shared" si="36"/>
        <v>0.7</v>
      </c>
      <c r="BR22" s="166">
        <f t="shared" si="36"/>
        <v>0.8</v>
      </c>
      <c r="BS22" s="166">
        <f t="shared" si="36"/>
        <v>0.9</v>
      </c>
      <c r="BT22" s="166">
        <f t="shared" si="36"/>
        <v>0.95</v>
      </c>
      <c r="BU22" s="167">
        <f t="shared" si="36"/>
        <v>1</v>
      </c>
    </row>
    <row r="23" spans="2:73" s="94" customFormat="1" ht="12.95" customHeight="1" x14ac:dyDescent="0.2">
      <c r="B23" s="151" t="str">
        <f>IF(ISNA(Z23),"",IF(OR(Z23=1,Z23=2),"    ",MAX($B$8:B22)+1))</f>
        <v xml:space="preserve">    </v>
      </c>
      <c r="C23" s="904" t="str">
        <f t="shared" si="0"/>
        <v>Data Collection/Initial Analysis (51.2%)</v>
      </c>
      <c r="D23" s="904"/>
      <c r="E23" s="904"/>
      <c r="F23" s="905"/>
      <c r="G23" s="133" t="str">
        <f t="shared" si="1"/>
        <v/>
      </c>
      <c r="H23" s="134" t="str">
        <f t="shared" si="2"/>
        <v/>
      </c>
      <c r="I23" s="152" t="str">
        <f t="shared" si="2"/>
        <v/>
      </c>
      <c r="J23" s="158"/>
      <c r="K23" s="159"/>
      <c r="L23" s="1015"/>
      <c r="M23" s="1016"/>
      <c r="N23" s="1016"/>
      <c r="O23" s="1016"/>
      <c r="P23" s="1016"/>
      <c r="Q23" s="1016"/>
      <c r="R23" s="1017"/>
      <c r="T23" s="99">
        <v>16</v>
      </c>
      <c r="U23" s="88" t="s">
        <v>739</v>
      </c>
      <c r="V23" s="453" t="s">
        <v>340</v>
      </c>
      <c r="W23" s="453" t="s">
        <v>340</v>
      </c>
      <c r="X23" s="453" t="s">
        <v>340</v>
      </c>
      <c r="Y23" s="453" t="s">
        <v>340</v>
      </c>
      <c r="Z23" s="146">
        <v>2</v>
      </c>
      <c r="AA23" s="146">
        <v>1</v>
      </c>
      <c r="AB23" s="146">
        <v>1</v>
      </c>
      <c r="AC23" s="453" t="s">
        <v>340</v>
      </c>
      <c r="AD23" s="453" t="s">
        <v>340</v>
      </c>
      <c r="AE23" s="453" t="s">
        <v>340</v>
      </c>
      <c r="AF23" s="453" t="s">
        <v>340</v>
      </c>
      <c r="AG23" s="453" t="str">
        <f t="shared" si="3"/>
        <v/>
      </c>
      <c r="AH23" s="453" t="str">
        <f t="shared" si="4"/>
        <v/>
      </c>
      <c r="AI23" s="138">
        <f>IF(NOT(OR(Z23=1,Z23=2)),IF(AQ23&gt;0,$AR$44*AQ23/SUMIF($AQ$8:$AQ$39,"&gt;0"),IF(AU23&gt;0,$AV$44*AU23/SUMIF($AU$8:$AU$39,"&gt;0"),IF(AS23&gt;0,$AT$44*AS23/SUMIF($AS$8:$AS$39,"&gt;0"),""))),IF(SUMIF(AJ24:$AJ$39,"=" &amp; AJ23,AI24:$AI$39)=0,"",SUMIF(AJ24:$AJ$39,"=" &amp; AJ23,AI24:$AI$39)))</f>
        <v>0.5122966478312454</v>
      </c>
      <c r="AJ23" s="139">
        <f t="shared" si="34"/>
        <v>3</v>
      </c>
      <c r="AK23" s="453" t="str">
        <f t="shared" si="27"/>
        <v/>
      </c>
      <c r="AL23" s="146" t="str">
        <f t="shared" si="28"/>
        <v/>
      </c>
      <c r="AM23" s="146" t="str">
        <f t="shared" si="35"/>
        <v/>
      </c>
      <c r="AN23" s="146" t="str">
        <f t="shared" si="5"/>
        <v/>
      </c>
      <c r="AO23" s="146" t="str">
        <f t="shared" si="6"/>
        <v/>
      </c>
      <c r="AP23" s="453" t="str">
        <f t="shared" si="7"/>
        <v/>
      </c>
      <c r="AQ23" s="140">
        <f t="shared" si="29"/>
        <v>0</v>
      </c>
      <c r="AR23" s="141" t="str">
        <f t="shared" si="8"/>
        <v/>
      </c>
      <c r="AS23" s="142">
        <f t="shared" si="30"/>
        <v>0</v>
      </c>
      <c r="AT23" s="141" t="str">
        <f t="shared" si="9"/>
        <v/>
      </c>
      <c r="AU23" s="143">
        <f t="shared" si="10"/>
        <v>0</v>
      </c>
      <c r="AV23" s="144" t="str">
        <f t="shared" si="11"/>
        <v/>
      </c>
      <c r="AW23" s="143" t="b">
        <f t="shared" si="12"/>
        <v>0</v>
      </c>
      <c r="AX23" s="145" t="b">
        <f t="shared" si="13"/>
        <v>0</v>
      </c>
      <c r="AY23" s="143" t="b">
        <f t="shared" si="14"/>
        <v>0</v>
      </c>
      <c r="AZ23" s="145" t="b">
        <f t="shared" si="15"/>
        <v>0</v>
      </c>
      <c r="BA23" s="453" t="b">
        <f t="shared" si="16"/>
        <v>0</v>
      </c>
      <c r="BB23" s="453" t="b">
        <f t="shared" si="17"/>
        <v>0</v>
      </c>
      <c r="BC23" s="143" t="b">
        <f t="shared" si="18"/>
        <v>0</v>
      </c>
      <c r="BD23" s="146" t="b">
        <f t="shared" si="31"/>
        <v>0</v>
      </c>
      <c r="BE23" s="145" t="b">
        <f t="shared" ref="BE23:BE39" si="37">IF(OR(ISNA($Z23),K23&lt;&gt;"D"),FALSE,IF(OR(AND(H23="NG",J23=0),AND(H23&lt;&gt;"NG",NOT(OR(J23="NA",J23=0)))),TRUE,FALSE))</f>
        <v>0</v>
      </c>
      <c r="BF23" s="147" t="b">
        <f t="shared" si="20"/>
        <v>0</v>
      </c>
      <c r="BG23" s="453" t="b">
        <f t="shared" ref="BG23:BG39" si="38">IF(ISNA($Z23),"NA",IF(OR(AZ23,AY23,AX23,AW23,AP23,BA23,BB23),TRUE,FALSE))</f>
        <v>0</v>
      </c>
      <c r="BH23" s="453" t="str">
        <f t="shared" si="32"/>
        <v/>
      </c>
      <c r="BI23" s="453" t="str">
        <f t="shared" si="22"/>
        <v/>
      </c>
      <c r="BJ23" s="453" t="str">
        <f t="shared" si="23"/>
        <v/>
      </c>
      <c r="BK23" s="453" t="str">
        <f t="shared" si="24"/>
        <v/>
      </c>
      <c r="BL23" s="148" t="str">
        <f t="shared" si="33"/>
        <v/>
      </c>
      <c r="BM23" s="453" t="str">
        <f t="shared" si="25"/>
        <v/>
      </c>
      <c r="BN23" s="453" t="str">
        <f t="shared" si="26"/>
        <v/>
      </c>
      <c r="BO23" s="936"/>
      <c r="BP23" s="300" t="s">
        <v>361</v>
      </c>
      <c r="BQ23" s="165">
        <f t="shared" si="36"/>
        <v>0.7</v>
      </c>
      <c r="BR23" s="166">
        <f t="shared" si="36"/>
        <v>0.76670000000000005</v>
      </c>
      <c r="BS23" s="166">
        <f t="shared" si="36"/>
        <v>0.83330000000000004</v>
      </c>
      <c r="BT23" s="166">
        <f t="shared" si="36"/>
        <v>0.9</v>
      </c>
      <c r="BU23" s="167">
        <f t="shared" si="36"/>
        <v>1</v>
      </c>
    </row>
    <row r="24" spans="2:73" s="94" customFormat="1" ht="12.95" customHeight="1" x14ac:dyDescent="0.2">
      <c r="B24" s="151">
        <f>IF(ISNA(Z24),"",IF(OR(Z24=1,Z24=2),"    ",MAX($B$8:B23)+1))</f>
        <v>13</v>
      </c>
      <c r="C24" s="904" t="str">
        <f t="shared" si="0"/>
        <v xml:space="preserve">      - Ground Blocks (3.9%)</v>
      </c>
      <c r="D24" s="904"/>
      <c r="E24" s="904"/>
      <c r="F24" s="905"/>
      <c r="G24" s="133">
        <f t="shared" si="1"/>
        <v>1</v>
      </c>
      <c r="H24" s="134" t="str">
        <f t="shared" si="2"/>
        <v>3</v>
      </c>
      <c r="I24" s="152">
        <f t="shared" si="2"/>
        <v>3</v>
      </c>
      <c r="J24" s="157"/>
      <c r="K24" s="154"/>
      <c r="L24" s="1015"/>
      <c r="M24" s="1016"/>
      <c r="N24" s="1016"/>
      <c r="O24" s="1016"/>
      <c r="P24" s="1016"/>
      <c r="Q24" s="1016"/>
      <c r="R24" s="1017"/>
      <c r="T24" s="99">
        <v>17</v>
      </c>
      <c r="U24" s="88" t="s">
        <v>740</v>
      </c>
      <c r="V24" s="453">
        <v>1</v>
      </c>
      <c r="W24" s="453">
        <v>5</v>
      </c>
      <c r="X24" s="453" t="s">
        <v>340</v>
      </c>
      <c r="Y24" s="453" t="s">
        <v>340</v>
      </c>
      <c r="Z24" s="146" t="s">
        <v>340</v>
      </c>
      <c r="AA24" s="146">
        <v>2</v>
      </c>
      <c r="AB24" s="146">
        <v>1</v>
      </c>
      <c r="AC24" s="453">
        <v>3</v>
      </c>
      <c r="AD24" s="453">
        <v>3</v>
      </c>
      <c r="AE24" s="453">
        <v>0</v>
      </c>
      <c r="AF24" s="453" t="b">
        <v>1</v>
      </c>
      <c r="AG24" s="453">
        <f t="shared" si="3"/>
        <v>3</v>
      </c>
      <c r="AH24" s="453">
        <f t="shared" si="4"/>
        <v>2</v>
      </c>
      <c r="AI24" s="138">
        <f>IF(NOT(OR(Z24=1,Z24=2)),IF(AQ24&gt;0,$AR$44*AQ24/SUMIF($AQ$8:$AQ$39,"&gt;0"),IF(AU24&gt;0,$AV$44*AU24/SUMIF($AU$8:$AU$39,"&gt;0"),IF(AS24&gt;0,$AT$44*AS24/SUMIF($AS$8:$AS$39,"&gt;0"),""))),IF(SUMIF(AJ25:$AJ$39,"=" &amp; AJ24,AI25:$AI$39)=0,"",SUMIF(AJ25:$AJ$39,"=" &amp; AJ24,AI25:$AI$39)))</f>
        <v>3.8810352108427683E-2</v>
      </c>
      <c r="AJ24" s="139">
        <f t="shared" si="34"/>
        <v>3</v>
      </c>
      <c r="AK24" s="453">
        <f t="shared" si="27"/>
        <v>3</v>
      </c>
      <c r="AL24" s="146" t="str">
        <f t="shared" si="28"/>
        <v/>
      </c>
      <c r="AM24" s="146" t="str">
        <f t="shared" si="35"/>
        <v/>
      </c>
      <c r="AN24" s="146" t="str">
        <f t="shared" si="5"/>
        <v/>
      </c>
      <c r="AO24" s="146" t="str">
        <f t="shared" si="6"/>
        <v/>
      </c>
      <c r="AP24" s="453" t="b">
        <f t="shared" si="7"/>
        <v>1</v>
      </c>
      <c r="AQ24" s="140">
        <f t="shared" si="29"/>
        <v>5</v>
      </c>
      <c r="AR24" s="141">
        <f t="shared" si="8"/>
        <v>0</v>
      </c>
      <c r="AS24" s="142">
        <f t="shared" si="30"/>
        <v>0</v>
      </c>
      <c r="AT24" s="141">
        <f t="shared" si="9"/>
        <v>0.3</v>
      </c>
      <c r="AU24" s="143">
        <f t="shared" si="10"/>
        <v>0</v>
      </c>
      <c r="AV24" s="144">
        <f t="shared" si="11"/>
        <v>0</v>
      </c>
      <c r="AW24" s="143" t="b">
        <f t="shared" si="12"/>
        <v>0</v>
      </c>
      <c r="AX24" s="145" t="b">
        <f t="shared" si="13"/>
        <v>1</v>
      </c>
      <c r="AY24" s="143" t="b">
        <f t="shared" si="14"/>
        <v>0</v>
      </c>
      <c r="AZ24" s="145" t="b">
        <f t="shared" si="15"/>
        <v>0</v>
      </c>
      <c r="BA24" s="453" t="b">
        <f t="shared" si="16"/>
        <v>0</v>
      </c>
      <c r="BB24" s="453" t="b">
        <f t="shared" si="17"/>
        <v>0</v>
      </c>
      <c r="BC24" s="143" t="b">
        <f t="shared" si="18"/>
        <v>0</v>
      </c>
      <c r="BD24" s="146" t="b">
        <f t="shared" si="31"/>
        <v>0</v>
      </c>
      <c r="BE24" s="145" t="b">
        <f t="shared" si="37"/>
        <v>0</v>
      </c>
      <c r="BF24" s="147" t="b">
        <f t="shared" si="20"/>
        <v>0</v>
      </c>
      <c r="BG24" s="453" t="b">
        <f t="shared" si="38"/>
        <v>1</v>
      </c>
      <c r="BH24" s="453">
        <f t="shared" si="32"/>
        <v>1</v>
      </c>
      <c r="BI24" s="453">
        <f t="shared" si="22"/>
        <v>3</v>
      </c>
      <c r="BJ24" s="453" t="str">
        <f t="shared" si="23"/>
        <v>3</v>
      </c>
      <c r="BK24" s="453">
        <f t="shared" si="24"/>
        <v>3</v>
      </c>
      <c r="BL24" s="148">
        <f t="shared" si="33"/>
        <v>1</v>
      </c>
      <c r="BM24" s="453">
        <f t="shared" si="25"/>
        <v>3</v>
      </c>
      <c r="BN24" s="453">
        <f t="shared" si="26"/>
        <v>3</v>
      </c>
      <c r="BO24" s="936"/>
      <c r="BP24" s="300" t="s">
        <v>362</v>
      </c>
      <c r="BQ24" s="165">
        <f t="shared" si="36"/>
        <v>0.6</v>
      </c>
      <c r="BR24" s="166">
        <f t="shared" si="36"/>
        <v>0.9</v>
      </c>
      <c r="BS24" s="166">
        <f t="shared" si="36"/>
        <v>0.93330000000000002</v>
      </c>
      <c r="BT24" s="166">
        <f t="shared" si="36"/>
        <v>0.9667</v>
      </c>
      <c r="BU24" s="167">
        <f t="shared" si="36"/>
        <v>1</v>
      </c>
    </row>
    <row r="25" spans="2:73" s="94" customFormat="1" ht="12.95" customHeight="1" x14ac:dyDescent="0.2">
      <c r="B25" s="151">
        <f>IF(ISNA(Z25),"",IF(OR(Z25=1,Z25=2),"    ",MAX($B$8:B24)+1))</f>
        <v>14</v>
      </c>
      <c r="C25" s="904" t="str">
        <f t="shared" si="0"/>
        <v xml:space="preserve">      - Takeoff (3.9%)</v>
      </c>
      <c r="D25" s="904"/>
      <c r="E25" s="904"/>
      <c r="F25" s="905"/>
      <c r="G25" s="133">
        <f t="shared" si="1"/>
        <v>1</v>
      </c>
      <c r="H25" s="134" t="str">
        <f t="shared" si="2"/>
        <v>2</v>
      </c>
      <c r="I25" s="152">
        <f t="shared" si="2"/>
        <v>3</v>
      </c>
      <c r="J25" s="157"/>
      <c r="K25" s="154"/>
      <c r="L25" s="1015"/>
      <c r="M25" s="1016"/>
      <c r="N25" s="1016"/>
      <c r="O25" s="1016"/>
      <c r="P25" s="1016"/>
      <c r="Q25" s="1016"/>
      <c r="R25" s="1017"/>
      <c r="T25" s="99">
        <v>18</v>
      </c>
      <c r="U25" s="88" t="s">
        <v>674</v>
      </c>
      <c r="V25" s="453">
        <v>1</v>
      </c>
      <c r="W25" s="453">
        <v>5</v>
      </c>
      <c r="X25" s="453" t="s">
        <v>340</v>
      </c>
      <c r="Y25" s="453" t="s">
        <v>340</v>
      </c>
      <c r="Z25" s="146" t="s">
        <v>340</v>
      </c>
      <c r="AA25" s="146">
        <v>2</v>
      </c>
      <c r="AB25" s="146">
        <v>1</v>
      </c>
      <c r="AC25" s="453">
        <v>3</v>
      </c>
      <c r="AD25" s="453">
        <v>2</v>
      </c>
      <c r="AE25" s="453">
        <v>0</v>
      </c>
      <c r="AF25" s="453" t="b">
        <v>1</v>
      </c>
      <c r="AG25" s="453">
        <f t="shared" si="3"/>
        <v>2</v>
      </c>
      <c r="AH25" s="453">
        <f t="shared" si="4"/>
        <v>1</v>
      </c>
      <c r="AI25" s="138">
        <f>IF(NOT(OR(Z25=1,Z25=2)),IF(AQ25&gt;0,$AR$44*AQ25/SUMIF($AQ$8:$AQ$39,"&gt;0"),IF(AU25&gt;0,$AV$44*AU25/SUMIF($AU$8:$AU$39,"&gt;0"),IF(AS25&gt;0,$AT$44*AS25/SUMIF($AS$8:$AS$39,"&gt;0"),""))),IF(SUMIF(AJ26:$AJ$39,"=" &amp; AJ25,AI26:$AI$39)=0,"",SUMIF(AJ26:$AJ$39,"=" &amp; AJ25,AI26:$AI$39)))</f>
        <v>3.8810352108427683E-2</v>
      </c>
      <c r="AJ25" s="139">
        <f t="shared" si="34"/>
        <v>3</v>
      </c>
      <c r="AK25" s="453">
        <f t="shared" si="27"/>
        <v>2</v>
      </c>
      <c r="AL25" s="146" t="str">
        <f t="shared" si="28"/>
        <v/>
      </c>
      <c r="AM25" s="146" t="str">
        <f t="shared" si="35"/>
        <v/>
      </c>
      <c r="AN25" s="146" t="str">
        <f t="shared" si="5"/>
        <v/>
      </c>
      <c r="AO25" s="146" t="str">
        <f t="shared" si="6"/>
        <v/>
      </c>
      <c r="AP25" s="453" t="b">
        <f t="shared" si="7"/>
        <v>1</v>
      </c>
      <c r="AQ25" s="140">
        <f t="shared" si="29"/>
        <v>5</v>
      </c>
      <c r="AR25" s="141">
        <f t="shared" si="8"/>
        <v>0.3</v>
      </c>
      <c r="AS25" s="142">
        <f t="shared" si="30"/>
        <v>0</v>
      </c>
      <c r="AT25" s="141">
        <f t="shared" si="9"/>
        <v>0.6</v>
      </c>
      <c r="AU25" s="143">
        <f t="shared" si="10"/>
        <v>0</v>
      </c>
      <c r="AV25" s="144">
        <f t="shared" si="11"/>
        <v>0.3</v>
      </c>
      <c r="AW25" s="143" t="b">
        <f t="shared" si="12"/>
        <v>0</v>
      </c>
      <c r="AX25" s="145" t="b">
        <f t="shared" si="13"/>
        <v>1</v>
      </c>
      <c r="AY25" s="143" t="b">
        <f t="shared" si="14"/>
        <v>0</v>
      </c>
      <c r="AZ25" s="145" t="b">
        <f t="shared" si="15"/>
        <v>0</v>
      </c>
      <c r="BA25" s="453" t="b">
        <f t="shared" si="16"/>
        <v>0</v>
      </c>
      <c r="BB25" s="453" t="b">
        <f t="shared" si="17"/>
        <v>0</v>
      </c>
      <c r="BC25" s="143" t="b">
        <f t="shared" si="18"/>
        <v>0</v>
      </c>
      <c r="BD25" s="146" t="b">
        <f t="shared" si="31"/>
        <v>0</v>
      </c>
      <c r="BE25" s="145" t="b">
        <f t="shared" si="37"/>
        <v>0</v>
      </c>
      <c r="BF25" s="147" t="b">
        <f t="shared" si="20"/>
        <v>0</v>
      </c>
      <c r="BG25" s="453" t="b">
        <f t="shared" si="38"/>
        <v>1</v>
      </c>
      <c r="BH25" s="453">
        <f t="shared" si="32"/>
        <v>1</v>
      </c>
      <c r="BI25" s="453">
        <f t="shared" si="22"/>
        <v>2</v>
      </c>
      <c r="BJ25" s="453" t="str">
        <f t="shared" si="23"/>
        <v>2</v>
      </c>
      <c r="BK25" s="453">
        <f t="shared" si="24"/>
        <v>3</v>
      </c>
      <c r="BL25" s="148">
        <f t="shared" si="33"/>
        <v>1</v>
      </c>
      <c r="BM25" s="453">
        <f t="shared" si="25"/>
        <v>2</v>
      </c>
      <c r="BN25" s="453">
        <f t="shared" si="26"/>
        <v>3</v>
      </c>
      <c r="BO25" s="936"/>
      <c r="BP25" s="300" t="s">
        <v>363</v>
      </c>
      <c r="BQ25" s="165">
        <f t="shared" si="36"/>
        <v>0.6</v>
      </c>
      <c r="BR25" s="166">
        <f t="shared" si="36"/>
        <v>0.7</v>
      </c>
      <c r="BS25" s="166">
        <f t="shared" si="36"/>
        <v>0.9</v>
      </c>
      <c r="BT25" s="166">
        <f t="shared" si="36"/>
        <v>0.95</v>
      </c>
      <c r="BU25" s="167">
        <f t="shared" si="36"/>
        <v>1</v>
      </c>
    </row>
    <row r="26" spans="2:73" s="94" customFormat="1" ht="12.95" customHeight="1" x14ac:dyDescent="0.2">
      <c r="B26" s="151">
        <f>IF(ISNA(Z26),"",IF(OR(Z26=1,Z26=2),"    ",MAX($B$8:B25)+1))</f>
        <v>15</v>
      </c>
      <c r="C26" s="904" t="str">
        <f t="shared" si="0"/>
        <v xml:space="preserve">      - Check Climb (3.9%)</v>
      </c>
      <c r="D26" s="904"/>
      <c r="E26" s="904"/>
      <c r="F26" s="905"/>
      <c r="G26" s="133">
        <f t="shared" si="1"/>
        <v>1</v>
      </c>
      <c r="H26" s="134" t="str">
        <f t="shared" si="2"/>
        <v>3</v>
      </c>
      <c r="I26" s="152">
        <f t="shared" si="2"/>
        <v>3</v>
      </c>
      <c r="J26" s="157"/>
      <c r="K26" s="154"/>
      <c r="L26" s="1015"/>
      <c r="M26" s="1016"/>
      <c r="N26" s="1016"/>
      <c r="O26" s="1016"/>
      <c r="P26" s="1016"/>
      <c r="Q26" s="1016"/>
      <c r="R26" s="1017"/>
      <c r="T26" s="99">
        <v>19</v>
      </c>
      <c r="U26" s="88" t="s">
        <v>666</v>
      </c>
      <c r="V26" s="453">
        <v>1</v>
      </c>
      <c r="W26" s="453">
        <v>5</v>
      </c>
      <c r="X26" s="453" t="s">
        <v>340</v>
      </c>
      <c r="Y26" s="453" t="s">
        <v>340</v>
      </c>
      <c r="Z26" s="146" t="s">
        <v>340</v>
      </c>
      <c r="AA26" s="146">
        <v>2</v>
      </c>
      <c r="AB26" s="146">
        <v>1</v>
      </c>
      <c r="AC26" s="453">
        <v>3</v>
      </c>
      <c r="AD26" s="453">
        <v>3</v>
      </c>
      <c r="AE26" s="453">
        <v>0</v>
      </c>
      <c r="AF26" s="453" t="b">
        <v>1</v>
      </c>
      <c r="AG26" s="453">
        <f t="shared" si="3"/>
        <v>3</v>
      </c>
      <c r="AH26" s="453">
        <f t="shared" si="4"/>
        <v>2</v>
      </c>
      <c r="AI26" s="138">
        <f>IF(NOT(OR(Z26=1,Z26=2)),IF(AQ26&gt;0,$AR$44*AQ26/SUMIF($AQ$8:$AQ$39,"&gt;0"),IF(AU26&gt;0,$AV$44*AU26/SUMIF($AU$8:$AU$39,"&gt;0"),IF(AS26&gt;0,$AT$44*AS26/SUMIF($AS$8:$AS$39,"&gt;0"),""))),IF(SUMIF(AJ27:$AJ$39,"=" &amp; AJ26,AI27:$AI$39)=0,"",SUMIF(AJ27:$AJ$39,"=" &amp; AJ26,AI27:$AI$39)))</f>
        <v>3.8810352108427683E-2</v>
      </c>
      <c r="AJ26" s="139">
        <f t="shared" si="34"/>
        <v>3</v>
      </c>
      <c r="AK26" s="453">
        <f t="shared" si="27"/>
        <v>3</v>
      </c>
      <c r="AL26" s="146" t="str">
        <f t="shared" si="28"/>
        <v/>
      </c>
      <c r="AM26" s="146" t="str">
        <f t="shared" si="35"/>
        <v/>
      </c>
      <c r="AN26" s="146" t="str">
        <f t="shared" si="5"/>
        <v/>
      </c>
      <c r="AO26" s="146" t="str">
        <f t="shared" si="6"/>
        <v/>
      </c>
      <c r="AP26" s="453" t="b">
        <f t="shared" si="7"/>
        <v>1</v>
      </c>
      <c r="AQ26" s="140">
        <f t="shared" si="29"/>
        <v>5</v>
      </c>
      <c r="AR26" s="141">
        <f t="shared" si="8"/>
        <v>0</v>
      </c>
      <c r="AS26" s="142">
        <f t="shared" si="30"/>
        <v>0</v>
      </c>
      <c r="AT26" s="141">
        <f t="shared" si="9"/>
        <v>0.3</v>
      </c>
      <c r="AU26" s="143">
        <f t="shared" si="10"/>
        <v>0</v>
      </c>
      <c r="AV26" s="144">
        <f t="shared" si="11"/>
        <v>0</v>
      </c>
      <c r="AW26" s="143" t="b">
        <f t="shared" si="12"/>
        <v>0</v>
      </c>
      <c r="AX26" s="145" t="b">
        <f t="shared" si="13"/>
        <v>1</v>
      </c>
      <c r="AY26" s="143" t="b">
        <f t="shared" si="14"/>
        <v>0</v>
      </c>
      <c r="AZ26" s="145" t="b">
        <f t="shared" si="15"/>
        <v>0</v>
      </c>
      <c r="BA26" s="453" t="b">
        <f t="shared" si="16"/>
        <v>0</v>
      </c>
      <c r="BB26" s="453" t="b">
        <f t="shared" si="17"/>
        <v>0</v>
      </c>
      <c r="BC26" s="143" t="b">
        <f t="shared" si="18"/>
        <v>0</v>
      </c>
      <c r="BD26" s="146" t="b">
        <f t="shared" si="31"/>
        <v>0</v>
      </c>
      <c r="BE26" s="145" t="b">
        <f t="shared" si="37"/>
        <v>0</v>
      </c>
      <c r="BF26" s="147" t="b">
        <f t="shared" si="20"/>
        <v>0</v>
      </c>
      <c r="BG26" s="453" t="b">
        <f t="shared" si="38"/>
        <v>1</v>
      </c>
      <c r="BH26" s="453">
        <f t="shared" si="32"/>
        <v>1</v>
      </c>
      <c r="BI26" s="453">
        <f t="shared" si="22"/>
        <v>3</v>
      </c>
      <c r="BJ26" s="453" t="str">
        <f t="shared" si="23"/>
        <v>3</v>
      </c>
      <c r="BK26" s="453">
        <f t="shared" si="24"/>
        <v>3</v>
      </c>
      <c r="BL26" s="148">
        <f t="shared" si="33"/>
        <v>1</v>
      </c>
      <c r="BM26" s="453">
        <f t="shared" si="25"/>
        <v>3</v>
      </c>
      <c r="BN26" s="453">
        <f t="shared" si="26"/>
        <v>3</v>
      </c>
      <c r="BO26" s="936"/>
      <c r="BP26" s="300" t="s">
        <v>364</v>
      </c>
      <c r="BQ26" s="165">
        <f t="shared" si="36"/>
        <v>0.6</v>
      </c>
      <c r="BR26" s="166">
        <f t="shared" si="36"/>
        <v>0.7</v>
      </c>
      <c r="BS26" s="166">
        <f t="shared" si="36"/>
        <v>0.8</v>
      </c>
      <c r="BT26" s="166">
        <f t="shared" si="36"/>
        <v>0.9</v>
      </c>
      <c r="BU26" s="167">
        <f t="shared" si="36"/>
        <v>1</v>
      </c>
    </row>
    <row r="27" spans="2:73" s="94" customFormat="1" ht="12.95" customHeight="1" x14ac:dyDescent="0.2">
      <c r="B27" s="151">
        <f>IF(ISNA(Z27),"",IF(OR(Z27=1,Z27=2),"    ",MAX($B$8:B26)+1))</f>
        <v>16</v>
      </c>
      <c r="C27" s="904" t="str">
        <f t="shared" si="0"/>
        <v xml:space="preserve">      - Level Acceleration (3.9%)</v>
      </c>
      <c r="D27" s="904"/>
      <c r="E27" s="904"/>
      <c r="F27" s="905"/>
      <c r="G27" s="133">
        <f t="shared" si="1"/>
        <v>1</v>
      </c>
      <c r="H27" s="134" t="str">
        <f t="shared" si="2"/>
        <v>3</v>
      </c>
      <c r="I27" s="152">
        <f t="shared" si="2"/>
        <v>3</v>
      </c>
      <c r="J27" s="157"/>
      <c r="K27" s="154"/>
      <c r="L27" s="1015"/>
      <c r="M27" s="1016"/>
      <c r="N27" s="1016"/>
      <c r="O27" s="1016"/>
      <c r="P27" s="1016"/>
      <c r="Q27" s="1016"/>
      <c r="R27" s="1017"/>
      <c r="T27" s="99">
        <v>20</v>
      </c>
      <c r="U27" s="88" t="s">
        <v>672</v>
      </c>
      <c r="V27" s="453">
        <v>1</v>
      </c>
      <c r="W27" s="453">
        <v>5</v>
      </c>
      <c r="X27" s="453" t="s">
        <v>340</v>
      </c>
      <c r="Y27" s="453" t="s">
        <v>340</v>
      </c>
      <c r="Z27" s="146" t="s">
        <v>340</v>
      </c>
      <c r="AA27" s="146">
        <v>2</v>
      </c>
      <c r="AB27" s="146">
        <v>1</v>
      </c>
      <c r="AC27" s="453">
        <v>3</v>
      </c>
      <c r="AD27" s="453">
        <v>3</v>
      </c>
      <c r="AE27" s="453">
        <v>0</v>
      </c>
      <c r="AF27" s="453" t="b">
        <v>1</v>
      </c>
      <c r="AG27" s="453">
        <f t="shared" si="3"/>
        <v>3</v>
      </c>
      <c r="AH27" s="453">
        <f t="shared" si="4"/>
        <v>2</v>
      </c>
      <c r="AI27" s="138">
        <f>IF(NOT(OR(Z27=1,Z27=2)),IF(AQ27&gt;0,$AR$44*AQ27/SUMIF($AQ$8:$AQ$39,"&gt;0"),IF(AU27&gt;0,$AV$44*AU27/SUMIF($AU$8:$AU$39,"&gt;0"),IF(AS27&gt;0,$AT$44*AS27/SUMIF($AS$8:$AS$39,"&gt;0"),""))),IF(SUMIF(AJ28:$AJ$39,"=" &amp; AJ27,AI28:$AI$39)=0,"",SUMIF(AJ28:$AJ$39,"=" &amp; AJ27,AI28:$AI$39)))</f>
        <v>3.8810352108427683E-2</v>
      </c>
      <c r="AJ27" s="139">
        <f t="shared" si="34"/>
        <v>3</v>
      </c>
      <c r="AK27" s="453">
        <f t="shared" si="27"/>
        <v>3</v>
      </c>
      <c r="AL27" s="146" t="str">
        <f t="shared" si="28"/>
        <v/>
      </c>
      <c r="AM27" s="146" t="str">
        <f t="shared" si="35"/>
        <v/>
      </c>
      <c r="AN27" s="146" t="str">
        <f t="shared" si="5"/>
        <v/>
      </c>
      <c r="AO27" s="146" t="str">
        <f t="shared" si="6"/>
        <v/>
      </c>
      <c r="AP27" s="453" t="b">
        <f t="shared" si="7"/>
        <v>1</v>
      </c>
      <c r="AQ27" s="140">
        <f t="shared" si="29"/>
        <v>5</v>
      </c>
      <c r="AR27" s="141">
        <f t="shared" si="8"/>
        <v>0</v>
      </c>
      <c r="AS27" s="142">
        <f t="shared" si="30"/>
        <v>0</v>
      </c>
      <c r="AT27" s="141">
        <f t="shared" si="9"/>
        <v>0.3</v>
      </c>
      <c r="AU27" s="143">
        <f t="shared" si="10"/>
        <v>0</v>
      </c>
      <c r="AV27" s="144">
        <f t="shared" si="11"/>
        <v>0</v>
      </c>
      <c r="AW27" s="143" t="b">
        <f t="shared" si="12"/>
        <v>0</v>
      </c>
      <c r="AX27" s="145" t="b">
        <f t="shared" si="13"/>
        <v>1</v>
      </c>
      <c r="AY27" s="143" t="b">
        <f t="shared" si="14"/>
        <v>0</v>
      </c>
      <c r="AZ27" s="145" t="b">
        <f t="shared" si="15"/>
        <v>0</v>
      </c>
      <c r="BA27" s="453" t="b">
        <f t="shared" si="16"/>
        <v>0</v>
      </c>
      <c r="BB27" s="453" t="b">
        <f t="shared" si="17"/>
        <v>0</v>
      </c>
      <c r="BC27" s="143" t="b">
        <f t="shared" si="18"/>
        <v>0</v>
      </c>
      <c r="BD27" s="146" t="b">
        <f t="shared" si="31"/>
        <v>0</v>
      </c>
      <c r="BE27" s="145" t="b">
        <f t="shared" si="37"/>
        <v>0</v>
      </c>
      <c r="BF27" s="147" t="b">
        <f t="shared" si="20"/>
        <v>0</v>
      </c>
      <c r="BG27" s="453" t="b">
        <f t="shared" si="38"/>
        <v>1</v>
      </c>
      <c r="BH27" s="453">
        <f t="shared" si="32"/>
        <v>1</v>
      </c>
      <c r="BI27" s="453">
        <f t="shared" si="22"/>
        <v>3</v>
      </c>
      <c r="BJ27" s="453" t="str">
        <f t="shared" si="23"/>
        <v>3</v>
      </c>
      <c r="BK27" s="453">
        <f t="shared" si="24"/>
        <v>3</v>
      </c>
      <c r="BL27" s="148">
        <f t="shared" si="33"/>
        <v>1</v>
      </c>
      <c r="BM27" s="453">
        <f t="shared" si="25"/>
        <v>3</v>
      </c>
      <c r="BN27" s="453">
        <f t="shared" si="26"/>
        <v>3</v>
      </c>
      <c r="BO27" s="936"/>
      <c r="BP27" s="300" t="s">
        <v>365</v>
      </c>
      <c r="BQ27" s="165">
        <f t="shared" si="36"/>
        <v>0.3</v>
      </c>
      <c r="BR27" s="166">
        <f t="shared" si="36"/>
        <v>0.6</v>
      </c>
      <c r="BS27" s="166">
        <f t="shared" si="36"/>
        <v>0.9</v>
      </c>
      <c r="BT27" s="166">
        <f t="shared" si="36"/>
        <v>0.95</v>
      </c>
      <c r="BU27" s="167">
        <f t="shared" si="36"/>
        <v>1</v>
      </c>
    </row>
    <row r="28" spans="2:73" s="94" customFormat="1" ht="12.95" customHeight="1" x14ac:dyDescent="0.2">
      <c r="B28" s="151">
        <f>IF(ISNA(Z28),"",IF(OR(Z28=1,Z28=2),"    ",MAX($B$8:B27)+1))</f>
        <v>17</v>
      </c>
      <c r="C28" s="904" t="str">
        <f t="shared" si="0"/>
        <v xml:space="preserve">      - Incremental Drag Descent (3.9%)</v>
      </c>
      <c r="D28" s="904"/>
      <c r="E28" s="904"/>
      <c r="F28" s="905"/>
      <c r="G28" s="133">
        <f t="shared" si="1"/>
        <v>1</v>
      </c>
      <c r="H28" s="134" t="str">
        <f t="shared" si="2"/>
        <v>3</v>
      </c>
      <c r="I28" s="152">
        <f t="shared" si="2"/>
        <v>3</v>
      </c>
      <c r="J28" s="157"/>
      <c r="K28" s="154"/>
      <c r="L28" s="1015"/>
      <c r="M28" s="1016"/>
      <c r="N28" s="1016"/>
      <c r="O28" s="1016"/>
      <c r="P28" s="1016"/>
      <c r="Q28" s="1016"/>
      <c r="R28" s="1017"/>
      <c r="T28" s="99">
        <v>21</v>
      </c>
      <c r="U28" s="88" t="s">
        <v>741</v>
      </c>
      <c r="V28" s="453">
        <v>1</v>
      </c>
      <c r="W28" s="453">
        <v>5</v>
      </c>
      <c r="X28" s="453" t="s">
        <v>340</v>
      </c>
      <c r="Y28" s="453" t="s">
        <v>340</v>
      </c>
      <c r="Z28" s="146" t="s">
        <v>340</v>
      </c>
      <c r="AA28" s="146">
        <v>2</v>
      </c>
      <c r="AB28" s="146">
        <v>1</v>
      </c>
      <c r="AC28" s="453">
        <v>3</v>
      </c>
      <c r="AD28" s="453">
        <v>3</v>
      </c>
      <c r="AE28" s="453">
        <v>0</v>
      </c>
      <c r="AF28" s="453" t="b">
        <v>1</v>
      </c>
      <c r="AG28" s="453">
        <f t="shared" si="3"/>
        <v>3</v>
      </c>
      <c r="AH28" s="453">
        <f t="shared" si="4"/>
        <v>2</v>
      </c>
      <c r="AI28" s="138">
        <f>IF(NOT(OR(Z28=1,Z28=2)),IF(AQ28&gt;0,$AR$44*AQ28/SUMIF($AQ$8:$AQ$39,"&gt;0"),IF(AU28&gt;0,$AV$44*AU28/SUMIF($AU$8:$AU$39,"&gt;0"),IF(AS28&gt;0,$AT$44*AS28/SUMIF($AS$8:$AS$39,"&gt;0"),""))),IF(SUMIF(AJ29:$AJ$39,"=" &amp; AJ28,AI29:$AI$39)=0,"",SUMIF(AJ29:$AJ$39,"=" &amp; AJ28,AI29:$AI$39)))</f>
        <v>3.8810352108427683E-2</v>
      </c>
      <c r="AJ28" s="139">
        <f t="shared" si="34"/>
        <v>3</v>
      </c>
      <c r="AK28" s="453">
        <f t="shared" si="27"/>
        <v>3</v>
      </c>
      <c r="AL28" s="146" t="str">
        <f t="shared" si="28"/>
        <v/>
      </c>
      <c r="AM28" s="146" t="str">
        <f t="shared" si="35"/>
        <v/>
      </c>
      <c r="AN28" s="146" t="str">
        <f t="shared" si="5"/>
        <v/>
      </c>
      <c r="AO28" s="146" t="str">
        <f t="shared" si="6"/>
        <v/>
      </c>
      <c r="AP28" s="453" t="b">
        <f t="shared" si="7"/>
        <v>1</v>
      </c>
      <c r="AQ28" s="140">
        <f t="shared" si="29"/>
        <v>5</v>
      </c>
      <c r="AR28" s="141">
        <f t="shared" si="8"/>
        <v>0</v>
      </c>
      <c r="AS28" s="142">
        <f t="shared" si="30"/>
        <v>0</v>
      </c>
      <c r="AT28" s="141">
        <f t="shared" si="9"/>
        <v>0.3</v>
      </c>
      <c r="AU28" s="143">
        <f t="shared" si="10"/>
        <v>0</v>
      </c>
      <c r="AV28" s="144">
        <f t="shared" si="11"/>
        <v>0</v>
      </c>
      <c r="AW28" s="143" t="b">
        <f t="shared" si="12"/>
        <v>0</v>
      </c>
      <c r="AX28" s="145" t="b">
        <f t="shared" si="13"/>
        <v>1</v>
      </c>
      <c r="AY28" s="143" t="b">
        <f t="shared" si="14"/>
        <v>0</v>
      </c>
      <c r="AZ28" s="145" t="b">
        <f t="shared" si="15"/>
        <v>0</v>
      </c>
      <c r="BA28" s="453" t="b">
        <f t="shared" si="16"/>
        <v>0</v>
      </c>
      <c r="BB28" s="453" t="b">
        <f t="shared" si="17"/>
        <v>0</v>
      </c>
      <c r="BC28" s="143" t="b">
        <f t="shared" si="18"/>
        <v>0</v>
      </c>
      <c r="BD28" s="146" t="b">
        <f t="shared" si="31"/>
        <v>0</v>
      </c>
      <c r="BE28" s="145" t="b">
        <f t="shared" si="37"/>
        <v>0</v>
      </c>
      <c r="BF28" s="147" t="b">
        <f t="shared" si="20"/>
        <v>0</v>
      </c>
      <c r="BG28" s="453" t="b">
        <f t="shared" si="38"/>
        <v>1</v>
      </c>
      <c r="BH28" s="453">
        <f t="shared" si="32"/>
        <v>1</v>
      </c>
      <c r="BI28" s="453">
        <f t="shared" si="22"/>
        <v>3</v>
      </c>
      <c r="BJ28" s="453" t="str">
        <f t="shared" si="23"/>
        <v>3</v>
      </c>
      <c r="BK28" s="453">
        <f t="shared" si="24"/>
        <v>3</v>
      </c>
      <c r="BL28" s="148">
        <f t="shared" si="33"/>
        <v>1</v>
      </c>
      <c r="BM28" s="453">
        <f t="shared" si="25"/>
        <v>3</v>
      </c>
      <c r="BN28" s="453">
        <f t="shared" si="26"/>
        <v>3</v>
      </c>
      <c r="BO28" s="936"/>
      <c r="BP28" s="300" t="s">
        <v>366</v>
      </c>
      <c r="BQ28" s="165">
        <f t="shared" si="36"/>
        <v>0.3</v>
      </c>
      <c r="BR28" s="166">
        <f t="shared" si="36"/>
        <v>0.6</v>
      </c>
      <c r="BS28" s="166">
        <f t="shared" si="36"/>
        <v>0.7</v>
      </c>
      <c r="BT28" s="166">
        <f t="shared" si="36"/>
        <v>0.9</v>
      </c>
      <c r="BU28" s="167">
        <f t="shared" si="36"/>
        <v>1</v>
      </c>
    </row>
    <row r="29" spans="2:73" s="94" customFormat="1" ht="12.95" customHeight="1" x14ac:dyDescent="0.2">
      <c r="B29" s="151">
        <f>IF(ISNA(Z29),"",IF(OR(Z29=1,Z29=2),"    ",MAX($B$8:B28)+1))</f>
        <v>18</v>
      </c>
      <c r="C29" s="904" t="str">
        <f t="shared" si="0"/>
        <v xml:space="preserve">      - Sawtooth Climb (1.15 Vs) (3.9%)</v>
      </c>
      <c r="D29" s="904"/>
      <c r="E29" s="904"/>
      <c r="F29" s="905"/>
      <c r="G29" s="133">
        <f t="shared" si="1"/>
        <v>1</v>
      </c>
      <c r="H29" s="134" t="str">
        <f t="shared" si="2"/>
        <v>3</v>
      </c>
      <c r="I29" s="152">
        <f t="shared" si="2"/>
        <v>3</v>
      </c>
      <c r="J29" s="157"/>
      <c r="K29" s="154"/>
      <c r="L29" s="1015"/>
      <c r="M29" s="1016"/>
      <c r="N29" s="1016"/>
      <c r="O29" s="1016"/>
      <c r="P29" s="1016"/>
      <c r="Q29" s="1016"/>
      <c r="R29" s="1017"/>
      <c r="T29" s="99">
        <v>22</v>
      </c>
      <c r="U29" s="88" t="s">
        <v>742</v>
      </c>
      <c r="V29" s="453">
        <v>1</v>
      </c>
      <c r="W29" s="453">
        <v>5</v>
      </c>
      <c r="X29" s="453" t="s">
        <v>340</v>
      </c>
      <c r="Y29" s="453" t="s">
        <v>340</v>
      </c>
      <c r="Z29" s="146" t="s">
        <v>340</v>
      </c>
      <c r="AA29" s="146">
        <v>2</v>
      </c>
      <c r="AB29" s="146">
        <v>1</v>
      </c>
      <c r="AC29" s="453">
        <v>3</v>
      </c>
      <c r="AD29" s="453">
        <v>3</v>
      </c>
      <c r="AE29" s="453">
        <v>0</v>
      </c>
      <c r="AF29" s="453" t="b">
        <v>1</v>
      </c>
      <c r="AG29" s="453">
        <f t="shared" si="3"/>
        <v>3</v>
      </c>
      <c r="AH29" s="453">
        <f t="shared" si="4"/>
        <v>2</v>
      </c>
      <c r="AI29" s="138">
        <f>IF(NOT(OR(Z29=1,Z29=2)),IF(AQ29&gt;0,$AR$44*AQ29/SUMIF($AQ$8:$AQ$39,"&gt;0"),IF(AU29&gt;0,$AV$44*AU29/SUMIF($AU$8:$AU$39,"&gt;0"),IF(AS29&gt;0,$AT$44*AS29/SUMIF($AS$8:$AS$39,"&gt;0"),""))),IF(SUMIF(AJ30:$AJ$39,"=" &amp; AJ29,AI30:$AI$39)=0,"",SUMIF(AJ30:$AJ$39,"=" &amp; AJ29,AI30:$AI$39)))</f>
        <v>3.8810352108427683E-2</v>
      </c>
      <c r="AJ29" s="139">
        <f t="shared" si="34"/>
        <v>3</v>
      </c>
      <c r="AK29" s="453">
        <f t="shared" si="27"/>
        <v>3</v>
      </c>
      <c r="AL29" s="146" t="str">
        <f t="shared" si="28"/>
        <v/>
      </c>
      <c r="AM29" s="146" t="str">
        <f t="shared" si="35"/>
        <v/>
      </c>
      <c r="AN29" s="146" t="str">
        <f t="shared" si="5"/>
        <v/>
      </c>
      <c r="AO29" s="146" t="str">
        <f t="shared" si="6"/>
        <v/>
      </c>
      <c r="AP29" s="453" t="b">
        <f t="shared" si="7"/>
        <v>1</v>
      </c>
      <c r="AQ29" s="140">
        <f t="shared" si="29"/>
        <v>5</v>
      </c>
      <c r="AR29" s="141">
        <f t="shared" si="8"/>
        <v>0</v>
      </c>
      <c r="AS29" s="142">
        <f t="shared" si="30"/>
        <v>0</v>
      </c>
      <c r="AT29" s="141">
        <f t="shared" si="9"/>
        <v>0.3</v>
      </c>
      <c r="AU29" s="143">
        <f t="shared" si="10"/>
        <v>0</v>
      </c>
      <c r="AV29" s="144">
        <f t="shared" si="11"/>
        <v>0</v>
      </c>
      <c r="AW29" s="143" t="b">
        <f t="shared" si="12"/>
        <v>0</v>
      </c>
      <c r="AX29" s="145" t="b">
        <f t="shared" si="13"/>
        <v>1</v>
      </c>
      <c r="AY29" s="143" t="b">
        <f t="shared" si="14"/>
        <v>0</v>
      </c>
      <c r="AZ29" s="145" t="b">
        <f t="shared" si="15"/>
        <v>0</v>
      </c>
      <c r="BA29" s="453" t="b">
        <f t="shared" si="16"/>
        <v>0</v>
      </c>
      <c r="BB29" s="453" t="b">
        <f t="shared" si="17"/>
        <v>0</v>
      </c>
      <c r="BC29" s="143" t="b">
        <f t="shared" si="18"/>
        <v>0</v>
      </c>
      <c r="BD29" s="146" t="b">
        <f t="shared" si="31"/>
        <v>0</v>
      </c>
      <c r="BE29" s="145" t="b">
        <f t="shared" si="37"/>
        <v>0</v>
      </c>
      <c r="BF29" s="147" t="b">
        <f t="shared" si="20"/>
        <v>0</v>
      </c>
      <c r="BG29" s="453" t="b">
        <f t="shared" si="38"/>
        <v>1</v>
      </c>
      <c r="BH29" s="453">
        <f t="shared" si="32"/>
        <v>1</v>
      </c>
      <c r="BI29" s="453">
        <f t="shared" si="22"/>
        <v>3</v>
      </c>
      <c r="BJ29" s="453" t="str">
        <f t="shared" si="23"/>
        <v>3</v>
      </c>
      <c r="BK29" s="453">
        <f t="shared" si="24"/>
        <v>3</v>
      </c>
      <c r="BL29" s="148">
        <f t="shared" si="33"/>
        <v>1</v>
      </c>
      <c r="BM29" s="453">
        <f t="shared" si="25"/>
        <v>3</v>
      </c>
      <c r="BN29" s="453">
        <f t="shared" si="26"/>
        <v>3</v>
      </c>
      <c r="BO29" s="936"/>
      <c r="BP29" s="300" t="s">
        <v>367</v>
      </c>
      <c r="BQ29" s="168">
        <f t="shared" si="36"/>
        <v>0</v>
      </c>
      <c r="BR29" s="169">
        <f t="shared" si="36"/>
        <v>0.3</v>
      </c>
      <c r="BS29" s="169">
        <f t="shared" si="36"/>
        <v>0.6</v>
      </c>
      <c r="BT29" s="169">
        <f t="shared" si="36"/>
        <v>0.9</v>
      </c>
      <c r="BU29" s="170">
        <f t="shared" si="36"/>
        <v>1</v>
      </c>
    </row>
    <row r="30" spans="2:73" s="94" customFormat="1" ht="12.95" customHeight="1" x14ac:dyDescent="0.2">
      <c r="B30" s="151">
        <f>IF(ISNA(Z30),"",IF(OR(Z30=1,Z30=2),"    ",MAX($B$8:B29)+1))</f>
        <v>19</v>
      </c>
      <c r="C30" s="904" t="str">
        <f t="shared" si="0"/>
        <v xml:space="preserve">      - Sawtooth Climb (Vy) (3.9%)</v>
      </c>
      <c r="D30" s="904"/>
      <c r="E30" s="904"/>
      <c r="F30" s="905"/>
      <c r="G30" s="133">
        <f t="shared" si="1"/>
        <v>1</v>
      </c>
      <c r="H30" s="134" t="str">
        <f t="shared" si="2"/>
        <v>3</v>
      </c>
      <c r="I30" s="152">
        <f t="shared" si="2"/>
        <v>3</v>
      </c>
      <c r="J30" s="157"/>
      <c r="K30" s="154"/>
      <c r="L30" s="1015"/>
      <c r="M30" s="1016"/>
      <c r="N30" s="1016"/>
      <c r="O30" s="1016"/>
      <c r="P30" s="1016"/>
      <c r="Q30" s="1016"/>
      <c r="R30" s="1017"/>
      <c r="T30" s="99">
        <v>23</v>
      </c>
      <c r="U30" s="88" t="s">
        <v>743</v>
      </c>
      <c r="V30" s="453">
        <v>1</v>
      </c>
      <c r="W30" s="453">
        <v>5</v>
      </c>
      <c r="X30" s="453" t="s">
        <v>340</v>
      </c>
      <c r="Y30" s="453" t="s">
        <v>340</v>
      </c>
      <c r="Z30" s="146" t="s">
        <v>340</v>
      </c>
      <c r="AA30" s="146">
        <v>2</v>
      </c>
      <c r="AB30" s="146">
        <v>1</v>
      </c>
      <c r="AC30" s="453">
        <v>3</v>
      </c>
      <c r="AD30" s="453">
        <v>3</v>
      </c>
      <c r="AE30" s="453">
        <v>0</v>
      </c>
      <c r="AF30" s="453" t="b">
        <v>1</v>
      </c>
      <c r="AG30" s="453">
        <f t="shared" si="3"/>
        <v>3</v>
      </c>
      <c r="AH30" s="453">
        <f t="shared" si="4"/>
        <v>2</v>
      </c>
      <c r="AI30" s="138">
        <f>IF(NOT(OR(Z30=1,Z30=2)),IF(AQ30&gt;0,$AR$44*AQ30/SUMIF($AQ$8:$AQ$39,"&gt;0"),IF(AU30&gt;0,$AV$44*AU30/SUMIF($AU$8:$AU$39,"&gt;0"),IF(AS30&gt;0,$AT$44*AS30/SUMIF($AS$8:$AS$39,"&gt;0"),""))),IF(SUMIF(AJ31:$AJ$39,"=" &amp; AJ30,AI31:$AI$39)=0,"",SUMIF(AJ31:$AJ$39,"=" &amp; AJ30,AI31:$AI$39)))</f>
        <v>3.8810352108427683E-2</v>
      </c>
      <c r="AJ30" s="139">
        <f t="shared" si="34"/>
        <v>3</v>
      </c>
      <c r="AK30" s="453">
        <f t="shared" si="27"/>
        <v>3</v>
      </c>
      <c r="AL30" s="146" t="str">
        <f t="shared" si="28"/>
        <v/>
      </c>
      <c r="AM30" s="146" t="str">
        <f t="shared" si="35"/>
        <v/>
      </c>
      <c r="AN30" s="146" t="str">
        <f t="shared" si="5"/>
        <v/>
      </c>
      <c r="AO30" s="146" t="str">
        <f t="shared" si="6"/>
        <v/>
      </c>
      <c r="AP30" s="453" t="b">
        <f t="shared" si="7"/>
        <v>1</v>
      </c>
      <c r="AQ30" s="140">
        <f t="shared" si="29"/>
        <v>5</v>
      </c>
      <c r="AR30" s="141">
        <f t="shared" si="8"/>
        <v>0</v>
      </c>
      <c r="AS30" s="142">
        <f t="shared" si="30"/>
        <v>0</v>
      </c>
      <c r="AT30" s="141">
        <f t="shared" si="9"/>
        <v>0.3</v>
      </c>
      <c r="AU30" s="143">
        <f t="shared" si="10"/>
        <v>0</v>
      </c>
      <c r="AV30" s="144">
        <f t="shared" si="11"/>
        <v>0</v>
      </c>
      <c r="AW30" s="143" t="b">
        <f t="shared" si="12"/>
        <v>0</v>
      </c>
      <c r="AX30" s="145" t="b">
        <f t="shared" si="13"/>
        <v>1</v>
      </c>
      <c r="AY30" s="143" t="b">
        <f t="shared" si="14"/>
        <v>0</v>
      </c>
      <c r="AZ30" s="145" t="b">
        <f t="shared" si="15"/>
        <v>0</v>
      </c>
      <c r="BA30" s="453" t="b">
        <f t="shared" si="16"/>
        <v>0</v>
      </c>
      <c r="BB30" s="453" t="b">
        <f t="shared" si="17"/>
        <v>0</v>
      </c>
      <c r="BC30" s="143" t="b">
        <f t="shared" si="18"/>
        <v>0</v>
      </c>
      <c r="BD30" s="146" t="b">
        <f t="shared" si="31"/>
        <v>0</v>
      </c>
      <c r="BE30" s="145" t="b">
        <f t="shared" si="37"/>
        <v>0</v>
      </c>
      <c r="BF30" s="147" t="b">
        <f t="shared" si="20"/>
        <v>0</v>
      </c>
      <c r="BG30" s="453" t="b">
        <f t="shared" si="38"/>
        <v>1</v>
      </c>
      <c r="BH30" s="453">
        <f t="shared" si="32"/>
        <v>1</v>
      </c>
      <c r="BI30" s="453">
        <f t="shared" si="22"/>
        <v>3</v>
      </c>
      <c r="BJ30" s="453" t="str">
        <f t="shared" si="23"/>
        <v>3</v>
      </c>
      <c r="BK30" s="453">
        <f t="shared" si="24"/>
        <v>3</v>
      </c>
      <c r="BL30" s="148">
        <f t="shared" si="33"/>
        <v>1</v>
      </c>
      <c r="BM30" s="453">
        <f t="shared" si="25"/>
        <v>3</v>
      </c>
      <c r="BN30" s="453">
        <f t="shared" si="26"/>
        <v>3</v>
      </c>
      <c r="BO30" s="90"/>
    </row>
    <row r="31" spans="2:73" s="94" customFormat="1" ht="12.95" customHeight="1" x14ac:dyDescent="0.2">
      <c r="B31" s="151">
        <f>IF(ISNA(Z31),"",IF(OR(Z31=1,Z31=2),"    ",MAX($B$8:B30)+1))</f>
        <v>20</v>
      </c>
      <c r="C31" s="904" t="str">
        <f t="shared" si="0"/>
        <v xml:space="preserve">      - Cruise (Best Endurance) (3.9%)</v>
      </c>
      <c r="D31" s="904"/>
      <c r="E31" s="904"/>
      <c r="F31" s="905"/>
      <c r="G31" s="133">
        <f t="shared" si="1"/>
        <v>1</v>
      </c>
      <c r="H31" s="134" t="str">
        <f t="shared" si="2"/>
        <v>3</v>
      </c>
      <c r="I31" s="152">
        <f t="shared" si="2"/>
        <v>3</v>
      </c>
      <c r="J31" s="157"/>
      <c r="K31" s="154"/>
      <c r="L31" s="1015"/>
      <c r="M31" s="1016"/>
      <c r="N31" s="1016"/>
      <c r="O31" s="1016"/>
      <c r="P31" s="1016"/>
      <c r="Q31" s="1016"/>
      <c r="R31" s="1017"/>
      <c r="T31" s="99">
        <v>24</v>
      </c>
      <c r="U31" s="88" t="s">
        <v>744</v>
      </c>
      <c r="V31" s="453">
        <v>1</v>
      </c>
      <c r="W31" s="453">
        <v>5</v>
      </c>
      <c r="X31" s="453" t="s">
        <v>340</v>
      </c>
      <c r="Y31" s="453" t="s">
        <v>340</v>
      </c>
      <c r="Z31" s="146" t="s">
        <v>340</v>
      </c>
      <c r="AA31" s="146">
        <v>2</v>
      </c>
      <c r="AB31" s="146">
        <v>1</v>
      </c>
      <c r="AC31" s="453">
        <v>3</v>
      </c>
      <c r="AD31" s="453">
        <v>3</v>
      </c>
      <c r="AE31" s="453">
        <v>0</v>
      </c>
      <c r="AF31" s="453" t="b">
        <v>1</v>
      </c>
      <c r="AG31" s="453">
        <f t="shared" si="3"/>
        <v>3</v>
      </c>
      <c r="AH31" s="453">
        <f t="shared" si="4"/>
        <v>2</v>
      </c>
      <c r="AI31" s="138">
        <f>IF(NOT(OR(Z31=1,Z31=2)),IF(AQ31&gt;0,$AR$44*AQ31/SUMIF($AQ$8:$AQ$39,"&gt;0"),IF(AU31&gt;0,$AV$44*AU31/SUMIF($AU$8:$AU$39,"&gt;0"),IF(AS31&gt;0,$AT$44*AS31/SUMIF($AS$8:$AS$39,"&gt;0"),""))),IF(SUMIF(AJ32:$AJ$39,"=" &amp; AJ31,AI32:$AI$39)=0,"",SUMIF(AJ32:$AJ$39,"=" &amp; AJ31,AI32:$AI$39)))</f>
        <v>3.8810352108427683E-2</v>
      </c>
      <c r="AJ31" s="139">
        <f t="shared" si="34"/>
        <v>3</v>
      </c>
      <c r="AK31" s="453">
        <f t="shared" si="27"/>
        <v>3</v>
      </c>
      <c r="AL31" s="146" t="str">
        <f t="shared" si="28"/>
        <v/>
      </c>
      <c r="AM31" s="146" t="str">
        <f t="shared" si="35"/>
        <v/>
      </c>
      <c r="AN31" s="146" t="str">
        <f t="shared" si="5"/>
        <v/>
      </c>
      <c r="AO31" s="146" t="str">
        <f t="shared" si="6"/>
        <v/>
      </c>
      <c r="AP31" s="453" t="b">
        <f t="shared" si="7"/>
        <v>1</v>
      </c>
      <c r="AQ31" s="140">
        <f t="shared" si="29"/>
        <v>5</v>
      </c>
      <c r="AR31" s="141">
        <f t="shared" si="8"/>
        <v>0</v>
      </c>
      <c r="AS31" s="142">
        <f t="shared" si="30"/>
        <v>0</v>
      </c>
      <c r="AT31" s="141">
        <f t="shared" si="9"/>
        <v>0.3</v>
      </c>
      <c r="AU31" s="143">
        <f t="shared" si="10"/>
        <v>0</v>
      </c>
      <c r="AV31" s="144">
        <f t="shared" si="11"/>
        <v>0</v>
      </c>
      <c r="AW31" s="143" t="b">
        <f t="shared" si="12"/>
        <v>0</v>
      </c>
      <c r="AX31" s="145" t="b">
        <f t="shared" si="13"/>
        <v>1</v>
      </c>
      <c r="AY31" s="143" t="b">
        <f t="shared" si="14"/>
        <v>0</v>
      </c>
      <c r="AZ31" s="145" t="b">
        <f t="shared" si="15"/>
        <v>0</v>
      </c>
      <c r="BA31" s="453" t="b">
        <f t="shared" si="16"/>
        <v>0</v>
      </c>
      <c r="BB31" s="453" t="b">
        <f t="shared" si="17"/>
        <v>0</v>
      </c>
      <c r="BC31" s="143" t="b">
        <f t="shared" si="18"/>
        <v>0</v>
      </c>
      <c r="BD31" s="146" t="b">
        <f>IF(OR(ISNA($Z31),ISNUMBER($Z31),NOT(ISNUMBER(K31))),FALSE,OR(NOT(ISNUMBER(J31)),J31=0,AND(J31=0,K31&lt;&gt;0)))</f>
        <v>0</v>
      </c>
      <c r="BE31" s="145" t="b">
        <f t="shared" si="37"/>
        <v>0</v>
      </c>
      <c r="BF31" s="147" t="b">
        <f>IF(OR(ISNA($Z31),H31&lt;&gt;"NG"),FALSE,IF(AND(J31="NA",K31&lt;&gt;""),TRUE,FALSE))</f>
        <v>0</v>
      </c>
      <c r="BG31" s="453" t="b">
        <f t="shared" si="38"/>
        <v>1</v>
      </c>
      <c r="BH31" s="453">
        <f t="shared" si="32"/>
        <v>1</v>
      </c>
      <c r="BI31" s="453">
        <f t="shared" si="22"/>
        <v>3</v>
      </c>
      <c r="BJ31" s="453" t="str">
        <f t="shared" si="23"/>
        <v>3</v>
      </c>
      <c r="BK31" s="453">
        <f t="shared" si="24"/>
        <v>3</v>
      </c>
      <c r="BL31" s="148">
        <f t="shared" si="33"/>
        <v>1</v>
      </c>
      <c r="BM31" s="453">
        <f t="shared" si="25"/>
        <v>3</v>
      </c>
      <c r="BN31" s="453">
        <f t="shared" si="26"/>
        <v>3</v>
      </c>
      <c r="BO31" s="155" t="s">
        <v>368</v>
      </c>
      <c r="BP31" s="161" t="s">
        <v>369</v>
      </c>
    </row>
    <row r="32" spans="2:73" s="94" customFormat="1" ht="12.95" customHeight="1" x14ac:dyDescent="0.2">
      <c r="B32" s="151">
        <f>IF(ISNA(Z32),"",IF(OR(Z32=1,Z32=2),"    ",MAX($B$8:B31)+1))</f>
        <v>21</v>
      </c>
      <c r="C32" s="904" t="str">
        <f t="shared" si="0"/>
        <v xml:space="preserve">      - Cruise (Long Range) (3.9%)</v>
      </c>
      <c r="D32" s="904"/>
      <c r="E32" s="904"/>
      <c r="F32" s="905"/>
      <c r="G32" s="133">
        <f t="shared" si="1"/>
        <v>1</v>
      </c>
      <c r="H32" s="134" t="str">
        <f t="shared" si="2"/>
        <v>3</v>
      </c>
      <c r="I32" s="152">
        <f t="shared" si="2"/>
        <v>3</v>
      </c>
      <c r="J32" s="157"/>
      <c r="K32" s="154"/>
      <c r="L32" s="1015"/>
      <c r="M32" s="1016"/>
      <c r="N32" s="1016"/>
      <c r="O32" s="1016"/>
      <c r="P32" s="1016"/>
      <c r="Q32" s="1016"/>
      <c r="R32" s="1017"/>
      <c r="T32" s="99">
        <v>25</v>
      </c>
      <c r="U32" s="88" t="s">
        <v>745</v>
      </c>
      <c r="V32" s="453">
        <v>1</v>
      </c>
      <c r="W32" s="453">
        <v>5</v>
      </c>
      <c r="X32" s="453" t="s">
        <v>340</v>
      </c>
      <c r="Y32" s="453" t="s">
        <v>340</v>
      </c>
      <c r="Z32" s="146" t="s">
        <v>340</v>
      </c>
      <c r="AA32" s="146">
        <v>2</v>
      </c>
      <c r="AB32" s="146">
        <v>1</v>
      </c>
      <c r="AC32" s="453">
        <v>3</v>
      </c>
      <c r="AD32" s="453">
        <v>3</v>
      </c>
      <c r="AE32" s="453">
        <v>0</v>
      </c>
      <c r="AF32" s="453" t="b">
        <v>1</v>
      </c>
      <c r="AG32" s="453">
        <f t="shared" si="3"/>
        <v>3</v>
      </c>
      <c r="AH32" s="453">
        <f t="shared" si="4"/>
        <v>2</v>
      </c>
      <c r="AI32" s="138">
        <f>IF(NOT(OR(Z32=1,Z32=2)),IF(AQ32&gt;0,$AR$44*AQ32/SUMIF($AQ$8:$AQ$39,"&gt;0"),IF(AU32&gt;0,$AV$44*AU32/SUMIF($AU$8:$AU$39,"&gt;0"),IF(AS32&gt;0,$AT$44*AS32/SUMIF($AS$8:$AS$39,"&gt;0"),""))),IF(SUMIF(AJ33:$AJ$39,"=" &amp; AJ32,AI33:$AI$39)=0,"",SUMIF(AJ33:$AJ$39,"=" &amp; AJ32,AI33:$AI$39)))</f>
        <v>3.8810352108427683E-2</v>
      </c>
      <c r="AJ32" s="139">
        <f t="shared" si="34"/>
        <v>3</v>
      </c>
      <c r="AK32" s="453">
        <f t="shared" si="27"/>
        <v>3</v>
      </c>
      <c r="AL32" s="146" t="str">
        <f t="shared" si="28"/>
        <v/>
      </c>
      <c r="AM32" s="146" t="str">
        <f t="shared" si="35"/>
        <v/>
      </c>
      <c r="AN32" s="146" t="str">
        <f t="shared" si="5"/>
        <v/>
      </c>
      <c r="AO32" s="146" t="str">
        <f t="shared" si="6"/>
        <v/>
      </c>
      <c r="AP32" s="453" t="b">
        <f t="shared" si="7"/>
        <v>1</v>
      </c>
      <c r="AQ32" s="140">
        <f t="shared" si="29"/>
        <v>5</v>
      </c>
      <c r="AR32" s="141">
        <f t="shared" si="8"/>
        <v>0</v>
      </c>
      <c r="AS32" s="142">
        <f t="shared" si="30"/>
        <v>0</v>
      </c>
      <c r="AT32" s="141">
        <f t="shared" si="9"/>
        <v>0.3</v>
      </c>
      <c r="AU32" s="143">
        <f t="shared" si="10"/>
        <v>0</v>
      </c>
      <c r="AV32" s="144">
        <f t="shared" si="11"/>
        <v>0</v>
      </c>
      <c r="AW32" s="143" t="b">
        <f t="shared" si="12"/>
        <v>0</v>
      </c>
      <c r="AX32" s="145" t="b">
        <f t="shared" si="13"/>
        <v>1</v>
      </c>
      <c r="AY32" s="143" t="b">
        <f t="shared" si="14"/>
        <v>0</v>
      </c>
      <c r="AZ32" s="145" t="b">
        <f t="shared" si="15"/>
        <v>0</v>
      </c>
      <c r="BA32" s="453" t="b">
        <f t="shared" si="16"/>
        <v>0</v>
      </c>
      <c r="BB32" s="453" t="b">
        <f t="shared" si="17"/>
        <v>0</v>
      </c>
      <c r="BC32" s="143" t="b">
        <f t="shared" si="18"/>
        <v>0</v>
      </c>
      <c r="BD32" s="146" t="b">
        <f t="shared" si="31"/>
        <v>0</v>
      </c>
      <c r="BE32" s="145" t="b">
        <f t="shared" si="37"/>
        <v>0</v>
      </c>
      <c r="BF32" s="147" t="b">
        <f t="shared" ref="BF32:BF39" si="39">IF(OR(ISNA($Z32),H32&lt;&gt;"NG"),FALSE,IF(AND(J32="NA",K32&lt;&gt;""),TRUE,FALSE))</f>
        <v>0</v>
      </c>
      <c r="BG32" s="453" t="b">
        <f t="shared" si="38"/>
        <v>1</v>
      </c>
      <c r="BH32" s="453">
        <f t="shared" si="32"/>
        <v>1</v>
      </c>
      <c r="BI32" s="453">
        <f t="shared" si="22"/>
        <v>3</v>
      </c>
      <c r="BJ32" s="453" t="str">
        <f t="shared" si="23"/>
        <v>3</v>
      </c>
      <c r="BK32" s="453">
        <f t="shared" si="24"/>
        <v>3</v>
      </c>
      <c r="BL32" s="148">
        <f t="shared" si="33"/>
        <v>1</v>
      </c>
      <c r="BM32" s="453">
        <f t="shared" si="25"/>
        <v>3</v>
      </c>
      <c r="BN32" s="453">
        <f t="shared" si="26"/>
        <v>3</v>
      </c>
      <c r="BO32" s="155" t="s">
        <v>370</v>
      </c>
      <c r="BP32" s="161" t="s">
        <v>371</v>
      </c>
    </row>
    <row r="33" spans="2:73" s="94" customFormat="1" ht="12.95" customHeight="1" x14ac:dyDescent="0.2">
      <c r="B33" s="151">
        <f>IF(ISNA(Z33),"",IF(OR(Z33=1,Z33=2),"    ",MAX($B$8:B32)+1))</f>
        <v>22</v>
      </c>
      <c r="C33" s="904" t="str">
        <f t="shared" si="0"/>
        <v xml:space="preserve">      - Sustained Turn, 1g (1.9%)</v>
      </c>
      <c r="D33" s="904"/>
      <c r="E33" s="904"/>
      <c r="F33" s="905"/>
      <c r="G33" s="133">
        <f t="shared" si="1"/>
        <v>1</v>
      </c>
      <c r="H33" s="134" t="str">
        <f t="shared" si="2"/>
        <v>3</v>
      </c>
      <c r="I33" s="152">
        <f t="shared" si="2"/>
        <v>3</v>
      </c>
      <c r="J33" s="157"/>
      <c r="K33" s="154"/>
      <c r="L33" s="1015"/>
      <c r="M33" s="1016"/>
      <c r="N33" s="1016"/>
      <c r="O33" s="1016"/>
      <c r="P33" s="1016"/>
      <c r="Q33" s="1016"/>
      <c r="R33" s="1017"/>
      <c r="T33" s="99">
        <v>26</v>
      </c>
      <c r="U33" s="88" t="s">
        <v>746</v>
      </c>
      <c r="V33" s="453">
        <v>1</v>
      </c>
      <c r="W33" s="453">
        <v>2.5</v>
      </c>
      <c r="X33" s="453" t="s">
        <v>340</v>
      </c>
      <c r="Y33" s="453" t="s">
        <v>340</v>
      </c>
      <c r="Z33" s="146" t="s">
        <v>340</v>
      </c>
      <c r="AA33" s="146">
        <v>2</v>
      </c>
      <c r="AB33" s="146">
        <v>1</v>
      </c>
      <c r="AC33" s="453">
        <v>3</v>
      </c>
      <c r="AD33" s="453">
        <v>3</v>
      </c>
      <c r="AE33" s="453">
        <v>0</v>
      </c>
      <c r="AF33" s="453" t="b">
        <v>1</v>
      </c>
      <c r="AG33" s="453">
        <f t="shared" si="3"/>
        <v>3</v>
      </c>
      <c r="AH33" s="453">
        <f t="shared" si="4"/>
        <v>2</v>
      </c>
      <c r="AI33" s="138">
        <f>IF(NOT(OR(Z33=1,Z33=2)),IF(AQ33&gt;0,$AR$44*AQ33/SUMIF($AQ$8:$AQ$39,"&gt;0"),IF(AU33&gt;0,$AV$44*AU33/SUMIF($AU$8:$AU$39,"&gt;0"),IF(AS33&gt;0,$AT$44*AS33/SUMIF($AS$8:$AS$39,"&gt;0"),""))),IF(SUMIF(AJ34:$AJ$39,"=" &amp; AJ33,AI34:$AI$39)=0,"",SUMIF(AJ34:$AJ$39,"=" &amp; AJ33,AI34:$AI$39)))</f>
        <v>1.9405176054213841E-2</v>
      </c>
      <c r="AJ33" s="139">
        <f t="shared" si="34"/>
        <v>3</v>
      </c>
      <c r="AK33" s="453">
        <f t="shared" si="27"/>
        <v>3</v>
      </c>
      <c r="AL33" s="146" t="str">
        <f t="shared" si="28"/>
        <v/>
      </c>
      <c r="AM33" s="146" t="str">
        <f t="shared" si="35"/>
        <v/>
      </c>
      <c r="AN33" s="146" t="str">
        <f t="shared" si="5"/>
        <v/>
      </c>
      <c r="AO33" s="146" t="str">
        <f t="shared" si="6"/>
        <v/>
      </c>
      <c r="AP33" s="453" t="b">
        <f t="shared" si="7"/>
        <v>1</v>
      </c>
      <c r="AQ33" s="140">
        <f t="shared" si="29"/>
        <v>2.5</v>
      </c>
      <c r="AR33" s="141">
        <f t="shared" si="8"/>
        <v>0</v>
      </c>
      <c r="AS33" s="142">
        <f t="shared" si="30"/>
        <v>0</v>
      </c>
      <c r="AT33" s="141">
        <f t="shared" si="9"/>
        <v>0.3</v>
      </c>
      <c r="AU33" s="143">
        <f t="shared" si="10"/>
        <v>0</v>
      </c>
      <c r="AV33" s="144">
        <f t="shared" si="11"/>
        <v>0</v>
      </c>
      <c r="AW33" s="143" t="b">
        <f t="shared" si="12"/>
        <v>0</v>
      </c>
      <c r="AX33" s="145" t="b">
        <f t="shared" si="13"/>
        <v>1</v>
      </c>
      <c r="AY33" s="143" t="b">
        <f t="shared" si="14"/>
        <v>0</v>
      </c>
      <c r="AZ33" s="145" t="b">
        <f t="shared" si="15"/>
        <v>0</v>
      </c>
      <c r="BA33" s="453" t="b">
        <f t="shared" si="16"/>
        <v>0</v>
      </c>
      <c r="BB33" s="453" t="b">
        <f t="shared" si="17"/>
        <v>0</v>
      </c>
      <c r="BC33" s="143" t="b">
        <f t="shared" si="18"/>
        <v>0</v>
      </c>
      <c r="BD33" s="146" t="b">
        <f t="shared" si="31"/>
        <v>0</v>
      </c>
      <c r="BE33" s="145" t="b">
        <f t="shared" si="37"/>
        <v>0</v>
      </c>
      <c r="BF33" s="147" t="b">
        <f t="shared" si="39"/>
        <v>0</v>
      </c>
      <c r="BG33" s="453" t="b">
        <f t="shared" si="38"/>
        <v>1</v>
      </c>
      <c r="BH33" s="453">
        <f t="shared" si="32"/>
        <v>1</v>
      </c>
      <c r="BI33" s="453">
        <f t="shared" si="22"/>
        <v>3</v>
      </c>
      <c r="BJ33" s="453" t="str">
        <f t="shared" si="23"/>
        <v>3</v>
      </c>
      <c r="BK33" s="453">
        <f t="shared" si="24"/>
        <v>3</v>
      </c>
      <c r="BL33" s="148">
        <f t="shared" si="33"/>
        <v>1</v>
      </c>
      <c r="BM33" s="453">
        <f t="shared" si="25"/>
        <v>3</v>
      </c>
      <c r="BN33" s="453">
        <f t="shared" si="26"/>
        <v>3</v>
      </c>
      <c r="BO33" s="150" t="s">
        <v>372</v>
      </c>
      <c r="BP33" s="161"/>
      <c r="BQ33" s="161"/>
      <c r="BR33" s="161"/>
      <c r="BS33" s="161"/>
      <c r="BT33" s="161"/>
      <c r="BU33" s="161"/>
    </row>
    <row r="34" spans="2:73" s="94" customFormat="1" ht="12.95" customHeight="1" x14ac:dyDescent="0.2">
      <c r="B34" s="151">
        <f>IF(ISNA(Z34),"",IF(OR(Z34=1,Z34=2),"    ",MAX($B$8:B33)+1))</f>
        <v>23</v>
      </c>
      <c r="C34" s="904" t="str">
        <f t="shared" si="0"/>
        <v xml:space="preserve">      - Sustained Turn, TBD (1.9%)</v>
      </c>
      <c r="D34" s="904"/>
      <c r="E34" s="904"/>
      <c r="F34" s="905"/>
      <c r="G34" s="133">
        <f t="shared" si="1"/>
        <v>1</v>
      </c>
      <c r="H34" s="134" t="str">
        <f t="shared" si="2"/>
        <v>3</v>
      </c>
      <c r="I34" s="152">
        <f t="shared" si="2"/>
        <v>3</v>
      </c>
      <c r="J34" s="157"/>
      <c r="K34" s="154"/>
      <c r="L34" s="1015"/>
      <c r="M34" s="1016"/>
      <c r="N34" s="1016"/>
      <c r="O34" s="1016"/>
      <c r="P34" s="1016"/>
      <c r="Q34" s="1016"/>
      <c r="R34" s="1017"/>
      <c r="T34" s="99">
        <v>27</v>
      </c>
      <c r="U34" s="88" t="s">
        <v>747</v>
      </c>
      <c r="V34" s="453">
        <v>1</v>
      </c>
      <c r="W34" s="453">
        <v>2.5</v>
      </c>
      <c r="X34" s="453" t="s">
        <v>340</v>
      </c>
      <c r="Y34" s="453" t="s">
        <v>340</v>
      </c>
      <c r="Z34" s="146" t="s">
        <v>340</v>
      </c>
      <c r="AA34" s="146">
        <v>2</v>
      </c>
      <c r="AB34" s="146">
        <v>1</v>
      </c>
      <c r="AC34" s="453">
        <v>3</v>
      </c>
      <c r="AD34" s="453">
        <v>3</v>
      </c>
      <c r="AE34" s="453">
        <v>0</v>
      </c>
      <c r="AF34" s="453" t="b">
        <v>1</v>
      </c>
      <c r="AG34" s="453">
        <f t="shared" si="3"/>
        <v>3</v>
      </c>
      <c r="AH34" s="453">
        <f t="shared" si="4"/>
        <v>2</v>
      </c>
      <c r="AI34" s="138">
        <f>IF(NOT(OR(Z34=1,Z34=2)),IF(AQ34&gt;0,$AR$44*AQ34/SUMIF($AQ$8:$AQ$39,"&gt;0"),IF(AU34&gt;0,$AV$44*AU34/SUMIF($AU$8:$AU$39,"&gt;0"),IF(AS34&gt;0,$AT$44*AS34/SUMIF($AS$8:$AS$39,"&gt;0"),""))),IF(SUMIF(AJ35:$AJ$39,"=" &amp; AJ34,AI35:$AI$39)=0,"",SUMIF(AJ35:$AJ$39,"=" &amp; AJ34,AI35:$AI$39)))</f>
        <v>1.9405176054213841E-2</v>
      </c>
      <c r="AJ34" s="139">
        <f t="shared" si="34"/>
        <v>3</v>
      </c>
      <c r="AK34" s="453">
        <f t="shared" si="27"/>
        <v>3</v>
      </c>
      <c r="AL34" s="146" t="str">
        <f t="shared" si="28"/>
        <v/>
      </c>
      <c r="AM34" s="146" t="str">
        <f t="shared" si="35"/>
        <v/>
      </c>
      <c r="AN34" s="146" t="str">
        <f t="shared" si="5"/>
        <v/>
      </c>
      <c r="AO34" s="146" t="str">
        <f t="shared" si="6"/>
        <v/>
      </c>
      <c r="AP34" s="453" t="b">
        <f t="shared" si="7"/>
        <v>1</v>
      </c>
      <c r="AQ34" s="140">
        <f t="shared" si="29"/>
        <v>2.5</v>
      </c>
      <c r="AR34" s="141">
        <f t="shared" si="8"/>
        <v>0</v>
      </c>
      <c r="AS34" s="142">
        <f t="shared" si="30"/>
        <v>0</v>
      </c>
      <c r="AT34" s="141">
        <f t="shared" si="9"/>
        <v>0.3</v>
      </c>
      <c r="AU34" s="143">
        <f t="shared" si="10"/>
        <v>0</v>
      </c>
      <c r="AV34" s="144">
        <f t="shared" si="11"/>
        <v>0</v>
      </c>
      <c r="AW34" s="143" t="b">
        <f t="shared" si="12"/>
        <v>0</v>
      </c>
      <c r="AX34" s="145" t="b">
        <f t="shared" si="13"/>
        <v>1</v>
      </c>
      <c r="AY34" s="143" t="b">
        <f t="shared" si="14"/>
        <v>0</v>
      </c>
      <c r="AZ34" s="145" t="b">
        <f t="shared" si="15"/>
        <v>0</v>
      </c>
      <c r="BA34" s="453" t="b">
        <f t="shared" si="16"/>
        <v>0</v>
      </c>
      <c r="BB34" s="453" t="b">
        <f t="shared" si="17"/>
        <v>0</v>
      </c>
      <c r="BC34" s="143" t="b">
        <f t="shared" si="18"/>
        <v>0</v>
      </c>
      <c r="BD34" s="146" t="b">
        <f t="shared" si="31"/>
        <v>0</v>
      </c>
      <c r="BE34" s="145" t="b">
        <f t="shared" si="37"/>
        <v>0</v>
      </c>
      <c r="BF34" s="147" t="b">
        <f t="shared" si="39"/>
        <v>0</v>
      </c>
      <c r="BG34" s="453" t="b">
        <f t="shared" si="38"/>
        <v>1</v>
      </c>
      <c r="BH34" s="453">
        <f t="shared" si="32"/>
        <v>1</v>
      </c>
      <c r="BI34" s="453">
        <f t="shared" si="22"/>
        <v>3</v>
      </c>
      <c r="BJ34" s="453" t="str">
        <f t="shared" si="23"/>
        <v>3</v>
      </c>
      <c r="BK34" s="453">
        <f t="shared" si="24"/>
        <v>3</v>
      </c>
      <c r="BL34" s="148">
        <f t="shared" si="33"/>
        <v>1</v>
      </c>
      <c r="BM34" s="453">
        <f t="shared" si="25"/>
        <v>3</v>
      </c>
      <c r="BN34" s="453">
        <f t="shared" si="26"/>
        <v>3</v>
      </c>
      <c r="BO34" s="1023"/>
      <c r="BP34" s="1024"/>
      <c r="BQ34" s="1024"/>
      <c r="BR34" s="1024"/>
      <c r="BS34" s="1024"/>
      <c r="BT34" s="1024"/>
      <c r="BU34" s="1025"/>
    </row>
    <row r="35" spans="2:73" s="94" customFormat="1" ht="12.95" customHeight="1" x14ac:dyDescent="0.2">
      <c r="B35" s="151">
        <f>IF(ISNA(Z35),"",IF(OR(Z35=1,Z35=2),"    ",MAX($B$8:B34)+1))</f>
        <v>24</v>
      </c>
      <c r="C35" s="904" t="str">
        <f t="shared" si="0"/>
        <v xml:space="preserve">      - Sustained Turn, TBD (1.9%)</v>
      </c>
      <c r="D35" s="904"/>
      <c r="E35" s="904"/>
      <c r="F35" s="905"/>
      <c r="G35" s="133">
        <f t="shared" si="1"/>
        <v>1</v>
      </c>
      <c r="H35" s="134" t="str">
        <f t="shared" si="2"/>
        <v>3</v>
      </c>
      <c r="I35" s="152">
        <f t="shared" si="2"/>
        <v>3</v>
      </c>
      <c r="J35" s="157"/>
      <c r="K35" s="154"/>
      <c r="L35" s="1015"/>
      <c r="M35" s="1016"/>
      <c r="N35" s="1016"/>
      <c r="O35" s="1016"/>
      <c r="P35" s="1016"/>
      <c r="Q35" s="1016"/>
      <c r="R35" s="1017"/>
      <c r="T35" s="99">
        <v>28</v>
      </c>
      <c r="U35" s="88" t="s">
        <v>747</v>
      </c>
      <c r="V35" s="453">
        <v>1</v>
      </c>
      <c r="W35" s="453">
        <v>2.5</v>
      </c>
      <c r="X35" s="453" t="s">
        <v>340</v>
      </c>
      <c r="Y35" s="453" t="s">
        <v>340</v>
      </c>
      <c r="Z35" s="146" t="s">
        <v>340</v>
      </c>
      <c r="AA35" s="146">
        <v>2</v>
      </c>
      <c r="AB35" s="146">
        <v>1</v>
      </c>
      <c r="AC35" s="453">
        <v>3</v>
      </c>
      <c r="AD35" s="453">
        <v>3</v>
      </c>
      <c r="AE35" s="453">
        <v>0</v>
      </c>
      <c r="AF35" s="453" t="b">
        <v>1</v>
      </c>
      <c r="AG35" s="453">
        <f t="shared" si="3"/>
        <v>3</v>
      </c>
      <c r="AH35" s="453">
        <f t="shared" si="4"/>
        <v>2</v>
      </c>
      <c r="AI35" s="138">
        <f>IF(NOT(OR(Z35=1,Z35=2)),IF(AQ35&gt;0,$AR$44*AQ35/SUMIF($AQ$8:$AQ$39,"&gt;0"),IF(AU35&gt;0,$AV$44*AU35/SUMIF($AU$8:$AU$39,"&gt;0"),IF(AS35&gt;0,$AT$44*AS35/SUMIF($AS$8:$AS$39,"&gt;0"),""))),IF(SUMIF(AJ36:$AJ$39,"=" &amp; AJ35,AI36:$AI$39)=0,"",SUMIF(AJ36:$AJ$39,"=" &amp; AJ35,AI36:$AI$39)))</f>
        <v>1.9405176054213841E-2</v>
      </c>
      <c r="AJ35" s="139">
        <f t="shared" si="34"/>
        <v>3</v>
      </c>
      <c r="AK35" s="453">
        <f t="shared" si="27"/>
        <v>3</v>
      </c>
      <c r="AL35" s="146" t="str">
        <f t="shared" si="28"/>
        <v/>
      </c>
      <c r="AM35" s="146" t="str">
        <f t="shared" si="35"/>
        <v/>
      </c>
      <c r="AN35" s="146" t="str">
        <f t="shared" si="5"/>
        <v/>
      </c>
      <c r="AO35" s="146" t="str">
        <f t="shared" si="6"/>
        <v/>
      </c>
      <c r="AP35" s="453" t="b">
        <f t="shared" si="7"/>
        <v>1</v>
      </c>
      <c r="AQ35" s="140">
        <f t="shared" si="29"/>
        <v>2.5</v>
      </c>
      <c r="AR35" s="141">
        <f t="shared" si="8"/>
        <v>0</v>
      </c>
      <c r="AS35" s="142">
        <f t="shared" si="30"/>
        <v>0</v>
      </c>
      <c r="AT35" s="141">
        <f t="shared" si="9"/>
        <v>0.3</v>
      </c>
      <c r="AU35" s="143">
        <f t="shared" si="10"/>
        <v>0</v>
      </c>
      <c r="AV35" s="144">
        <f t="shared" si="11"/>
        <v>0</v>
      </c>
      <c r="AW35" s="143" t="b">
        <f t="shared" si="12"/>
        <v>0</v>
      </c>
      <c r="AX35" s="145" t="b">
        <f t="shared" si="13"/>
        <v>1</v>
      </c>
      <c r="AY35" s="143" t="b">
        <f t="shared" si="14"/>
        <v>0</v>
      </c>
      <c r="AZ35" s="145" t="b">
        <f t="shared" si="15"/>
        <v>0</v>
      </c>
      <c r="BA35" s="453" t="b">
        <f t="shared" si="16"/>
        <v>0</v>
      </c>
      <c r="BB35" s="453" t="b">
        <f t="shared" si="17"/>
        <v>0</v>
      </c>
      <c r="BC35" s="143" t="b">
        <f t="shared" si="18"/>
        <v>0</v>
      </c>
      <c r="BD35" s="146" t="b">
        <f t="shared" si="31"/>
        <v>0</v>
      </c>
      <c r="BE35" s="145" t="b">
        <f t="shared" si="37"/>
        <v>0</v>
      </c>
      <c r="BF35" s="147" t="b">
        <f t="shared" si="39"/>
        <v>0</v>
      </c>
      <c r="BG35" s="453" t="b">
        <f t="shared" si="38"/>
        <v>1</v>
      </c>
      <c r="BH35" s="453">
        <f t="shared" si="32"/>
        <v>1</v>
      </c>
      <c r="BI35" s="453">
        <f t="shared" si="22"/>
        <v>3</v>
      </c>
      <c r="BJ35" s="453" t="str">
        <f t="shared" si="23"/>
        <v>3</v>
      </c>
      <c r="BK35" s="453">
        <f t="shared" si="24"/>
        <v>3</v>
      </c>
      <c r="BL35" s="148">
        <f t="shared" si="33"/>
        <v>1</v>
      </c>
      <c r="BM35" s="453">
        <f t="shared" si="25"/>
        <v>3</v>
      </c>
      <c r="BN35" s="453">
        <f t="shared" si="26"/>
        <v>3</v>
      </c>
      <c r="BO35" s="1026"/>
      <c r="BP35" s="1027"/>
      <c r="BQ35" s="1027"/>
      <c r="BR35" s="1027"/>
      <c r="BS35" s="1027"/>
      <c r="BT35" s="1027"/>
      <c r="BU35" s="1028"/>
    </row>
    <row r="36" spans="2:73" s="94" customFormat="1" ht="12.95" customHeight="1" x14ac:dyDescent="0.2">
      <c r="B36" s="151">
        <f>IF(ISNA(Z36),"",IF(OR(Z36=1,Z36=2),"    ",MAX($B$8:B35)+1))</f>
        <v>25</v>
      </c>
      <c r="C36" s="904" t="str">
        <f t="shared" si="0"/>
        <v xml:space="preserve">      - Sustained Turn, TBD (1.9%)</v>
      </c>
      <c r="D36" s="904"/>
      <c r="E36" s="904"/>
      <c r="F36" s="905"/>
      <c r="G36" s="133">
        <f t="shared" si="1"/>
        <v>1</v>
      </c>
      <c r="H36" s="134" t="str">
        <f t="shared" si="2"/>
        <v>3</v>
      </c>
      <c r="I36" s="152">
        <f t="shared" si="2"/>
        <v>3</v>
      </c>
      <c r="J36" s="157"/>
      <c r="K36" s="154"/>
      <c r="L36" s="1015"/>
      <c r="M36" s="1016"/>
      <c r="N36" s="1016"/>
      <c r="O36" s="1016"/>
      <c r="P36" s="1016"/>
      <c r="Q36" s="1016"/>
      <c r="R36" s="1017"/>
      <c r="T36" s="99">
        <v>29</v>
      </c>
      <c r="U36" s="88" t="s">
        <v>747</v>
      </c>
      <c r="V36" s="453">
        <v>1</v>
      </c>
      <c r="W36" s="453">
        <v>2.5</v>
      </c>
      <c r="X36" s="453" t="s">
        <v>340</v>
      </c>
      <c r="Y36" s="453" t="s">
        <v>340</v>
      </c>
      <c r="Z36" s="146" t="s">
        <v>340</v>
      </c>
      <c r="AA36" s="146">
        <v>2</v>
      </c>
      <c r="AB36" s="146">
        <v>1</v>
      </c>
      <c r="AC36" s="453">
        <v>3</v>
      </c>
      <c r="AD36" s="453">
        <v>3</v>
      </c>
      <c r="AE36" s="453">
        <v>0</v>
      </c>
      <c r="AF36" s="453" t="b">
        <v>1</v>
      </c>
      <c r="AG36" s="453">
        <f t="shared" si="3"/>
        <v>3</v>
      </c>
      <c r="AH36" s="453">
        <f t="shared" si="4"/>
        <v>2</v>
      </c>
      <c r="AI36" s="138">
        <f>IF(NOT(OR(Z36=1,Z36=2)),IF(AQ36&gt;0,$AR$44*AQ36/SUMIF($AQ$8:$AQ$39,"&gt;0"),IF(AU36&gt;0,$AV$44*AU36/SUMIF($AU$8:$AU$39,"&gt;0"),IF(AS36&gt;0,$AT$44*AS36/SUMIF($AS$8:$AS$39,"&gt;0"),""))),IF(SUMIF(AJ37:$AJ$39,"=" &amp; AJ36,AI37:$AI$39)=0,"",SUMIF(AJ37:$AJ$39,"=" &amp; AJ36,AI37:$AI$39)))</f>
        <v>1.9405176054213841E-2</v>
      </c>
      <c r="AJ36" s="139">
        <f t="shared" si="34"/>
        <v>3</v>
      </c>
      <c r="AK36" s="453">
        <f t="shared" si="27"/>
        <v>3</v>
      </c>
      <c r="AL36" s="146" t="str">
        <f t="shared" si="28"/>
        <v/>
      </c>
      <c r="AM36" s="146" t="str">
        <f t="shared" si="35"/>
        <v/>
      </c>
      <c r="AN36" s="146" t="str">
        <f t="shared" si="5"/>
        <v/>
      </c>
      <c r="AO36" s="146" t="str">
        <f t="shared" si="6"/>
        <v/>
      </c>
      <c r="AP36" s="453" t="b">
        <f t="shared" si="7"/>
        <v>1</v>
      </c>
      <c r="AQ36" s="140">
        <f t="shared" si="29"/>
        <v>2.5</v>
      </c>
      <c r="AR36" s="141">
        <f t="shared" si="8"/>
        <v>0</v>
      </c>
      <c r="AS36" s="142">
        <f t="shared" si="30"/>
        <v>0</v>
      </c>
      <c r="AT36" s="141">
        <f t="shared" si="9"/>
        <v>0.3</v>
      </c>
      <c r="AU36" s="143">
        <f t="shared" si="10"/>
        <v>0</v>
      </c>
      <c r="AV36" s="144">
        <f t="shared" si="11"/>
        <v>0</v>
      </c>
      <c r="AW36" s="143" t="b">
        <f t="shared" si="12"/>
        <v>0</v>
      </c>
      <c r="AX36" s="145" t="b">
        <f t="shared" si="13"/>
        <v>1</v>
      </c>
      <c r="AY36" s="143" t="b">
        <f t="shared" si="14"/>
        <v>0</v>
      </c>
      <c r="AZ36" s="145" t="b">
        <f t="shared" si="15"/>
        <v>0</v>
      </c>
      <c r="BA36" s="453" t="b">
        <f t="shared" si="16"/>
        <v>0</v>
      </c>
      <c r="BB36" s="453" t="b">
        <f t="shared" si="17"/>
        <v>0</v>
      </c>
      <c r="BC36" s="143" t="b">
        <f t="shared" si="18"/>
        <v>0</v>
      </c>
      <c r="BD36" s="146" t="b">
        <f t="shared" si="31"/>
        <v>0</v>
      </c>
      <c r="BE36" s="145" t="b">
        <f t="shared" si="37"/>
        <v>0</v>
      </c>
      <c r="BF36" s="147" t="b">
        <f t="shared" si="39"/>
        <v>0</v>
      </c>
      <c r="BG36" s="453" t="b">
        <f t="shared" si="38"/>
        <v>1</v>
      </c>
      <c r="BH36" s="453">
        <f t="shared" si="32"/>
        <v>1</v>
      </c>
      <c r="BI36" s="453">
        <f t="shared" si="22"/>
        <v>3</v>
      </c>
      <c r="BJ36" s="453" t="str">
        <f t="shared" si="23"/>
        <v>3</v>
      </c>
      <c r="BK36" s="453">
        <f t="shared" si="24"/>
        <v>3</v>
      </c>
      <c r="BL36" s="148">
        <f t="shared" si="33"/>
        <v>1</v>
      </c>
      <c r="BM36" s="453">
        <f t="shared" si="25"/>
        <v>3</v>
      </c>
      <c r="BN36" s="453">
        <f t="shared" si="26"/>
        <v>3</v>
      </c>
      <c r="BO36" s="1026"/>
      <c r="BP36" s="1027"/>
      <c r="BQ36" s="1027"/>
      <c r="BR36" s="1027"/>
      <c r="BS36" s="1027"/>
      <c r="BT36" s="1027"/>
      <c r="BU36" s="1028"/>
    </row>
    <row r="37" spans="2:73" s="94" customFormat="1" ht="12.95" customHeight="1" x14ac:dyDescent="0.2">
      <c r="B37" s="151">
        <f>IF(ISNA(Z37),"",IF(OR(Z37=1,Z37=2),"    ",MAX($B$8:B36)+1))</f>
        <v>26</v>
      </c>
      <c r="C37" s="904" t="str">
        <f>IF(ISNA(Z37),"",CONCATENATE($U37,IF(ISNUMBER(AI37),TEXT(ROUND($AI37,3)," (0.0%)"),""),IF(AU37&gt;0," Bonus","")))</f>
        <v xml:space="preserve">      - Check Descent (3.9%)</v>
      </c>
      <c r="D37" s="904"/>
      <c r="E37" s="904"/>
      <c r="F37" s="905"/>
      <c r="G37" s="133">
        <f t="shared" si="1"/>
        <v>1</v>
      </c>
      <c r="H37" s="134" t="str">
        <f t="shared" si="2"/>
        <v>3</v>
      </c>
      <c r="I37" s="152">
        <f t="shared" si="2"/>
        <v>3</v>
      </c>
      <c r="J37" s="157"/>
      <c r="K37" s="154"/>
      <c r="L37" s="1015"/>
      <c r="M37" s="1016"/>
      <c r="N37" s="1016"/>
      <c r="O37" s="1016"/>
      <c r="P37" s="1016"/>
      <c r="Q37" s="1016"/>
      <c r="R37" s="1017"/>
      <c r="T37" s="99">
        <v>30</v>
      </c>
      <c r="U37" s="88" t="s">
        <v>668</v>
      </c>
      <c r="V37" s="453">
        <v>1</v>
      </c>
      <c r="W37" s="453">
        <v>5</v>
      </c>
      <c r="X37" s="453" t="s">
        <v>340</v>
      </c>
      <c r="Y37" s="453" t="s">
        <v>340</v>
      </c>
      <c r="Z37" s="146" t="s">
        <v>340</v>
      </c>
      <c r="AA37" s="146">
        <v>2</v>
      </c>
      <c r="AB37" s="146">
        <v>1</v>
      </c>
      <c r="AC37" s="453">
        <v>3</v>
      </c>
      <c r="AD37" s="453">
        <v>3</v>
      </c>
      <c r="AE37" s="453">
        <v>0</v>
      </c>
      <c r="AF37" s="453" t="b">
        <v>1</v>
      </c>
      <c r="AG37" s="453">
        <f t="shared" si="3"/>
        <v>3</v>
      </c>
      <c r="AH37" s="453">
        <f t="shared" si="4"/>
        <v>2</v>
      </c>
      <c r="AI37" s="138">
        <f>IF(NOT(OR(Z37=1,Z37=2)),IF(AQ37&gt;0,$AR$44*AQ37/SUMIF($AQ$8:$AQ$39,"&gt;0"),IF(AU37&gt;0,$AV$44*AU37/SUMIF($AU$8:$AU$39,"&gt;0"),IF(AS37&gt;0,$AT$44*AS37/SUMIF($AS$8:$AS$39,"&gt;0"),""))),IF(SUMIF(AJ38:$AJ$39,"=" &amp; AJ37,AI38:$AI$39)=0,"",SUMIF(AJ38:$AJ$39,"=" &amp; AJ37,AI38:$AI$39)))</f>
        <v>3.8810352108427683E-2</v>
      </c>
      <c r="AJ37" s="139">
        <f t="shared" si="34"/>
        <v>3</v>
      </c>
      <c r="AK37" s="453">
        <f t="shared" si="27"/>
        <v>3</v>
      </c>
      <c r="AL37" s="146" t="str">
        <f t="shared" si="28"/>
        <v/>
      </c>
      <c r="AM37" s="146" t="str">
        <f t="shared" si="35"/>
        <v/>
      </c>
      <c r="AN37" s="146" t="str">
        <f>IF(ISNUMBER(AH37),IF(AND(AB37=0,ISNUMBER(AC37),ISNUMBER(AL37)),1,""),"")</f>
        <v/>
      </c>
      <c r="AO37" s="146" t="str">
        <f t="shared" si="6"/>
        <v/>
      </c>
      <c r="AP37" s="453" t="b">
        <f t="shared" si="7"/>
        <v>1</v>
      </c>
      <c r="AQ37" s="140">
        <f t="shared" si="29"/>
        <v>5</v>
      </c>
      <c r="AR37" s="141">
        <f t="shared" si="8"/>
        <v>0</v>
      </c>
      <c r="AS37" s="142">
        <f t="shared" si="30"/>
        <v>0</v>
      </c>
      <c r="AT37" s="141">
        <f t="shared" si="9"/>
        <v>0.3</v>
      </c>
      <c r="AU37" s="143">
        <f t="shared" si="10"/>
        <v>0</v>
      </c>
      <c r="AV37" s="144">
        <f t="shared" si="11"/>
        <v>0</v>
      </c>
      <c r="AW37" s="143" t="b">
        <f t="shared" si="12"/>
        <v>0</v>
      </c>
      <c r="AX37" s="145" t="b">
        <f t="shared" si="13"/>
        <v>1</v>
      </c>
      <c r="AY37" s="143" t="b">
        <f t="shared" si="14"/>
        <v>0</v>
      </c>
      <c r="AZ37" s="145" t="b">
        <f t="shared" si="15"/>
        <v>0</v>
      </c>
      <c r="BA37" s="453" t="b">
        <f t="shared" si="16"/>
        <v>0</v>
      </c>
      <c r="BB37" s="453" t="b">
        <f t="shared" si="17"/>
        <v>0</v>
      </c>
      <c r="BC37" s="143" t="b">
        <f t="shared" si="18"/>
        <v>0</v>
      </c>
      <c r="BD37" s="146" t="b">
        <f t="shared" si="31"/>
        <v>0</v>
      </c>
      <c r="BE37" s="145" t="b">
        <f t="shared" si="37"/>
        <v>0</v>
      </c>
      <c r="BF37" s="147" t="b">
        <f t="shared" si="39"/>
        <v>0</v>
      </c>
      <c r="BG37" s="453" t="b">
        <f t="shared" si="38"/>
        <v>1</v>
      </c>
      <c r="BH37" s="453">
        <f t="shared" si="32"/>
        <v>1</v>
      </c>
      <c r="BI37" s="453">
        <f t="shared" si="22"/>
        <v>3</v>
      </c>
      <c r="BJ37" s="453" t="str">
        <f t="shared" si="23"/>
        <v>3</v>
      </c>
      <c r="BK37" s="453">
        <f t="shared" si="24"/>
        <v>3</v>
      </c>
      <c r="BL37" s="148">
        <f t="shared" si="33"/>
        <v>1</v>
      </c>
      <c r="BM37" s="453">
        <f t="shared" si="25"/>
        <v>3</v>
      </c>
      <c r="BN37" s="453">
        <f t="shared" si="26"/>
        <v>3</v>
      </c>
      <c r="BO37" s="1029"/>
      <c r="BP37" s="1030"/>
      <c r="BQ37" s="1030"/>
      <c r="BR37" s="1030"/>
      <c r="BS37" s="1030"/>
      <c r="BT37" s="1030"/>
      <c r="BU37" s="1031"/>
    </row>
    <row r="38" spans="2:73" s="94" customFormat="1" ht="12.95" customHeight="1" x14ac:dyDescent="0.2">
      <c r="B38" s="151">
        <f>IF(ISNA(Z38),"",IF(OR(Z38=1,Z38=2),"    ",MAX($B$8:B37)+1))</f>
        <v>27</v>
      </c>
      <c r="C38" s="904" t="str">
        <f t="shared" ref="C38:C39" si="40">IF(ISNA(Z38),"",CONCATENATE($U38,IF(ISNUMBER(AI38),TEXT(ROUND($AI38,3)," (0.0%)"),""),IF(AU38&gt;0," Bonus","")))</f>
        <v xml:space="preserve">      - Tower Flyby (3.9%)</v>
      </c>
      <c r="D38" s="904"/>
      <c r="E38" s="904"/>
      <c r="F38" s="905"/>
      <c r="G38" s="133">
        <f t="shared" si="1"/>
        <v>1</v>
      </c>
      <c r="H38" s="134" t="str">
        <f t="shared" si="2"/>
        <v>3</v>
      </c>
      <c r="I38" s="152">
        <f t="shared" si="2"/>
        <v>3</v>
      </c>
      <c r="J38" s="157"/>
      <c r="K38" s="154"/>
      <c r="L38" s="1015"/>
      <c r="M38" s="1016"/>
      <c r="N38" s="1016"/>
      <c r="O38" s="1016"/>
      <c r="P38" s="1016"/>
      <c r="Q38" s="1016"/>
      <c r="R38" s="1017"/>
      <c r="T38" s="99">
        <v>31</v>
      </c>
      <c r="U38" s="88" t="s">
        <v>748</v>
      </c>
      <c r="V38" s="453">
        <v>1</v>
      </c>
      <c r="W38" s="453">
        <v>5</v>
      </c>
      <c r="X38" s="453" t="s">
        <v>340</v>
      </c>
      <c r="Y38" s="453" t="s">
        <v>340</v>
      </c>
      <c r="Z38" s="146" t="s">
        <v>340</v>
      </c>
      <c r="AA38" s="146">
        <v>2</v>
      </c>
      <c r="AB38" s="146">
        <v>1</v>
      </c>
      <c r="AC38" s="453">
        <v>3</v>
      </c>
      <c r="AD38" s="453">
        <v>3</v>
      </c>
      <c r="AE38" s="453">
        <v>0</v>
      </c>
      <c r="AF38" s="453" t="b">
        <v>1</v>
      </c>
      <c r="AG38" s="453">
        <f t="shared" si="3"/>
        <v>3</v>
      </c>
      <c r="AH38" s="453">
        <f t="shared" si="4"/>
        <v>2</v>
      </c>
      <c r="AI38" s="138">
        <f>IF(NOT(OR(Z38=1,Z38=2)),IF(AQ38&gt;0,$AR$44*AQ38/SUMIF($AQ$8:$AQ$39,"&gt;0"),IF(AU38&gt;0,$AV$44*AU38/SUMIF($AU$8:$AU$39,"&gt;0"),IF(AS38&gt;0,$AT$44*AS38/SUMIF($AS$8:$AS$39,"&gt;0"),""))),IF(SUMIF(AJ39:$AJ$39,"=" &amp; AJ38,AI39:$AI$39)=0,"",SUMIF(AJ39:$AJ$39,"=" &amp; AJ38,AI39:$AI$39)))</f>
        <v>3.8810352108427683E-2</v>
      </c>
      <c r="AJ38" s="139">
        <f t="shared" si="34"/>
        <v>3</v>
      </c>
      <c r="AK38" s="453">
        <f t="shared" si="27"/>
        <v>3</v>
      </c>
      <c r="AL38" s="146" t="str">
        <f t="shared" si="28"/>
        <v/>
      </c>
      <c r="AM38" s="146" t="str">
        <f t="shared" si="35"/>
        <v/>
      </c>
      <c r="AN38" s="146" t="str">
        <f>IF(ISNUMBER(AH38),IF(AND(AB38=0,ISNUMBER(AC38),ISNUMBER(AL38)),1,""),"")</f>
        <v/>
      </c>
      <c r="AO38" s="146" t="str">
        <f t="shared" si="6"/>
        <v/>
      </c>
      <c r="AP38" s="453" t="b">
        <f t="shared" si="7"/>
        <v>1</v>
      </c>
      <c r="AQ38" s="140">
        <f t="shared" si="29"/>
        <v>5</v>
      </c>
      <c r="AR38" s="141">
        <f t="shared" si="8"/>
        <v>0</v>
      </c>
      <c r="AS38" s="142">
        <f t="shared" si="30"/>
        <v>0</v>
      </c>
      <c r="AT38" s="141">
        <f t="shared" si="9"/>
        <v>0.3</v>
      </c>
      <c r="AU38" s="143">
        <f t="shared" si="10"/>
        <v>0</v>
      </c>
      <c r="AV38" s="144">
        <f t="shared" si="11"/>
        <v>0</v>
      </c>
      <c r="AW38" s="143" t="b">
        <f t="shared" si="12"/>
        <v>0</v>
      </c>
      <c r="AX38" s="145" t="b">
        <f t="shared" si="13"/>
        <v>1</v>
      </c>
      <c r="AY38" s="143" t="b">
        <f t="shared" si="14"/>
        <v>0</v>
      </c>
      <c r="AZ38" s="145" t="b">
        <f t="shared" si="15"/>
        <v>0</v>
      </c>
      <c r="BA38" s="453" t="b">
        <f t="shared" si="16"/>
        <v>0</v>
      </c>
      <c r="BB38" s="453" t="b">
        <f t="shared" si="17"/>
        <v>0</v>
      </c>
      <c r="BC38" s="143" t="b">
        <f t="shared" si="18"/>
        <v>0</v>
      </c>
      <c r="BD38" s="146" t="b">
        <f t="shared" si="31"/>
        <v>0</v>
      </c>
      <c r="BE38" s="145" t="b">
        <f t="shared" si="37"/>
        <v>0</v>
      </c>
      <c r="BF38" s="147" t="b">
        <f t="shared" si="39"/>
        <v>0</v>
      </c>
      <c r="BG38" s="453" t="b">
        <f t="shared" si="38"/>
        <v>1</v>
      </c>
      <c r="BH38" s="453">
        <f t="shared" si="32"/>
        <v>1</v>
      </c>
      <c r="BI38" s="453">
        <f t="shared" si="22"/>
        <v>3</v>
      </c>
      <c r="BJ38" s="453" t="str">
        <f t="shared" si="23"/>
        <v>3</v>
      </c>
      <c r="BK38" s="453">
        <f t="shared" si="24"/>
        <v>3</v>
      </c>
      <c r="BL38" s="148">
        <f t="shared" si="33"/>
        <v>1</v>
      </c>
      <c r="BM38" s="453">
        <f t="shared" si="25"/>
        <v>3</v>
      </c>
      <c r="BN38" s="453">
        <f t="shared" si="26"/>
        <v>3</v>
      </c>
      <c r="BO38" s="150" t="s">
        <v>373</v>
      </c>
      <c r="BP38" s="150"/>
      <c r="BQ38" s="150"/>
      <c r="BR38" s="150"/>
      <c r="BS38" s="150"/>
      <c r="BT38" s="150"/>
      <c r="BU38" s="150"/>
    </row>
    <row r="39" spans="2:73" s="94" customFormat="1" ht="12.95" customHeight="1" thickBot="1" x14ac:dyDescent="0.25">
      <c r="B39" s="151">
        <f>IF(ISNA(Z39),"",IF(OR(Z39=1,Z39=2),"    ",MAX($B$8:B38)+1))</f>
        <v>28</v>
      </c>
      <c r="C39" s="904" t="str">
        <f t="shared" si="40"/>
        <v xml:space="preserve">      - Landing (0.8%)</v>
      </c>
      <c r="D39" s="904"/>
      <c r="E39" s="904"/>
      <c r="F39" s="905"/>
      <c r="G39" s="171">
        <f t="shared" si="1"/>
        <v>1</v>
      </c>
      <c r="H39" s="134" t="str">
        <f t="shared" si="2"/>
        <v>1</v>
      </c>
      <c r="I39" s="172">
        <f t="shared" si="2"/>
        <v>2</v>
      </c>
      <c r="J39" s="484"/>
      <c r="K39" s="485"/>
      <c r="L39" s="1018"/>
      <c r="M39" s="1019"/>
      <c r="N39" s="1019"/>
      <c r="O39" s="1019"/>
      <c r="P39" s="1019"/>
      <c r="Q39" s="1019"/>
      <c r="R39" s="1020"/>
      <c r="T39" s="99">
        <v>32</v>
      </c>
      <c r="U39" s="88" t="s">
        <v>749</v>
      </c>
      <c r="V39" s="453">
        <v>1</v>
      </c>
      <c r="W39" s="453">
        <v>1</v>
      </c>
      <c r="X39" s="453" t="s">
        <v>340</v>
      </c>
      <c r="Y39" s="453" t="s">
        <v>340</v>
      </c>
      <c r="Z39" s="146" t="s">
        <v>340</v>
      </c>
      <c r="AA39" s="146">
        <v>2</v>
      </c>
      <c r="AB39" s="146">
        <v>1</v>
      </c>
      <c r="AC39" s="453">
        <v>2</v>
      </c>
      <c r="AD39" s="453">
        <v>1</v>
      </c>
      <c r="AE39" s="453">
        <v>0</v>
      </c>
      <c r="AF39" s="453" t="b">
        <v>1</v>
      </c>
      <c r="AG39" s="453">
        <f t="shared" si="3"/>
        <v>1</v>
      </c>
      <c r="AH39" s="453">
        <f t="shared" si="4"/>
        <v>0</v>
      </c>
      <c r="AI39" s="138">
        <f>IF(NOT(OR(Z39=1,Z39=2)),IF(AQ39&gt;0,$AR$44*AQ39/SUMIF($AQ$8:$AQ$39,"&gt;0"),IF(AU39&gt;0,$AV$44*AU39/SUMIF($AU$8:$AU$39,"&gt;0"),IF(AS39&gt;0,$AT$44*AS39/SUMIF($AS$8:$AS$39,"&gt;0"),""))),IF(SUMIF(AJ$39:$AJ40,"=" &amp; AJ39,AI$39:$AI40)=0,"",SUMIF(AJ$39:$AJ40,"=" &amp; AJ39,AI$39:$AI40)))</f>
        <v>7.7620704216855357E-3</v>
      </c>
      <c r="AJ39" s="139">
        <f t="shared" si="34"/>
        <v>3</v>
      </c>
      <c r="AK39" s="453">
        <f t="shared" si="27"/>
        <v>1</v>
      </c>
      <c r="AL39" s="146" t="str">
        <f t="shared" si="28"/>
        <v/>
      </c>
      <c r="AM39" s="146" t="str">
        <f t="shared" si="35"/>
        <v/>
      </c>
      <c r="AN39" s="146" t="str">
        <f>IF(ISNUMBER(AH39),IF(AND(AB39=0,ISNUMBER(AC39),ISNUMBER(AL39)),1,""),"")</f>
        <v/>
      </c>
      <c r="AO39" s="146" t="str">
        <f t="shared" si="6"/>
        <v/>
      </c>
      <c r="AP39" s="453" t="b">
        <f t="shared" si="7"/>
        <v>1</v>
      </c>
      <c r="AQ39" s="140">
        <f t="shared" si="29"/>
        <v>1</v>
      </c>
      <c r="AR39" s="141">
        <f t="shared" si="8"/>
        <v>0.6</v>
      </c>
      <c r="AS39" s="142">
        <f t="shared" si="30"/>
        <v>0</v>
      </c>
      <c r="AT39" s="141">
        <f t="shared" si="9"/>
        <v>0.7</v>
      </c>
      <c r="AU39" s="143">
        <f t="shared" si="10"/>
        <v>0</v>
      </c>
      <c r="AV39" s="144">
        <f t="shared" si="11"/>
        <v>0.6</v>
      </c>
      <c r="AW39" s="143" t="b">
        <f t="shared" si="12"/>
        <v>0</v>
      </c>
      <c r="AX39" s="145" t="b">
        <f t="shared" si="13"/>
        <v>1</v>
      </c>
      <c r="AY39" s="143" t="b">
        <f t="shared" si="14"/>
        <v>0</v>
      </c>
      <c r="AZ39" s="145" t="b">
        <f t="shared" si="15"/>
        <v>0</v>
      </c>
      <c r="BA39" s="453" t="b">
        <f t="shared" si="16"/>
        <v>0</v>
      </c>
      <c r="BB39" s="453" t="b">
        <f t="shared" si="17"/>
        <v>0</v>
      </c>
      <c r="BC39" s="143" t="b">
        <f t="shared" si="18"/>
        <v>0</v>
      </c>
      <c r="BD39" s="146" t="b">
        <f t="shared" si="31"/>
        <v>0</v>
      </c>
      <c r="BE39" s="145" t="b">
        <f t="shared" si="37"/>
        <v>0</v>
      </c>
      <c r="BF39" s="147" t="b">
        <f t="shared" si="39"/>
        <v>0</v>
      </c>
      <c r="BG39" s="453" t="b">
        <f t="shared" si="38"/>
        <v>1</v>
      </c>
      <c r="BH39" s="453">
        <f t="shared" si="32"/>
        <v>1</v>
      </c>
      <c r="BI39" s="453">
        <f t="shared" si="22"/>
        <v>1</v>
      </c>
      <c r="BJ39" s="453" t="str">
        <f t="shared" si="23"/>
        <v>1</v>
      </c>
      <c r="BK39" s="453">
        <f t="shared" si="24"/>
        <v>2</v>
      </c>
      <c r="BL39" s="453">
        <f t="shared" si="33"/>
        <v>1</v>
      </c>
      <c r="BM39" s="453">
        <f t="shared" si="25"/>
        <v>1</v>
      </c>
      <c r="BN39" s="453">
        <f t="shared" si="26"/>
        <v>2</v>
      </c>
      <c r="BO39" s="1023"/>
      <c r="BP39" s="1024"/>
      <c r="BQ39" s="1024"/>
      <c r="BR39" s="1024"/>
      <c r="BS39" s="1024"/>
      <c r="BT39" s="1024"/>
      <c r="BU39" s="1025"/>
    </row>
    <row r="40" spans="2:73" s="91" customFormat="1" ht="8.25" customHeight="1" x14ac:dyDescent="0.2">
      <c r="B40" s="915" t="s">
        <v>374</v>
      </c>
      <c r="C40" s="916"/>
      <c r="D40" s="917"/>
      <c r="E40" s="452" t="s">
        <v>375</v>
      </c>
      <c r="F40" s="918" t="s">
        <v>376</v>
      </c>
      <c r="G40" s="919"/>
      <c r="H40" s="919" t="s">
        <v>377</v>
      </c>
      <c r="I40" s="919"/>
      <c r="J40" s="920" t="s">
        <v>378</v>
      </c>
      <c r="K40" s="921"/>
      <c r="L40" s="175" t="s">
        <v>379</v>
      </c>
      <c r="M40" s="922" t="s">
        <v>380</v>
      </c>
      <c r="N40" s="922"/>
      <c r="O40" s="923" t="str">
        <f>IF(U44,"DO REVIEW","DO REV N/A")</f>
        <v>DO REVIEW</v>
      </c>
      <c r="P40" s="924"/>
      <c r="Q40" s="176" t="str">
        <f>IF(U45,"ED REVIEW","ED REV N/A")</f>
        <v>ED REVIEW</v>
      </c>
      <c r="R40" s="177"/>
      <c r="S40" s="178">
        <v>0</v>
      </c>
      <c r="AI40" s="179"/>
      <c r="AJ40" s="92"/>
      <c r="AK40" s="92"/>
      <c r="AL40" s="92"/>
      <c r="AM40" s="92"/>
      <c r="AN40" s="92"/>
      <c r="AO40" s="88"/>
      <c r="AP40" s="92"/>
      <c r="AQ40" s="180"/>
      <c r="AR40" s="92"/>
      <c r="AS40" s="180"/>
      <c r="AT40" s="92"/>
      <c r="AU40" s="180"/>
      <c r="AV40" s="181"/>
      <c r="AW40" s="92"/>
      <c r="AX40" s="92"/>
      <c r="AY40" s="92"/>
      <c r="AZ40" s="92"/>
      <c r="BA40" s="92"/>
      <c r="BB40" s="92"/>
      <c r="BC40" s="92"/>
      <c r="BD40" s="92"/>
      <c r="BE40" s="92"/>
      <c r="BF40" s="92"/>
      <c r="BG40" s="92"/>
      <c r="BH40" s="88"/>
      <c r="BI40" s="88"/>
      <c r="BJ40" s="88"/>
      <c r="BK40" s="88"/>
      <c r="BL40" s="88"/>
      <c r="BM40" s="88"/>
      <c r="BN40" s="88"/>
      <c r="BO40" s="1026"/>
      <c r="BP40" s="1027"/>
      <c r="BQ40" s="1027"/>
      <c r="BR40" s="1027"/>
      <c r="BS40" s="1027"/>
      <c r="BT40" s="1027"/>
      <c r="BU40" s="1028"/>
    </row>
    <row r="41" spans="2:73" ht="18.75" customHeight="1" thickBot="1" x14ac:dyDescent="0.25">
      <c r="B41" s="925" t="str">
        <f>IF(ISERROR(AR46),"",TEXT(AR45,"0.0%"))</f>
        <v>17.9%</v>
      </c>
      <c r="C41" s="926"/>
      <c r="D41" s="927"/>
      <c r="E41" s="182" t="str">
        <f>IF(AU41=0,"N/A",CONCATENATE(TEXT(AV45,"0.0%")," of ",TEXT(AV44,"0.0%")))</f>
        <v>N/A</v>
      </c>
      <c r="F41" s="929" t="str">
        <f>IF((graded_aca_events+graded_amn_events)&lt;1,"---",IF(AND(AW4,AX4),"INCOMPLETE",IF(AND(NOT(AW4),AX4),"ACA INC",IF(AND(AW4,NOT(AX4)),"AMN INC","COMPLETE"))))</f>
        <v>---</v>
      </c>
      <c r="G41" s="929"/>
      <c r="H41" s="929" t="str">
        <f>IF(AU4,IF(OR(AY4="UNK",NOT(AN6)),"---",IF(AY4,"UNSAT",IF(AVERAGEIFS(AT8:AT39,AS8:AS39,"&gt;0")&lt;0.9,"MARG","SAT"))),"N/A")</f>
        <v>---</v>
      </c>
      <c r="I41" s="929"/>
      <c r="J41" s="930" t="str">
        <f>IF(OR(AZ4="UNK",NOT(AM6)),"---",IF(OR(AZ4,AR45&lt;0.7),"FAIL","PASS"))</f>
        <v>---</v>
      </c>
      <c r="K41" s="931"/>
      <c r="L41" s="430"/>
      <c r="M41" s="932"/>
      <c r="N41" s="932"/>
      <c r="O41" s="1021" t="s">
        <v>265</v>
      </c>
      <c r="P41" s="1021"/>
      <c r="Q41" s="1021" t="s">
        <v>265</v>
      </c>
      <c r="R41" s="1022"/>
      <c r="S41" s="183"/>
      <c r="T41" s="99" t="s">
        <v>381</v>
      </c>
      <c r="U41" s="146" t="s">
        <v>382</v>
      </c>
      <c r="V41" s="184"/>
      <c r="W41" s="184"/>
      <c r="X41" s="184"/>
      <c r="Y41" s="184"/>
      <c r="Z41" s="184"/>
      <c r="AA41" s="184"/>
      <c r="AB41" s="184"/>
      <c r="AC41" s="184"/>
      <c r="AD41" s="184"/>
      <c r="AE41" s="184"/>
      <c r="AF41" s="184"/>
      <c r="AG41" s="184"/>
      <c r="AH41" s="184"/>
      <c r="AI41" s="86"/>
      <c r="AJ41" s="85"/>
      <c r="AK41" s="184"/>
      <c r="AL41" s="184"/>
      <c r="AM41" s="184">
        <f>SUM(AM8:AM39)</f>
        <v>0</v>
      </c>
      <c r="AN41" s="184">
        <f>SUM(AN8:AN39)</f>
        <v>0</v>
      </c>
      <c r="AO41" s="99"/>
      <c r="AP41" s="85"/>
      <c r="AQ41" s="185">
        <f>SUMIF(AQ8:AQ39,"&gt;0")</f>
        <v>111.5</v>
      </c>
      <c r="AR41" s="186">
        <f>IF(AQ41=0,0,SUMPRODUCT($AQ$8:$AQ$39,AR8:AR39)/SUM($AQ$8:$AQ$39))</f>
        <v>0.14125560538116591</v>
      </c>
      <c r="AS41" s="187">
        <f>SUMIF(AS8:AS39,"&gt;0")</f>
        <v>15</v>
      </c>
      <c r="AT41" s="186">
        <f>IF(AS41=0,0,SUMPRODUCT($AS$8:$AS$39,AT8:AT39)/SUM($AS$8:$AS$39))</f>
        <v>0.42000000000000004</v>
      </c>
      <c r="AU41" s="187">
        <f>SUM(AU9:AU39)</f>
        <v>0</v>
      </c>
      <c r="AV41" s="186">
        <f>IF(AU41=0,0,SUMPRODUCT($AU$8:$AU$39,AV8:AV39)/SUM($AU$8:$AU$39))</f>
        <v>0</v>
      </c>
      <c r="AW41" s="188"/>
      <c r="AX41" s="188"/>
      <c r="AY41" s="188"/>
      <c r="AZ41" s="188"/>
      <c r="BA41" s="188"/>
      <c r="BB41" s="188"/>
      <c r="BC41" s="88" t="s">
        <v>383</v>
      </c>
      <c r="BD41" s="88" t="s">
        <v>384</v>
      </c>
      <c r="BE41" s="88" t="s">
        <v>385</v>
      </c>
      <c r="BO41" s="1026"/>
      <c r="BP41" s="1027"/>
      <c r="BQ41" s="1027"/>
      <c r="BR41" s="1027"/>
      <c r="BS41" s="1027"/>
      <c r="BT41" s="1027"/>
      <c r="BU41" s="1028"/>
    </row>
    <row r="42" spans="2:73" ht="7.5" customHeight="1" thickTop="1" x14ac:dyDescent="0.2">
      <c r="L42" s="928" t="s">
        <v>750</v>
      </c>
      <c r="M42" s="928"/>
      <c r="N42" s="928"/>
      <c r="O42" s="928"/>
      <c r="P42" s="928"/>
      <c r="Q42" s="928"/>
      <c r="R42" s="928"/>
      <c r="AP42" s="184"/>
      <c r="AQ42" s="85"/>
      <c r="AR42" s="85"/>
      <c r="AT42" s="186"/>
      <c r="AU42" s="186"/>
      <c r="AV42" s="186"/>
      <c r="AW42" s="85"/>
      <c r="AX42" s="186"/>
      <c r="BO42" s="1029"/>
      <c r="BP42" s="1030"/>
      <c r="BQ42" s="1030"/>
      <c r="BR42" s="1030"/>
      <c r="BS42" s="1030"/>
      <c r="BT42" s="1030"/>
      <c r="BU42" s="1031"/>
    </row>
    <row r="43" spans="2:73" ht="30.75" customHeight="1" x14ac:dyDescent="0.2">
      <c r="T43" s="189" t="s">
        <v>386</v>
      </c>
      <c r="U43" s="146" t="b">
        <v>1</v>
      </c>
      <c r="AI43" s="89">
        <f ca="1">SUMIF(AJ8:$AJ$39,"=" &amp; AJ8,AI9:$AI$39)</f>
        <v>0.13452914798206278</v>
      </c>
      <c r="AO43" s="190"/>
      <c r="AS43" s="118" t="s">
        <v>387</v>
      </c>
      <c r="AT43" s="191">
        <f>SUMIF(X8:X39,"&gt;0")/SUMIF(W8:W39,"&gt;0")</f>
        <v>0.13452914798206278</v>
      </c>
      <c r="AU43" s="118" t="s">
        <v>388</v>
      </c>
      <c r="AV43" s="192">
        <f>SUMIF(AU8:AU39,"&gt;0")/SUMIF(AQ8:AQ39,"&gt;0")</f>
        <v>0</v>
      </c>
      <c r="AW43" s="193"/>
      <c r="BE43" s="88" t="b">
        <f>AND(ISBLANK($K30),J30&gt;0)</f>
        <v>0</v>
      </c>
      <c r="BO43" s="88"/>
      <c r="BP43" s="88"/>
      <c r="BQ43" s="90"/>
    </row>
    <row r="44" spans="2:73" ht="30.75" customHeight="1" x14ac:dyDescent="0.2">
      <c r="J44" s="194"/>
      <c r="T44" s="195" t="s">
        <v>389</v>
      </c>
      <c r="U44" s="88" t="b">
        <f>IF(AND(Flight?,OR(AW4,AY4,BA4,AZ4,AR45&lt;0.7,H41="MARG")),TRUE,FALSE)</f>
        <v>1</v>
      </c>
      <c r="AO44" s="196"/>
      <c r="AQ44" s="118" t="s">
        <v>390</v>
      </c>
      <c r="AR44" s="191">
        <f>1-AT44</f>
        <v>0.86547085201793728</v>
      </c>
      <c r="AS44" s="118" t="s">
        <v>391</v>
      </c>
      <c r="AT44" s="191">
        <f>MIN(AT43,AT6)</f>
        <v>0.13452914798206278</v>
      </c>
      <c r="AU44" s="118" t="s">
        <v>392</v>
      </c>
      <c r="AV44" s="89">
        <f>MIN(AV43,AV6)</f>
        <v>0</v>
      </c>
      <c r="BO44" s="88"/>
      <c r="BP44" s="88"/>
      <c r="BQ44" s="90"/>
    </row>
    <row r="45" spans="2:73" ht="25.5" x14ac:dyDescent="0.2">
      <c r="T45" s="195" t="s">
        <v>393</v>
      </c>
      <c r="U45" s="88" t="b">
        <f>IF(OR(AX4,AY4,AZ4,BB4,AR45&lt;0.7),TRUE,FALSE)</f>
        <v>1</v>
      </c>
      <c r="AO45" s="197"/>
      <c r="AQ45" s="118" t="s">
        <v>394</v>
      </c>
      <c r="AR45" s="89">
        <f>AR41*(1-AT44)+(AT41*AT44)</f>
        <v>0.17875485129401356</v>
      </c>
      <c r="AU45" s="88" t="s">
        <v>324</v>
      </c>
      <c r="AV45" s="89">
        <f>AV41*AV44</f>
        <v>0</v>
      </c>
      <c r="BO45" s="88"/>
      <c r="BP45" s="88"/>
      <c r="BQ45" s="90"/>
    </row>
    <row r="46" spans="2:73" ht="25.5" x14ac:dyDescent="0.2">
      <c r="T46" s="195" t="s">
        <v>395</v>
      </c>
      <c r="U46" s="88" t="b">
        <v>0</v>
      </c>
      <c r="AO46" s="197"/>
      <c r="AQ46" s="118" t="s">
        <v>396</v>
      </c>
      <c r="AR46" s="89">
        <f>IF(NOT(OR(AY4,AZ4)),AR45+AV45,MIN(0.69,AR45+AV45))</f>
        <v>0.17875485129401356</v>
      </c>
      <c r="BO46" s="88"/>
      <c r="BP46" s="88"/>
      <c r="BQ46" s="90"/>
    </row>
    <row r="47" spans="2:73" x14ac:dyDescent="0.2">
      <c r="T47" s="195" t="s">
        <v>397</v>
      </c>
      <c r="U47" s="88" t="b">
        <f>IF(NOT(Flight?),TRUE,NOT(OR(ISBLANK(comments),ISBLANK(hdr_class),ISBLANK(hdr_date),ISBLANK(hdr_stud),ISBLANK(hdr_instr),ISBLANK(hdr_acft),ISBLANK(hdr_time),F41="---")))</f>
        <v>0</v>
      </c>
      <c r="AO47" s="197"/>
      <c r="AR47" s="118"/>
      <c r="AS47" s="89"/>
    </row>
    <row r="48" spans="2:73" x14ac:dyDescent="0.2">
      <c r="T48" s="195" t="s">
        <v>398</v>
      </c>
      <c r="U48" s="88" t="b">
        <f>IF(Flight?,TRUE,NOT(OR(ISBLANK(comments),ISBLANK(hdr_class),ISBLANK(hdr_date),ISBLANK(hdr_stud),ISBLANK(hdr_instr),F41="---")))</f>
        <v>1</v>
      </c>
      <c r="AO48" s="196"/>
      <c r="AP48" s="85" t="s">
        <v>399</v>
      </c>
      <c r="AQ48" s="85"/>
      <c r="AR48" s="85"/>
      <c r="AS48" s="85"/>
      <c r="AT48" s="85"/>
    </row>
    <row r="49" spans="20:50" x14ac:dyDescent="0.2">
      <c r="T49" s="195" t="s">
        <v>400</v>
      </c>
      <c r="U49" s="88" t="b">
        <f>AND(U47:U48)</f>
        <v>0</v>
      </c>
      <c r="AO49" s="196"/>
      <c r="AP49" s="85"/>
      <c r="AQ49" s="85"/>
      <c r="AR49" s="85">
        <v>0</v>
      </c>
      <c r="AS49" s="85">
        <v>1</v>
      </c>
      <c r="AT49" s="85">
        <v>2</v>
      </c>
      <c r="AU49" s="85">
        <v>3</v>
      </c>
      <c r="AV49" s="85">
        <v>4</v>
      </c>
    </row>
    <row r="50" spans="20:50" x14ac:dyDescent="0.2">
      <c r="AO50" s="196"/>
      <c r="AP50" s="85" t="s">
        <v>359</v>
      </c>
      <c r="AQ50" s="85">
        <v>1</v>
      </c>
      <c r="AR50" s="198">
        <v>0.7</v>
      </c>
      <c r="AS50" s="198">
        <v>0.9</v>
      </c>
      <c r="AT50" s="198">
        <v>0.93330000000000002</v>
      </c>
      <c r="AU50" s="198">
        <v>0.9667</v>
      </c>
      <c r="AV50" s="198">
        <v>1</v>
      </c>
    </row>
    <row r="51" spans="20:50" x14ac:dyDescent="0.2">
      <c r="AO51" s="196"/>
      <c r="AP51" s="85" t="s">
        <v>360</v>
      </c>
      <c r="AQ51" s="85">
        <v>2</v>
      </c>
      <c r="AR51" s="198">
        <v>0.7</v>
      </c>
      <c r="AS51" s="198">
        <v>0.8</v>
      </c>
      <c r="AT51" s="198">
        <v>0.9</v>
      </c>
      <c r="AU51" s="198">
        <v>0.95</v>
      </c>
      <c r="AV51" s="198">
        <v>1</v>
      </c>
    </row>
    <row r="52" spans="20:50" x14ac:dyDescent="0.2">
      <c r="AO52" s="196"/>
      <c r="AP52" s="85" t="s">
        <v>361</v>
      </c>
      <c r="AQ52" s="85">
        <v>3</v>
      </c>
      <c r="AR52" s="198">
        <v>0.7</v>
      </c>
      <c r="AS52" s="198">
        <v>0.76670000000000005</v>
      </c>
      <c r="AT52" s="198">
        <v>0.83330000000000004</v>
      </c>
      <c r="AU52" s="198">
        <v>0.9</v>
      </c>
      <c r="AV52" s="198">
        <v>1</v>
      </c>
    </row>
    <row r="53" spans="20:50" x14ac:dyDescent="0.2">
      <c r="AP53" s="199" t="s">
        <v>362</v>
      </c>
      <c r="AQ53" s="85">
        <v>11</v>
      </c>
      <c r="AR53" s="198">
        <v>0.6</v>
      </c>
      <c r="AS53" s="198">
        <v>0.9</v>
      </c>
      <c r="AT53" s="198">
        <v>0.93330000000000002</v>
      </c>
      <c r="AU53" s="198">
        <v>0.9667</v>
      </c>
      <c r="AV53" s="198">
        <v>1</v>
      </c>
    </row>
    <row r="54" spans="20:50" x14ac:dyDescent="0.2">
      <c r="AP54" s="199" t="s">
        <v>363</v>
      </c>
      <c r="AQ54" s="85">
        <v>12</v>
      </c>
      <c r="AR54" s="198">
        <v>0.6</v>
      </c>
      <c r="AS54" s="198">
        <v>0.7</v>
      </c>
      <c r="AT54" s="198">
        <v>0.9</v>
      </c>
      <c r="AU54" s="198">
        <v>0.95</v>
      </c>
      <c r="AV54" s="198">
        <v>1</v>
      </c>
    </row>
    <row r="55" spans="20:50" x14ac:dyDescent="0.2">
      <c r="AP55" s="199" t="s">
        <v>364</v>
      </c>
      <c r="AQ55" s="85">
        <v>13</v>
      </c>
      <c r="AR55" s="198">
        <v>0.6</v>
      </c>
      <c r="AS55" s="198">
        <v>0.7</v>
      </c>
      <c r="AT55" s="198">
        <v>0.8</v>
      </c>
      <c r="AU55" s="198">
        <v>0.9</v>
      </c>
      <c r="AV55" s="198">
        <v>1</v>
      </c>
    </row>
    <row r="56" spans="20:50" x14ac:dyDescent="0.2">
      <c r="AP56" s="199" t="s">
        <v>365</v>
      </c>
      <c r="AQ56" s="85">
        <v>22</v>
      </c>
      <c r="AR56" s="198">
        <v>0.3</v>
      </c>
      <c r="AS56" s="198">
        <v>0.6</v>
      </c>
      <c r="AT56" s="198">
        <v>0.9</v>
      </c>
      <c r="AU56" s="198">
        <v>0.95</v>
      </c>
      <c r="AV56" s="198">
        <v>1</v>
      </c>
    </row>
    <row r="57" spans="20:50" x14ac:dyDescent="0.2">
      <c r="AP57" s="199" t="s">
        <v>366</v>
      </c>
      <c r="AQ57" s="85">
        <v>23</v>
      </c>
      <c r="AR57" s="198">
        <v>0.3</v>
      </c>
      <c r="AS57" s="198">
        <v>0.6</v>
      </c>
      <c r="AT57" s="198">
        <v>0.7</v>
      </c>
      <c r="AU57" s="198">
        <v>0.9</v>
      </c>
      <c r="AV57" s="198">
        <v>1</v>
      </c>
    </row>
    <row r="58" spans="20:50" x14ac:dyDescent="0.2">
      <c r="AP58" s="199" t="s">
        <v>367</v>
      </c>
      <c r="AQ58" s="85">
        <v>33</v>
      </c>
      <c r="AR58" s="198">
        <v>0</v>
      </c>
      <c r="AS58" s="198">
        <v>0.3</v>
      </c>
      <c r="AT58" s="198">
        <v>0.6</v>
      </c>
      <c r="AU58" s="198">
        <v>0.9</v>
      </c>
      <c r="AV58" s="198">
        <v>1</v>
      </c>
      <c r="AW58" s="85"/>
    </row>
    <row r="60" spans="20:50" x14ac:dyDescent="0.2">
      <c r="AQ60" s="85"/>
      <c r="AW60" s="85"/>
      <c r="AX60" s="85"/>
    </row>
    <row r="61" spans="20:50" x14ac:dyDescent="0.2">
      <c r="AP61" s="200"/>
      <c r="AQ61" s="85"/>
      <c r="AW61" s="85"/>
      <c r="AX61" s="85"/>
    </row>
    <row r="62" spans="20:50" x14ac:dyDescent="0.2">
      <c r="AP62" s="85"/>
      <c r="AQ62" s="85"/>
      <c r="AW62" s="85"/>
      <c r="AX62" s="85"/>
    </row>
    <row r="63" spans="20:50" x14ac:dyDescent="0.2">
      <c r="AP63" s="85"/>
      <c r="AQ63" s="85"/>
      <c r="AW63" s="85"/>
    </row>
    <row r="64" spans="20:50" x14ac:dyDescent="0.2">
      <c r="AP64" s="85"/>
      <c r="AQ64" s="85"/>
      <c r="AW64" s="85"/>
    </row>
    <row r="65" spans="42:43" x14ac:dyDescent="0.2">
      <c r="AP65" s="85"/>
      <c r="AQ65" s="85"/>
    </row>
    <row r="66" spans="42:43" x14ac:dyDescent="0.2">
      <c r="AP66" s="85"/>
      <c r="AQ66" s="85"/>
    </row>
  </sheetData>
  <sheetProtection algorithmName="SHA-512" hashValue="VTtqV9J1rtj4LD1RteubiSNkMaCNy1lKxsm0X+JhnqwQ/+fmRfEU+D3OcbwWgOUIcOsM21WpOKZmKswXGafeWg==" saltValue="mpdhbR+XDjHyOSiI8vwGCQ==" spinCount="100000" sheet="1" selectLockedCells="1"/>
  <mergeCells count="76">
    <mergeCell ref="B3:G3"/>
    <mergeCell ref="H3:N3"/>
    <mergeCell ref="O3:P3"/>
    <mergeCell ref="Q3:R3"/>
    <mergeCell ref="BP3:BU4"/>
    <mergeCell ref="BL4:BN6"/>
    <mergeCell ref="B5:E5"/>
    <mergeCell ref="F5:G5"/>
    <mergeCell ref="H5:L5"/>
    <mergeCell ref="M5:N5"/>
    <mergeCell ref="O5:P5"/>
    <mergeCell ref="Q5:R5"/>
    <mergeCell ref="B6:E6"/>
    <mergeCell ref="F6:G6"/>
    <mergeCell ref="H6:L6"/>
    <mergeCell ref="B4:G4"/>
    <mergeCell ref="H4:N4"/>
    <mergeCell ref="O4:P4"/>
    <mergeCell ref="Q4:R4"/>
    <mergeCell ref="BH4:BK6"/>
    <mergeCell ref="C17:F17"/>
    <mergeCell ref="M6:N6"/>
    <mergeCell ref="O6:P6"/>
    <mergeCell ref="Q6:R6"/>
    <mergeCell ref="B7:F7"/>
    <mergeCell ref="L7:R7"/>
    <mergeCell ref="C8:F8"/>
    <mergeCell ref="L8:R39"/>
    <mergeCell ref="C9:F9"/>
    <mergeCell ref="C10:F10"/>
    <mergeCell ref="C11:F11"/>
    <mergeCell ref="C12:F12"/>
    <mergeCell ref="C32:F32"/>
    <mergeCell ref="C33:F33"/>
    <mergeCell ref="C34:F34"/>
    <mergeCell ref="C13:F13"/>
    <mergeCell ref="C14:F14"/>
    <mergeCell ref="C15:F15"/>
    <mergeCell ref="C16:F16"/>
    <mergeCell ref="C31:F31"/>
    <mergeCell ref="C18:F18"/>
    <mergeCell ref="C19:F19"/>
    <mergeCell ref="C30:F30"/>
    <mergeCell ref="BQ19:BU19"/>
    <mergeCell ref="C20:F20"/>
    <mergeCell ref="C21:F21"/>
    <mergeCell ref="BO21:BO29"/>
    <mergeCell ref="C22:F22"/>
    <mergeCell ref="C23:F23"/>
    <mergeCell ref="C24:F24"/>
    <mergeCell ref="C25:F25"/>
    <mergeCell ref="C26:F26"/>
    <mergeCell ref="C27:F27"/>
    <mergeCell ref="C28:F28"/>
    <mergeCell ref="C29:F29"/>
    <mergeCell ref="BO34:BU37"/>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s>
  <conditionalFormatting sqref="B8:F39">
    <cfRule type="expression" dxfId="348" priority="8" stopIfTrue="1">
      <formula>IF($Z8=1,TRUE,FALSE)</formula>
    </cfRule>
    <cfRule type="expression" dxfId="347" priority="9">
      <formula>IF($Z8=2,TRUE,FALSE)</formula>
    </cfRule>
  </conditionalFormatting>
  <conditionalFormatting sqref="C8:F39">
    <cfRule type="expression" dxfId="346" priority="1" stopIfTrue="1">
      <formula>IF($AF8=FALSE,TRUE,FALSE)</formula>
    </cfRule>
  </conditionalFormatting>
  <conditionalFormatting sqref="F5:G6 M5:P6">
    <cfRule type="expression" dxfId="345" priority="4" stopIfTrue="1">
      <formula>NOT($AU$4)</formula>
    </cfRule>
  </conditionalFormatting>
  <conditionalFormatting sqref="F6:G6">
    <cfRule type="cellIs" dxfId="344" priority="3" operator="equal">
      <formula>""</formula>
    </cfRule>
  </conditionalFormatting>
  <conditionalFormatting sqref="G8:K39">
    <cfRule type="expression" dxfId="343" priority="6" stopIfTrue="1">
      <formula>IF($Z8=1,TRUE,FALSE)</formula>
    </cfRule>
    <cfRule type="expression" dxfId="342" priority="7" stopIfTrue="1">
      <formula>IF($Z8=2,TRUE,FALSE)</formula>
    </cfRule>
  </conditionalFormatting>
  <conditionalFormatting sqref="H8:H39">
    <cfRule type="expression" dxfId="341" priority="10" stopIfTrue="1">
      <formula>IF($AB8=0,TRUE,FALSE)</formula>
    </cfRule>
  </conditionalFormatting>
  <conditionalFormatting sqref="H40:I41">
    <cfRule type="expression" dxfId="340" priority="2" stopIfTrue="1">
      <formula>IF($H$41="N/A",TRUE,FALSE)</formula>
    </cfRule>
  </conditionalFormatting>
  <conditionalFormatting sqref="H6:P6 O4:R4 B6 L8 L41 O41 Q41">
    <cfRule type="containsBlanks" dxfId="339" priority="5">
      <formula>LEN(TRIM(B4))=0</formula>
    </cfRule>
  </conditionalFormatting>
  <conditionalFormatting sqref="J8:J39">
    <cfRule type="expression" dxfId="338" priority="14">
      <formula>IF($Z8=1,FALSE,OR($BE8,$BD8))</formula>
    </cfRule>
  </conditionalFormatting>
  <conditionalFormatting sqref="J8:K39 C8:F39">
    <cfRule type="expression" dxfId="337" priority="13">
      <formula>IF($Z8=1,FALSE,OR($AW8,$AX8,$AY8,$AZ8))</formula>
    </cfRule>
  </conditionalFormatting>
  <conditionalFormatting sqref="J8:K39">
    <cfRule type="expression" dxfId="336" priority="11" stopIfTrue="1">
      <formula>IF(ISNA($Z8),TRUE,FALSE)</formula>
    </cfRule>
  </conditionalFormatting>
  <conditionalFormatting sqref="K8:K39">
    <cfRule type="expression" dxfId="335" priority="12">
      <formula>IF(OR($Z8=1,$Z8=2),FALSE,OR($BC8,$BE8,$BF8))</formula>
    </cfRule>
  </conditionalFormatting>
  <dataValidations count="6">
    <dataValidation type="list" allowBlank="1" showInputMessage="1" showErrorMessage="1" sqref="F6:G6" xr:uid="{2D4FEF8B-C0AB-4CA8-A1B6-57C817D9844A}">
      <formula1>"No,Yes"</formula1>
    </dataValidation>
    <dataValidation type="list" allowBlank="1" showInputMessage="1" showErrorMessage="1" sqref="J8:J39" xr:uid="{06347869-EE5E-45DC-98C7-937D1A5250BA}">
      <formula1>"NA,0,1,2,3,4,5,6,7,8,9,10,11,12,13,14,15"</formula1>
    </dataValidation>
    <dataValidation type="list" allowBlank="1" showInputMessage="1" showErrorMessage="1" sqref="K8:K39" xr:uid="{D9A567E5-B15A-4C86-A4A9-851018F5C6CF}">
      <formula1>"D,0,1,2,3,4"</formula1>
    </dataValidation>
    <dataValidation showInputMessage="1" showErrorMessage="1" sqref="O41:R41" xr:uid="{9BEEA994-8D5D-4DE8-B773-65F8D133F72E}"/>
    <dataValidation type="decimal" allowBlank="1" showInputMessage="1" showErrorMessage="1" sqref="O6:P6" xr:uid="{11889E49-07B7-484D-8548-A3E6B8495BA5}">
      <formula1>0</formula1>
      <formula2>10</formula2>
    </dataValidation>
    <dataValidation type="date" allowBlank="1" showInputMessage="1" showErrorMessage="1" sqref="Q4:R4" xr:uid="{F8976070-20E8-483E-8ECA-BF2DD577006B}">
      <formula1>41151</formula1>
      <formula2>77433</formula2>
    </dataValidation>
  </dataValidations>
  <hyperlinks>
    <hyperlink ref="BP3" location="PF!A1" display="PF phase Summary Page" xr:uid="{B8252B5C-144D-4281-9E7C-84542E00C53B}"/>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35523"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235524"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235525"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235526"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235527"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4A3A51-33DD-424A-B7D1-8914ABFF21DC}">
  <sheetPr>
    <tabColor rgb="FF00B0F0"/>
    <pageSetUpPr autoPageBreaks="0"/>
  </sheetPr>
  <dimension ref="A1:AVW67"/>
  <sheetViews>
    <sheetView showGridLines="0" showRowColHeaders="0" topLeftCell="A3" zoomScaleNormal="100" workbookViewId="0">
      <selection activeCell="BW29" sqref="BW29"/>
    </sheetView>
  </sheetViews>
  <sheetFormatPr defaultColWidth="9.140625" defaultRowHeight="15" x14ac:dyDescent="0.25"/>
  <cols>
    <col min="1" max="1" width="1.5703125" style="714" customWidth="1"/>
    <col min="2" max="2" width="3.5703125" style="714" customWidth="1"/>
    <col min="3" max="3" width="5.5703125" style="715" customWidth="1"/>
    <col min="4" max="4" width="9.140625" style="715"/>
    <col min="5" max="5" width="14" style="715" customWidth="1"/>
    <col min="6" max="6" width="7.85546875" style="715" customWidth="1"/>
    <col min="7" max="11" width="5.140625" style="715" customWidth="1"/>
    <col min="12" max="12" width="21.5703125" style="715" customWidth="1"/>
    <col min="13" max="13" width="6.5703125" style="715" customWidth="1"/>
    <col min="14" max="14" width="12.5703125" style="715" customWidth="1"/>
    <col min="15" max="15" width="7.85546875" style="715" customWidth="1"/>
    <col min="16" max="16" width="2.7109375" style="715" customWidth="1"/>
    <col min="17" max="17" width="4.85546875" style="715" customWidth="1"/>
    <col min="18" max="18" width="7.28515625" style="715" customWidth="1"/>
    <col min="19" max="19" width="1.7109375" style="715" customWidth="1"/>
    <col min="20" max="20" width="19.140625" style="716" hidden="1" customWidth="1"/>
    <col min="21" max="21" width="31.140625" style="716" hidden="1" customWidth="1"/>
    <col min="22" max="22" width="5.140625" style="716" hidden="1" customWidth="1"/>
    <col min="23" max="24" width="6.28515625" style="716" hidden="1" customWidth="1"/>
    <col min="25" max="25" width="8.42578125" style="716" hidden="1" customWidth="1"/>
    <col min="26" max="26" width="7.85546875" style="716" hidden="1" customWidth="1"/>
    <col min="27" max="27" width="10.7109375" style="716" hidden="1" customWidth="1"/>
    <col min="28" max="28" width="8" style="716" hidden="1" customWidth="1"/>
    <col min="29" max="31" width="5.140625" style="716" hidden="1" customWidth="1"/>
    <col min="32" max="34" width="5.85546875" style="716" hidden="1" customWidth="1"/>
    <col min="35" max="35" width="8.5703125" style="717" hidden="1" customWidth="1"/>
    <col min="36" max="36" width="7" style="716" hidden="1" customWidth="1"/>
    <col min="37" max="38" width="5.28515625" style="716" hidden="1" customWidth="1"/>
    <col min="39" max="40" width="7" style="716" hidden="1" customWidth="1"/>
    <col min="41" max="41" width="5.140625" style="716" hidden="1" customWidth="1"/>
    <col min="42" max="42" width="11.28515625" style="716" hidden="1" customWidth="1"/>
    <col min="43" max="43" width="6.42578125" style="716" hidden="1" customWidth="1"/>
    <col min="44" max="44" width="8.28515625" style="716" hidden="1" customWidth="1"/>
    <col min="45" max="45" width="8.85546875" style="716" hidden="1" customWidth="1"/>
    <col min="46" max="46" width="10.7109375" style="716" hidden="1" customWidth="1"/>
    <col min="47" max="47" width="8.85546875" style="716" hidden="1" customWidth="1"/>
    <col min="48" max="48" width="6.28515625" style="716" hidden="1" customWidth="1"/>
    <col min="49" max="49" width="10" style="716" hidden="1" customWidth="1"/>
    <col min="50" max="50" width="7.5703125" style="716" hidden="1" customWidth="1"/>
    <col min="51" max="51" width="7" style="716" hidden="1" customWidth="1"/>
    <col min="52" max="52" width="8.140625" style="716" hidden="1" customWidth="1"/>
    <col min="53" max="53" width="12.5703125" style="716" hidden="1" customWidth="1"/>
    <col min="54" max="54" width="7.7109375" style="716" hidden="1" customWidth="1"/>
    <col min="55" max="55" width="12.7109375" style="716" hidden="1" customWidth="1"/>
    <col min="56" max="56" width="7" style="716" hidden="1" customWidth="1"/>
    <col min="57" max="57" width="15.5703125" style="718" hidden="1" customWidth="1"/>
    <col min="58" max="58" width="9.140625" style="718" hidden="1" customWidth="1"/>
    <col min="59" max="59" width="10" style="716" hidden="1" customWidth="1"/>
    <col min="60" max="60" width="5.28515625" style="718" hidden="1" customWidth="1"/>
    <col min="61" max="61" width="4" style="718" hidden="1" customWidth="1"/>
    <col min="62" max="62" width="4.7109375" style="718" hidden="1" customWidth="1"/>
    <col min="63" max="63" width="5.5703125" style="718" hidden="1" customWidth="1"/>
    <col min="64" max="64" width="5.28515625" style="718" hidden="1" customWidth="1"/>
    <col min="65" max="65" width="4" style="718" hidden="1" customWidth="1"/>
    <col min="66" max="66" width="5.5703125" style="718" hidden="1" customWidth="1"/>
    <col min="67" max="67" width="5.140625" style="719" customWidth="1"/>
    <col min="68" max="73" width="5.140625" style="715" customWidth="1"/>
    <col min="74" max="16384" width="9.140625" style="715"/>
  </cols>
  <sheetData>
    <row r="1" spans="2:73" s="711" customFormat="1" ht="12" hidden="1" x14ac:dyDescent="0.2">
      <c r="T1" s="712"/>
      <c r="U1" s="712"/>
      <c r="V1" s="712"/>
      <c r="W1" s="712"/>
      <c r="X1" s="712"/>
      <c r="Y1" s="712"/>
      <c r="Z1" s="712"/>
      <c r="AA1" s="712"/>
      <c r="AB1" s="712"/>
      <c r="AC1" s="712"/>
      <c r="AD1" s="712"/>
      <c r="AE1" s="712"/>
      <c r="AF1" s="712"/>
      <c r="AG1" s="712"/>
      <c r="AH1" s="712"/>
      <c r="AI1" s="713"/>
      <c r="AJ1" s="712"/>
      <c r="AK1" s="712"/>
      <c r="AL1" s="712"/>
      <c r="AM1" s="712"/>
      <c r="AN1" s="712"/>
      <c r="AO1" s="712"/>
      <c r="AP1" s="712"/>
      <c r="AQ1" s="712"/>
      <c r="AR1" s="712"/>
      <c r="AS1" s="712"/>
      <c r="AT1" s="712"/>
      <c r="AU1" s="712"/>
      <c r="AV1" s="712"/>
      <c r="AW1" s="712"/>
      <c r="AX1" s="712"/>
      <c r="AY1" s="712"/>
      <c r="AZ1" s="712"/>
      <c r="BA1" s="712"/>
      <c r="BB1" s="712"/>
      <c r="BC1" s="712"/>
      <c r="BD1" s="712"/>
      <c r="BE1" s="712"/>
      <c r="BF1" s="712"/>
      <c r="BG1" s="712"/>
      <c r="BH1" s="712"/>
      <c r="BI1" s="712"/>
      <c r="BJ1" s="712"/>
      <c r="BK1" s="712"/>
      <c r="BL1" s="712"/>
      <c r="BM1" s="712"/>
      <c r="BN1" s="712"/>
    </row>
    <row r="2" spans="2:73" s="711" customFormat="1" ht="12" hidden="1" x14ac:dyDescent="0.2">
      <c r="T2" s="712"/>
      <c r="U2" s="712"/>
      <c r="V2" s="712"/>
      <c r="W2" s="712"/>
      <c r="X2" s="712"/>
      <c r="Y2" s="712"/>
      <c r="Z2" s="712"/>
      <c r="AA2" s="712"/>
      <c r="AB2" s="712"/>
      <c r="AC2" s="712"/>
      <c r="AD2" s="712"/>
      <c r="AE2" s="712"/>
      <c r="AF2" s="712"/>
      <c r="AG2" s="712"/>
      <c r="AH2" s="712"/>
      <c r="AI2" s="713"/>
      <c r="AJ2" s="712"/>
      <c r="AK2" s="712"/>
      <c r="AL2" s="712"/>
      <c r="AM2" s="712"/>
      <c r="AN2" s="712"/>
      <c r="AO2" s="712"/>
      <c r="AP2" s="712"/>
      <c r="AQ2" s="712"/>
      <c r="AR2" s="712"/>
      <c r="AS2" s="712"/>
      <c r="AT2" s="712"/>
      <c r="AU2" s="712"/>
      <c r="AV2" s="712"/>
      <c r="AW2" s="712"/>
      <c r="AX2" s="712"/>
      <c r="AY2" s="712"/>
      <c r="AZ2" s="712"/>
      <c r="BA2" s="712"/>
      <c r="BB2" s="712"/>
      <c r="BC2" s="712"/>
      <c r="BD2" s="712"/>
      <c r="BE2" s="712"/>
      <c r="BF2" s="712"/>
      <c r="BG2" s="712"/>
      <c r="BH2" s="712"/>
      <c r="BI2" s="712"/>
      <c r="BJ2" s="712"/>
      <c r="BK2" s="712"/>
      <c r="BL2" s="712"/>
      <c r="BM2" s="712"/>
      <c r="BN2" s="712"/>
    </row>
    <row r="3" spans="2:73" ht="15.75" thickBot="1" x14ac:dyDescent="0.3">
      <c r="BE3" s="716"/>
      <c r="BF3" s="716"/>
      <c r="BG3" s="718"/>
    </row>
    <row r="4" spans="2:73" ht="13.5" customHeight="1" thickTop="1" x14ac:dyDescent="0.25">
      <c r="B4" s="1078" t="s">
        <v>267</v>
      </c>
      <c r="C4" s="1079"/>
      <c r="D4" s="1079"/>
      <c r="E4" s="1079"/>
      <c r="F4" s="1079"/>
      <c r="G4" s="1080"/>
      <c r="H4" s="1081" t="s">
        <v>963</v>
      </c>
      <c r="I4" s="1082"/>
      <c r="J4" s="1082"/>
      <c r="K4" s="1082"/>
      <c r="L4" s="1082"/>
      <c r="M4" s="1082"/>
      <c r="N4" s="1083"/>
      <c r="O4" s="1084" t="s">
        <v>269</v>
      </c>
      <c r="P4" s="1085"/>
      <c r="Q4" s="1084" t="s">
        <v>270</v>
      </c>
      <c r="R4" s="1086"/>
      <c r="S4" s="720"/>
      <c r="T4" s="721"/>
      <c r="U4" s="721"/>
      <c r="V4" s="721"/>
      <c r="W4" s="721"/>
      <c r="X4" s="721"/>
      <c r="Y4" s="721"/>
      <c r="Z4" s="721"/>
      <c r="AA4" s="721"/>
      <c r="AB4" s="721"/>
      <c r="AC4" s="721"/>
      <c r="AD4" s="721"/>
      <c r="AE4" s="721"/>
      <c r="AF4" s="721"/>
      <c r="AG4" s="721"/>
      <c r="AH4" s="721"/>
      <c r="AI4" s="722"/>
      <c r="AJ4" s="721"/>
      <c r="AK4" s="721"/>
      <c r="AL4" s="721"/>
      <c r="AM4" s="721"/>
      <c r="AN4" s="721"/>
      <c r="AO4" s="721"/>
      <c r="AP4" s="721"/>
      <c r="AQ4" s="712"/>
      <c r="AR4" s="712"/>
      <c r="AW4" s="716" t="s">
        <v>271</v>
      </c>
      <c r="AX4" s="716" t="s">
        <v>272</v>
      </c>
      <c r="AY4" s="716" t="s">
        <v>273</v>
      </c>
      <c r="AZ4" s="716" t="s">
        <v>274</v>
      </c>
      <c r="BA4" s="716" t="s">
        <v>275</v>
      </c>
      <c r="BB4" s="716" t="s">
        <v>276</v>
      </c>
      <c r="BE4" s="716"/>
      <c r="BF4" s="716"/>
      <c r="BG4" s="718"/>
      <c r="BP4" s="976" t="s">
        <v>842</v>
      </c>
      <c r="BQ4" s="976"/>
      <c r="BR4" s="976"/>
      <c r="BS4" s="976"/>
      <c r="BT4" s="976"/>
      <c r="BU4" s="976"/>
    </row>
    <row r="5" spans="2:73" s="731" customFormat="1" ht="15.75" customHeight="1" x14ac:dyDescent="0.2">
      <c r="B5" s="1087" t="s">
        <v>618</v>
      </c>
      <c r="C5" s="1088"/>
      <c r="D5" s="1088"/>
      <c r="E5" s="1088"/>
      <c r="F5" s="1088"/>
      <c r="G5" s="1089"/>
      <c r="H5" s="1090" t="s">
        <v>722</v>
      </c>
      <c r="I5" s="1091"/>
      <c r="J5" s="1091"/>
      <c r="K5" s="1091"/>
      <c r="L5" s="1091"/>
      <c r="M5" s="1091"/>
      <c r="N5" s="1092"/>
      <c r="O5" s="1093"/>
      <c r="P5" s="1094"/>
      <c r="Q5" s="1095"/>
      <c r="R5" s="1096"/>
      <c r="S5" s="723"/>
      <c r="T5" s="724"/>
      <c r="U5" s="724"/>
      <c r="V5" s="724"/>
      <c r="W5" s="724"/>
      <c r="X5" s="724"/>
      <c r="Y5" s="724"/>
      <c r="Z5" s="724"/>
      <c r="AA5" s="724"/>
      <c r="AB5" s="724"/>
      <c r="AC5" s="724"/>
      <c r="AD5" s="724"/>
      <c r="AE5" s="724"/>
      <c r="AF5" s="724"/>
      <c r="AG5" s="724"/>
      <c r="AH5" s="724"/>
      <c r="AI5" s="725"/>
      <c r="AJ5" s="724"/>
      <c r="AK5" s="724"/>
      <c r="AL5" s="724"/>
      <c r="AM5" s="724"/>
      <c r="AN5" s="724"/>
      <c r="AO5" s="724"/>
      <c r="AP5" s="724"/>
      <c r="AQ5" s="726"/>
      <c r="AR5" s="726"/>
      <c r="AS5" s="727"/>
      <c r="AT5" s="728" t="s">
        <v>278</v>
      </c>
      <c r="AU5" s="729" t="b">
        <v>0</v>
      </c>
      <c r="AV5" s="727">
        <v>0</v>
      </c>
      <c r="AW5" s="727" t="b">
        <f>IF(ISERR(OR(AW9:AW40)),"UNK",IF(AND(graded_aca_events&gt;=1,input_test),FALSE,OR(AW9:AW40)))</f>
        <v>0</v>
      </c>
      <c r="AX5" s="727" t="b">
        <f>IF(ISERR(OR(AX9:AX40)),"UNK",IF(AND(graded_aca_events&gt;=1,input_test),FALSE,OR(AX9:AX40)))</f>
        <v>1</v>
      </c>
      <c r="AY5" s="727" t="b">
        <f>IF(ISERR(OR(AY9:AY40)),"UNK",OR(AY9:AY40))</f>
        <v>0</v>
      </c>
      <c r="AZ5" s="727" t="b">
        <f>IF(ISERR(OR(AZ9:AZ40)),"UNK",OR(AZ9:AZ40))</f>
        <v>0</v>
      </c>
      <c r="BA5" s="727" t="b">
        <f>IF(ISERR(OR(BA9:BA40)),"UNK",OR(BA9:BA40))</f>
        <v>0</v>
      </c>
      <c r="BB5" s="727" t="b">
        <f>IF(ISERR(OR(BB9:BB40)),"UNK",OR(BB9:BB40))</f>
        <v>0</v>
      </c>
      <c r="BC5" s="730" t="b">
        <f>OR(BC9:BC40)</f>
        <v>0</v>
      </c>
      <c r="BD5" s="730" t="b">
        <f>OR(BD9:BD40)</f>
        <v>0</v>
      </c>
      <c r="BE5" s="730" t="b">
        <f>OR(BE9:BE40)</f>
        <v>0</v>
      </c>
      <c r="BF5" s="730"/>
      <c r="BG5" s="727"/>
      <c r="BH5" s="1097" t="s">
        <v>279</v>
      </c>
      <c r="BI5" s="1097"/>
      <c r="BJ5" s="1097"/>
      <c r="BK5" s="1097"/>
      <c r="BL5" s="1098" t="s">
        <v>280</v>
      </c>
      <c r="BM5" s="1098"/>
      <c r="BN5" s="1098"/>
      <c r="BO5" s="719"/>
      <c r="BP5" s="976"/>
      <c r="BQ5" s="976"/>
      <c r="BR5" s="976"/>
      <c r="BS5" s="976"/>
      <c r="BT5" s="976"/>
      <c r="BU5" s="976"/>
    </row>
    <row r="6" spans="2:73" s="720" customFormat="1" ht="7.5" customHeight="1" x14ac:dyDescent="0.25">
      <c r="B6" s="1099" t="s">
        <v>281</v>
      </c>
      <c r="C6" s="1100"/>
      <c r="D6" s="1100"/>
      <c r="E6" s="1101"/>
      <c r="F6" s="1102" t="s">
        <v>282</v>
      </c>
      <c r="G6" s="1101"/>
      <c r="H6" s="1102" t="s">
        <v>283</v>
      </c>
      <c r="I6" s="1100"/>
      <c r="J6" s="1100"/>
      <c r="K6" s="1100"/>
      <c r="L6" s="1101"/>
      <c r="M6" s="1103" t="s">
        <v>284</v>
      </c>
      <c r="N6" s="1104"/>
      <c r="O6" s="1105" t="s">
        <v>285</v>
      </c>
      <c r="P6" s="1106"/>
      <c r="Q6" s="1102" t="str">
        <f>IF(AU42=0,"GRADE","GRADE (inc. bonus)")</f>
        <v>GRADE</v>
      </c>
      <c r="R6" s="1107"/>
      <c r="T6" s="721"/>
      <c r="U6" s="721"/>
      <c r="V6" s="721"/>
      <c r="W6" s="721"/>
      <c r="X6" s="721"/>
      <c r="Y6" s="721"/>
      <c r="Z6" s="721"/>
      <c r="AA6" s="721"/>
      <c r="AB6" s="721"/>
      <c r="AC6" s="721"/>
      <c r="AD6" s="721"/>
      <c r="AE6" s="721"/>
      <c r="AF6" s="721"/>
      <c r="AG6" s="721"/>
      <c r="AH6" s="721"/>
      <c r="AI6" s="722"/>
      <c r="AJ6" s="721"/>
      <c r="AK6" s="721"/>
      <c r="AL6" s="721"/>
      <c r="AM6" s="721"/>
      <c r="AN6" s="721"/>
      <c r="AO6" s="721"/>
      <c r="AP6" s="721"/>
      <c r="AQ6" s="721"/>
      <c r="AR6" s="721"/>
      <c r="AS6" s="721"/>
      <c r="AT6" s="721"/>
      <c r="AU6" s="721"/>
      <c r="AV6" s="721"/>
      <c r="AW6" s="721"/>
      <c r="AX6" s="721"/>
      <c r="AY6" s="721"/>
      <c r="AZ6" s="721"/>
      <c r="BA6" s="721"/>
      <c r="BB6" s="721"/>
      <c r="BC6" s="721"/>
      <c r="BD6" s="721"/>
      <c r="BE6" s="721"/>
      <c r="BF6" s="721"/>
      <c r="BG6" s="721"/>
      <c r="BH6" s="1097"/>
      <c r="BI6" s="1097"/>
      <c r="BJ6" s="1097"/>
      <c r="BK6" s="1097"/>
      <c r="BL6" s="1098"/>
      <c r="BM6" s="1098"/>
      <c r="BN6" s="1098"/>
      <c r="BO6" s="732"/>
    </row>
    <row r="7" spans="2:73" s="731" customFormat="1" ht="15.75" customHeight="1" thickBot="1" x14ac:dyDescent="0.25">
      <c r="B7" s="1108"/>
      <c r="C7" s="1109"/>
      <c r="D7" s="1109"/>
      <c r="E7" s="1110"/>
      <c r="F7" s="1111" t="s">
        <v>457</v>
      </c>
      <c r="G7" s="1112"/>
      <c r="H7" s="1113"/>
      <c r="I7" s="1114"/>
      <c r="J7" s="1114"/>
      <c r="K7" s="1114"/>
      <c r="L7" s="1115"/>
      <c r="M7" s="1118"/>
      <c r="N7" s="1119"/>
      <c r="O7" s="1120"/>
      <c r="P7" s="1121"/>
      <c r="Q7" s="1122" t="str">
        <f>IF((graded_aca_events+graded_amn_events)&lt;1,"---",IF(ISERROR(AR47),"",IF(F42&lt;&gt;"COMPLETE","INCOMPLETE",AR47)))</f>
        <v>---</v>
      </c>
      <c r="R7" s="1123"/>
      <c r="S7" s="715"/>
      <c r="T7" s="727"/>
      <c r="U7" s="727">
        <v>2</v>
      </c>
      <c r="V7" s="727">
        <v>3</v>
      </c>
      <c r="W7" s="727">
        <v>6</v>
      </c>
      <c r="X7" s="727">
        <v>7</v>
      </c>
      <c r="Y7" s="727">
        <v>11</v>
      </c>
      <c r="Z7" s="727">
        <v>8</v>
      </c>
      <c r="AA7" s="733">
        <v>9</v>
      </c>
      <c r="AB7" s="733">
        <v>10</v>
      </c>
      <c r="AC7" s="733">
        <v>5</v>
      </c>
      <c r="AD7" s="733">
        <v>4</v>
      </c>
      <c r="AE7" s="733">
        <v>12</v>
      </c>
      <c r="AF7" s="733">
        <v>13</v>
      </c>
      <c r="AG7" s="733"/>
      <c r="AH7" s="733"/>
      <c r="AI7" s="734"/>
      <c r="AJ7" s="735"/>
      <c r="AK7" s="735"/>
      <c r="AL7" s="735"/>
      <c r="AM7" s="735" t="b">
        <f>IF(COUNT(AM9:AM40)&gt;0,TRUE,FALSE)</f>
        <v>0</v>
      </c>
      <c r="AN7" s="735" t="b">
        <f>IF(COUNT(AN9:AN40)&gt;0,TRUE,FALSE)</f>
        <v>0</v>
      </c>
      <c r="AO7" s="727"/>
      <c r="AP7" s="727"/>
      <c r="AQ7" s="726"/>
      <c r="AR7" s="726"/>
      <c r="AS7" s="727"/>
      <c r="AT7" s="736">
        <v>0.2</v>
      </c>
      <c r="AU7" s="727"/>
      <c r="AV7" s="737">
        <f>0.01*input_maxb</f>
        <v>0</v>
      </c>
      <c r="AW7" s="738" t="s">
        <v>287</v>
      </c>
      <c r="AX7" s="739"/>
      <c r="AY7" s="738" t="s">
        <v>288</v>
      </c>
      <c r="AZ7" s="739"/>
      <c r="BA7" s="740" t="s">
        <v>289</v>
      </c>
      <c r="BB7" s="740"/>
      <c r="BC7" s="738" t="s">
        <v>290</v>
      </c>
      <c r="BD7" s="740"/>
      <c r="BE7" s="741"/>
      <c r="BF7" s="742"/>
      <c r="BG7" s="727" t="s">
        <v>291</v>
      </c>
      <c r="BH7" s="1097"/>
      <c r="BI7" s="1097"/>
      <c r="BJ7" s="1097"/>
      <c r="BK7" s="1097"/>
      <c r="BL7" s="1098"/>
      <c r="BM7" s="1098"/>
      <c r="BN7" s="1098"/>
      <c r="BO7" s="719"/>
    </row>
    <row r="8" spans="2:73" ht="27" customHeight="1" thickBot="1" x14ac:dyDescent="0.3">
      <c r="B8" s="1124" t="s">
        <v>292</v>
      </c>
      <c r="C8" s="1125"/>
      <c r="D8" s="1125"/>
      <c r="E8" s="1125"/>
      <c r="F8" s="1126"/>
      <c r="G8" s="743" t="s">
        <v>293</v>
      </c>
      <c r="H8" s="744" t="s">
        <v>294</v>
      </c>
      <c r="I8" s="745" t="s">
        <v>295</v>
      </c>
      <c r="J8" s="746" t="s">
        <v>296</v>
      </c>
      <c r="K8" s="747" t="s">
        <v>297</v>
      </c>
      <c r="L8" s="1127" t="s">
        <v>298</v>
      </c>
      <c r="M8" s="1125"/>
      <c r="N8" s="1125"/>
      <c r="O8" s="1125"/>
      <c r="P8" s="1125"/>
      <c r="Q8" s="1125"/>
      <c r="R8" s="1128"/>
      <c r="S8" s="714"/>
      <c r="T8" s="748" t="s">
        <v>299</v>
      </c>
      <c r="U8" s="748"/>
      <c r="V8" s="748" t="s">
        <v>300</v>
      </c>
      <c r="W8" s="748" t="s">
        <v>301</v>
      </c>
      <c r="X8" s="748" t="s">
        <v>302</v>
      </c>
      <c r="Y8" s="748" t="s">
        <v>303</v>
      </c>
      <c r="Z8" s="748" t="s">
        <v>304</v>
      </c>
      <c r="AA8" s="748" t="s">
        <v>305</v>
      </c>
      <c r="AB8" s="748" t="s">
        <v>306</v>
      </c>
      <c r="AC8" s="748" t="s">
        <v>307</v>
      </c>
      <c r="AD8" s="748" t="s">
        <v>308</v>
      </c>
      <c r="AE8" s="748" t="s">
        <v>309</v>
      </c>
      <c r="AF8" s="748" t="s">
        <v>310</v>
      </c>
      <c r="AG8" s="748" t="s">
        <v>311</v>
      </c>
      <c r="AH8" s="748" t="s">
        <v>312</v>
      </c>
      <c r="AI8" s="749" t="s">
        <v>313</v>
      </c>
      <c r="AJ8" s="750" t="s">
        <v>314</v>
      </c>
      <c r="AK8" s="751" t="s">
        <v>315</v>
      </c>
      <c r="AL8" s="751" t="s">
        <v>316</v>
      </c>
      <c r="AM8" s="751" t="s">
        <v>317</v>
      </c>
      <c r="AN8" s="751" t="s">
        <v>318</v>
      </c>
      <c r="AO8" s="750" t="s">
        <v>319</v>
      </c>
      <c r="AP8" s="750" t="s">
        <v>320</v>
      </c>
      <c r="AQ8" s="752" t="s">
        <v>321</v>
      </c>
      <c r="AR8" s="753" t="s">
        <v>1</v>
      </c>
      <c r="AS8" s="752" t="s">
        <v>322</v>
      </c>
      <c r="AT8" s="753" t="s">
        <v>1</v>
      </c>
      <c r="AU8" s="752" t="s">
        <v>323</v>
      </c>
      <c r="AV8" s="754" t="s">
        <v>324</v>
      </c>
      <c r="AW8" s="755" t="s">
        <v>325</v>
      </c>
      <c r="AX8" s="756" t="s">
        <v>326</v>
      </c>
      <c r="AY8" s="755" t="s">
        <v>327</v>
      </c>
      <c r="AZ8" s="756" t="s">
        <v>328</v>
      </c>
      <c r="BA8" s="757" t="s">
        <v>329</v>
      </c>
      <c r="BB8" s="757" t="s">
        <v>330</v>
      </c>
      <c r="BC8" s="758" t="s">
        <v>331</v>
      </c>
      <c r="BD8" s="759" t="s">
        <v>332</v>
      </c>
      <c r="BE8" s="760" t="s">
        <v>333</v>
      </c>
      <c r="BF8" s="761" t="s">
        <v>334</v>
      </c>
      <c r="BG8" s="718"/>
      <c r="BH8" s="718" t="s">
        <v>335</v>
      </c>
      <c r="BI8" s="718" t="s">
        <v>336</v>
      </c>
      <c r="BJ8" s="748" t="s">
        <v>337</v>
      </c>
      <c r="BK8" s="718" t="s">
        <v>338</v>
      </c>
      <c r="BL8" s="718" t="s">
        <v>335</v>
      </c>
      <c r="BM8" s="718" t="s">
        <v>336</v>
      </c>
      <c r="BN8" s="718" t="s">
        <v>338</v>
      </c>
    </row>
    <row r="9" spans="2:73" ht="12.95" customHeight="1" x14ac:dyDescent="0.25">
      <c r="B9" s="762" t="str">
        <f>IF(ISNA(Z9),"",IF(OR(Z9=1,Z9=2),"",1))</f>
        <v/>
      </c>
      <c r="C9" s="1129" t="str">
        <f t="shared" ref="C9:C37" si="0">IF(ISNA(Z9),"",CONCATENATE($U9,IF(ISNUMBER(AI9),TEXT(ROUND($AI9,3)," (0.0%)"),""),IF(AU9&gt;0," Bonus","")))</f>
        <v>Test and Evaluation** (66.0%)</v>
      </c>
      <c r="D9" s="1129"/>
      <c r="E9" s="1129"/>
      <c r="F9" s="1130"/>
      <c r="G9" s="763" t="str">
        <f t="shared" ref="G9:G40" si="1">BH9</f>
        <v/>
      </c>
      <c r="H9" s="764" t="str">
        <f t="shared" ref="H9:I40" si="2">BJ9</f>
        <v/>
      </c>
      <c r="I9" s="765" t="str">
        <f t="shared" si="2"/>
        <v/>
      </c>
      <c r="J9" s="766"/>
      <c r="K9" s="767"/>
      <c r="L9" s="1131"/>
      <c r="M9" s="1132"/>
      <c r="N9" s="1132"/>
      <c r="O9" s="1132"/>
      <c r="P9" s="1132"/>
      <c r="Q9" s="1132"/>
      <c r="R9" s="1133"/>
      <c r="T9" s="716">
        <v>1</v>
      </c>
      <c r="U9" s="716" t="s">
        <v>964</v>
      </c>
      <c r="V9" s="768" t="s">
        <v>340</v>
      </c>
      <c r="W9" s="768" t="s">
        <v>340</v>
      </c>
      <c r="X9" s="768" t="s">
        <v>340</v>
      </c>
      <c r="Y9" s="768" t="s">
        <v>340</v>
      </c>
      <c r="Z9" s="768">
        <v>2</v>
      </c>
      <c r="AA9" s="768">
        <v>1</v>
      </c>
      <c r="AB9" s="768">
        <v>1</v>
      </c>
      <c r="AC9" s="768" t="s">
        <v>340</v>
      </c>
      <c r="AD9" s="768" t="s">
        <v>340</v>
      </c>
      <c r="AE9" s="768" t="s">
        <v>340</v>
      </c>
      <c r="AF9" s="768" t="s">
        <v>340</v>
      </c>
      <c r="AG9" s="768" t="str">
        <f t="shared" ref="AG9:AG40" si="3">IF(CrewSoloQual="Yes",$AC9,$AD9)</f>
        <v/>
      </c>
      <c r="AH9" s="768" t="str">
        <f t="shared" ref="AH9:AH40" si="4">IF(ISNUMBER(AC9),IF(CrewSoloQual="Yes",$AC9-1,$AD9-1),"")</f>
        <v/>
      </c>
      <c r="AI9" s="769">
        <f>IF(NOT(OR(Z9=1,Z9=2)),IF(AQ9&gt;0,$AR$45*AQ9/SUMIF($AQ$9:$AQ$40,"&gt;0"),IF(AU9&gt;0,$AV$45*AU9/SUMIF($AU$9:$AU$40,"&gt;0"),IF(AS9&gt;0,$AT$45*AS9/SUMIF($AS$9:$AS$40,"&gt;0"),""))),IF(SUMIF(AJ10:$AJ$40,"=" &amp; AJ9,AI10:$AI$40)=0,"",SUMIF(AJ10:$AJ$40,"=" &amp; AJ9,AI10:$AI$40)))</f>
        <v>0.660000675840692</v>
      </c>
      <c r="AJ9" s="770">
        <f>0</f>
        <v>0</v>
      </c>
      <c r="AK9" s="768" t="str">
        <f>BI9</f>
        <v/>
      </c>
      <c r="AL9" s="768" t="str">
        <f>IF(ISBLANK(K9),"",K9)</f>
        <v/>
      </c>
      <c r="AM9" s="768" t="str">
        <f>IF(ISNUMBER(AK9),IF(ISNUMBER(AL9),1,""),"")</f>
        <v/>
      </c>
      <c r="AN9" s="768" t="str">
        <f t="shared" ref="AN9:AN37" si="5">IF(ISNUMBER(AH9),IF(AND(AB9=0,ISNUMBER(AC9),ISNUMBER(AL9)),1,""),"")</f>
        <v/>
      </c>
      <c r="AO9" s="768" t="str">
        <f t="shared" ref="AO9:AO40" si="6">IF(AB9=0,IF(CrewSoloQual="No",BI9,BK9),"")</f>
        <v/>
      </c>
      <c r="AP9" s="768" t="str">
        <f t="shared" ref="AP9:AP40" si="7">IF(ISNA(Z9),"",IF(AND(ISNUMBER(B9),G9&gt;=1,H9&lt;&gt;"NG"),IF(K9&lt;BK9,TRUE,FALSE),IF(AND(G9&gt;=1,J9="NA"),TRUE,IF(AND(AM9=1,G9=0,AL9&lt;BI9),TRUE,""))))</f>
        <v/>
      </c>
      <c r="AQ9" s="771">
        <f>IF(ISNA(Z9),0,IF(OR(J9="NA",W9="",AB9=0),0,W9))</f>
        <v>0</v>
      </c>
      <c r="AR9" s="772" t="str">
        <f t="shared" ref="AR9:AR40" si="8">IF(ISNA(Z9),"",IF(AND(NOT(OR(Z9=1,Z9=2,AK9="NG",AB9=0)),IF(ISNUMBER(AL9),AL9&gt;=0,FALSE)),VLOOKUP((10*AD9+AC9),$AQ$51:$AV$59,2+AL9,FALSE),IF(AND(input_test=TRUE,ISNUMBER(AD9),V9&lt;&gt;0),VLOOKUP((10*AD9+AC9),$AQ$51:$AV$59,2,FALSE),"")))</f>
        <v/>
      </c>
      <c r="AS9" s="773">
        <f>IF(ISNA(Z9),0,IF(OR(J9="NA",X9="",AB9=1),0,X9))</f>
        <v>0</v>
      </c>
      <c r="AT9" s="772" t="str">
        <f t="shared" ref="AT9:AT40" si="9">IF(ISNA(Z9),"",IF(AND(NOT(OR(Z9=1,Z9=2,AK9="NG",AB9=1)),IF(ISNUMBER(AL9),AL9&gt;=0,FALSE)),VLOOKUP((10*AH9+AG9),$AQ$51:$AV$59,2+AL9,FALSE),IF(AND(input_test=TRUE,ISNUMBER(AD9),V9&lt;&gt;0),VLOOKUP((10*AH9+AG9),$AQ$51:$AV$59,2,FALSE),"")))</f>
        <v/>
      </c>
      <c r="AU9" s="774">
        <f t="shared" ref="AU9:AU40" si="10">IF(ISNA(Z9),0,IF(OR(J9="NA",Y9=""),0,Y9))</f>
        <v>0</v>
      </c>
      <c r="AV9" s="775" t="str">
        <f t="shared" ref="AV9:AV40" si="11">AR9</f>
        <v/>
      </c>
      <c r="AW9" s="774" t="b">
        <f t="shared" ref="AW9:AW40" si="12">IF(ISNA(Z9),FALSE,IF(OR(AB9=1,G9=0,Z9=1,Z9=2),FALSE,IF(OR(J9="NA",J9&gt;=G9),FALSE,TRUE)))</f>
        <v>0</v>
      </c>
      <c r="AX9" s="776" t="b">
        <f t="shared" ref="AX9:AX40" si="13">IF(ISNA(Z9),FALSE,IF(OR(AB9=0,G9=0,Z9=1,Z9=2,J9="NA"),FALSE,IF(AK9="NG",IF(NOT(ISBLANK(K9)),FALSE,TRUE),IF(J9&gt;=G9,FALSE,TRUE))))</f>
        <v>0</v>
      </c>
      <c r="AY9" s="774" t="b">
        <f t="shared" ref="AY9:AY40" si="14">IF(ISNA(Z9),FALSE,IF(OR(AB9=1,G9&lt;1,Z9=1,Z9=2,AE9=0,ISBLANK(K9)),FALSE,IF(OR(J9="NA",K9&gt;=BI9),FALSE,TRUE)))</f>
        <v>0</v>
      </c>
      <c r="AZ9" s="776" t="b">
        <f t="shared" ref="AZ9:AZ40" si="15">IF(ISNA(Z9),FALSE,IF(OR(AB9=0,G9=0,Z9=1,Z9=2,AE9=0,BI9="NG",K9="",ISBLANK(K9)),FALSE,IF(OR(J9="NA",K9&gt;=AK9),FALSE,TRUE)))</f>
        <v>0</v>
      </c>
      <c r="BA9" s="768" t="b">
        <f t="shared" ref="BA9:BA40" si="16">IF(ISNA(Z9),FALSE,IF(OR(AB9=1,G9&lt;1,Z9=1,Z9=2,AE9=0),FALSE,IF(J9="NA",TRUE,FALSE)))</f>
        <v>0</v>
      </c>
      <c r="BB9" s="768" t="b">
        <f t="shared" ref="BB9:BB40" si="17">IF(ISNA(Z9),FALSE,IF(OR(AB9=0,G9=0,Z9=1,Z9=2),FALSE,IF(J9="NA",TRUE,FALSE)))</f>
        <v>0</v>
      </c>
      <c r="BC9" s="774" t="b">
        <f t="shared" ref="BC9:BC40" si="18">IF(OR(ISNA($Z9),ISNUMBER($Z9),NOT(ISNUMBER($J9)),K9="D"),FALSE,IF(AND(NOT(ISNUMBER($K9)),J9&gt;0),TRUE,FALSE))</f>
        <v>0</v>
      </c>
      <c r="BD9" s="777" t="b">
        <f>IF(OR(ISNA($Z9),ISNUMBER($Z9),NOT(ISNUMBER(K9))),FALSE,OR(NOT(ISNUMBER(J9)),J9=0,AND(J9=0,K9&lt;&gt;0)))</f>
        <v>0</v>
      </c>
      <c r="BE9" s="776" t="b">
        <f t="shared" ref="BE9:BE22" si="19">IF(OR(ISNA($Z9),K9&lt;&gt;"D"),FALSE,IF(OR(AND(H9="NG",J9=0),AND(H9&lt;&gt;"NG",NOT(OR(J9="NA",J9=0)))),TRUE,FALSE))</f>
        <v>0</v>
      </c>
      <c r="BF9" s="778" t="b">
        <f t="shared" ref="BF9:BF31" si="20">IF(OR(ISNA($Z9),H9&lt;&gt;"NG"),FALSE,IF(AND(J9="NA",K9&lt;&gt;""),TRUE,FALSE))</f>
        <v>0</v>
      </c>
      <c r="BG9" s="779" t="b">
        <f t="shared" ref="BG9:BG22" si="21">IF(ISNA($Z9),"NA",IF(OR(AZ9,AY9,AX9,AW9,AP9,BA9,BB9),TRUE,FALSE))</f>
        <v>0</v>
      </c>
      <c r="BH9" s="780" t="str">
        <f>IF(ISNA($Z9),"",IF(OR($Z9=1,$Z9=2),"",$V9))</f>
        <v/>
      </c>
      <c r="BI9" s="779" t="str">
        <f t="shared" ref="BI9:BI40" si="22">IF(ISNA($Z9),"",IF(OR($Z9=1,$Z9=2,$G9=""),"",IF(AB9=0,AH9,$AD9)))</f>
        <v/>
      </c>
      <c r="BJ9" s="779" t="str">
        <f t="shared" ref="BJ9:BJ40" si="23">IF(ISNA(AE9),"",IF(OR(Z9=1,Z9=2),"",IF(OR(AE9=0,AD9="NG"),TEXT(BI9,"0"),CONCATENATE(TEXT(BI9,"0"),"*"))))</f>
        <v/>
      </c>
      <c r="BK9" s="779" t="str">
        <f t="shared" ref="BK9:BK40" si="24">IF(ISNA($Z9),"",IF(OR($Z9=1,$Z9=2,$G9=""),"",IF(AB9=0,AG9,$AC9)))</f>
        <v/>
      </c>
      <c r="BL9" s="780" t="str">
        <f>IF(ISBLANK(BH9),"",IF(BH9=0,"",BH9))</f>
        <v/>
      </c>
      <c r="BM9" s="779" t="str">
        <f t="shared" ref="BM9:BM40" si="25">IF($BH9=0,"",IF($BI9="NG","D",$BI9))</f>
        <v/>
      </c>
      <c r="BN9" s="779" t="str">
        <f t="shared" ref="BN9:BN40" si="26">IF(ISNA(U9),"",IF($BH9=0,"",IF($BI9="NG","D",BK9)))</f>
        <v/>
      </c>
      <c r="BO9" s="781" t="s">
        <v>341</v>
      </c>
      <c r="BP9" s="782"/>
    </row>
    <row r="10" spans="2:73" s="731" customFormat="1" ht="12.95" customHeight="1" x14ac:dyDescent="0.25">
      <c r="B10" s="783">
        <f>IF(ISNA(Z10),"",IF(OR(Z10=1,Z10=2),"    ",MAX($B$9:B9)+1))</f>
        <v>1</v>
      </c>
      <c r="C10" s="1116" t="str">
        <f t="shared" si="0"/>
        <v xml:space="preserve">      - Ground Blocks (6.0%)</v>
      </c>
      <c r="D10" s="1116"/>
      <c r="E10" s="1116"/>
      <c r="F10" s="1117"/>
      <c r="G10" s="763">
        <f t="shared" si="1"/>
        <v>1</v>
      </c>
      <c r="H10" s="764" t="str">
        <f t="shared" si="2"/>
        <v>2*</v>
      </c>
      <c r="I10" s="784">
        <f t="shared" si="2"/>
        <v>3</v>
      </c>
      <c r="J10" s="785"/>
      <c r="K10" s="786"/>
      <c r="L10" s="1134"/>
      <c r="M10" s="1135"/>
      <c r="N10" s="1135"/>
      <c r="O10" s="1135"/>
      <c r="P10" s="1135"/>
      <c r="Q10" s="1135"/>
      <c r="R10" s="1136"/>
      <c r="T10" s="727">
        <v>2</v>
      </c>
      <c r="U10" s="716" t="s">
        <v>740</v>
      </c>
      <c r="V10" s="768">
        <v>1</v>
      </c>
      <c r="W10" s="768">
        <v>1</v>
      </c>
      <c r="X10" s="768" t="s">
        <v>340</v>
      </c>
      <c r="Y10" s="768" t="s">
        <v>340</v>
      </c>
      <c r="Z10" s="777" t="s">
        <v>340</v>
      </c>
      <c r="AA10" s="777">
        <v>2</v>
      </c>
      <c r="AB10" s="777">
        <v>1</v>
      </c>
      <c r="AC10" s="768">
        <v>3</v>
      </c>
      <c r="AD10" s="768">
        <v>2</v>
      </c>
      <c r="AE10" s="768">
        <v>1</v>
      </c>
      <c r="AF10" s="768" t="b">
        <v>1</v>
      </c>
      <c r="AG10" s="768">
        <f t="shared" si="3"/>
        <v>2</v>
      </c>
      <c r="AH10" s="768">
        <f t="shared" si="4"/>
        <v>1</v>
      </c>
      <c r="AI10" s="769">
        <f>IF(NOT(OR(Z10=1,Z10=2)),IF(AQ10&gt;0,$AR$45*AQ10/SUMIF($AQ$9:$AQ$40,"&gt;0"),IF(AU10&gt;0,$AV$45*AU10/SUMIF($AU$9:$AU$40,"&gt;0"),IF(AS10&gt;0,$AT$45*AS10/SUMIF($AS$9:$AS$40,"&gt;0"),""))),IF(SUMIF(AJ11:$AJ$40,"=" &amp; AJ10,AI11:$AI$40)=0,"",SUMIF(AJ11:$AJ$40,"=" &amp; AJ10,AI11:$AI$40)))</f>
        <v>6.0000061440062917E-2</v>
      </c>
      <c r="AJ10" s="770">
        <f>IF(OR(Z10=1,Z10=2,AA10&lt;AA9),AJ9+1,AJ9)</f>
        <v>0</v>
      </c>
      <c r="AK10" s="768">
        <f t="shared" ref="AK10:AK40" si="27">BI10</f>
        <v>2</v>
      </c>
      <c r="AL10" s="777" t="str">
        <f t="shared" ref="AL10:AL40" si="28">IF(ISBLANK(K10),"",K10)</f>
        <v/>
      </c>
      <c r="AM10" s="777" t="str">
        <f>IF(ISNUMBER(AK10),IF(ISNUMBER(AL10),1,""),"")</f>
        <v/>
      </c>
      <c r="AN10" s="777" t="str">
        <f t="shared" si="5"/>
        <v/>
      </c>
      <c r="AO10" s="777" t="str">
        <f t="shared" si="6"/>
        <v/>
      </c>
      <c r="AP10" s="768" t="b">
        <f>IF(ISNA(Z10),"",IF(AND(ISNUMBER(B10),G10&gt;=1,H10&lt;&gt;"NG"),IF(K10&lt;BK10,TRUE,FALSE),IF(AND(G10&gt;=1,J10="NA"),TRUE,IF(AND(AM10=1,G10=0,AL10&lt;BI10),TRUE,""))))</f>
        <v>1</v>
      </c>
      <c r="AQ10" s="771">
        <f t="shared" ref="AQ10:AQ40" si="29">IF(ISNA(Z10),0,IF(OR(J10="NA",W10="",AB10=0),0,W10))</f>
        <v>1</v>
      </c>
      <c r="AR10" s="772" t="str">
        <f>IF(ISNA(Z10),"",IF(AND(NOT(OR(Z10=1,Z10=2,AK10="NG",AB10=0)),IF(ISNUMBER(AL10),AL10&gt;=0,FALSE)),VLOOKUP((10*AD10+AC10),$AQ$51:$AV$59,2+AL10,FALSE),IF(AND(input_test=TRUE,ISNUMBER(AD10),V10&lt;&gt;0),VLOOKUP((10*AD10+AC10),$AQ$51:$AV$59,2,FALSE),"")))</f>
        <v/>
      </c>
      <c r="AS10" s="773">
        <f t="shared" ref="AS10:AS40" si="30">IF(ISNA(Z10),0,IF(OR(J10="NA",X10="",AB10=1),0,X10))</f>
        <v>0</v>
      </c>
      <c r="AT10" s="772" t="str">
        <f>IF(ISNA(Z10),"",IF(AND(NOT(OR(Z10=1,Z10=2,AK10="NG",AB10=1)),IF(ISNUMBER(AL10),AL10&gt;=0,FALSE)),VLOOKUP((10*AH10+AG10),$AQ$51:$AV$59,2+AL10,FALSE),IF(AND(input_test=TRUE,ISNUMBER(AD10),V10&lt;&gt;0),VLOOKUP((10*AH10+AG10),$AQ$51:$AV$59,2,FALSE),"")))</f>
        <v/>
      </c>
      <c r="AU10" s="774">
        <f t="shared" si="10"/>
        <v>0</v>
      </c>
      <c r="AV10" s="775" t="str">
        <f t="shared" si="11"/>
        <v/>
      </c>
      <c r="AW10" s="774" t="b">
        <f t="shared" si="12"/>
        <v>0</v>
      </c>
      <c r="AX10" s="776" t="b">
        <f t="shared" si="13"/>
        <v>1</v>
      </c>
      <c r="AY10" s="774" t="b">
        <f t="shared" si="14"/>
        <v>0</v>
      </c>
      <c r="AZ10" s="776" t="b">
        <f t="shared" si="15"/>
        <v>0</v>
      </c>
      <c r="BA10" s="768" t="b">
        <f t="shared" si="16"/>
        <v>0</v>
      </c>
      <c r="BB10" s="768" t="b">
        <f t="shared" si="17"/>
        <v>0</v>
      </c>
      <c r="BC10" s="774" t="b">
        <f t="shared" si="18"/>
        <v>0</v>
      </c>
      <c r="BD10" s="777" t="b">
        <f t="shared" ref="BD10:BD40" si="31">IF(OR(ISNA($Z10),ISNUMBER($Z10),NOT(ISNUMBER(K10))),FALSE,OR(NOT(ISNUMBER(J10)),J10=0,AND(J10=0,K10&lt;&gt;0)))</f>
        <v>0</v>
      </c>
      <c r="BE10" s="776" t="b">
        <f t="shared" si="19"/>
        <v>0</v>
      </c>
      <c r="BF10" s="778" t="b">
        <f t="shared" si="20"/>
        <v>0</v>
      </c>
      <c r="BG10" s="779" t="b">
        <f t="shared" si="21"/>
        <v>1</v>
      </c>
      <c r="BH10" s="779">
        <f t="shared" ref="BH10:BH40" si="32">IF(ISNA($Z10),"",IF(OR($Z10=1,$Z10=2),"",$V10))</f>
        <v>1</v>
      </c>
      <c r="BI10" s="779">
        <f t="shared" si="22"/>
        <v>2</v>
      </c>
      <c r="BJ10" s="779" t="str">
        <f t="shared" si="23"/>
        <v>2*</v>
      </c>
      <c r="BK10" s="779">
        <f t="shared" si="24"/>
        <v>3</v>
      </c>
      <c r="BL10" s="780">
        <f t="shared" ref="BL10:BL40" si="33">IF(ISBLANK(BH10),"",IF(BH10=0,"",BH10))</f>
        <v>1</v>
      </c>
      <c r="BM10" s="779">
        <f t="shared" si="25"/>
        <v>2</v>
      </c>
      <c r="BN10" s="779">
        <f t="shared" si="26"/>
        <v>3</v>
      </c>
      <c r="BO10" s="787" t="s">
        <v>343</v>
      </c>
      <c r="BP10" s="788" t="s">
        <v>265</v>
      </c>
    </row>
    <row r="11" spans="2:73" s="731" customFormat="1" ht="12.95" customHeight="1" x14ac:dyDescent="0.25">
      <c r="B11" s="783">
        <f>IF(ISNA(Z11),"",IF(OR(Z11=1,Z11=2),"    ",MAX($B$9:B10)+1))</f>
        <v>2</v>
      </c>
      <c r="C11" s="1116" t="str">
        <f t="shared" si="0"/>
        <v xml:space="preserve">      - Takeoff (6.0%)</v>
      </c>
      <c r="D11" s="1116"/>
      <c r="E11" s="1116"/>
      <c r="F11" s="1117"/>
      <c r="G11" s="763">
        <f t="shared" si="1"/>
        <v>1</v>
      </c>
      <c r="H11" s="764" t="str">
        <f t="shared" si="2"/>
        <v>2*</v>
      </c>
      <c r="I11" s="784">
        <f t="shared" si="2"/>
        <v>3</v>
      </c>
      <c r="J11" s="789"/>
      <c r="K11" s="786"/>
      <c r="L11" s="1134"/>
      <c r="M11" s="1135"/>
      <c r="N11" s="1135"/>
      <c r="O11" s="1135"/>
      <c r="P11" s="1135"/>
      <c r="Q11" s="1135"/>
      <c r="R11" s="1136"/>
      <c r="T11" s="727">
        <v>3</v>
      </c>
      <c r="U11" s="716" t="s">
        <v>674</v>
      </c>
      <c r="V11" s="768">
        <v>1</v>
      </c>
      <c r="W11" s="768">
        <v>1</v>
      </c>
      <c r="X11" s="768" t="s">
        <v>340</v>
      </c>
      <c r="Y11" s="768" t="s">
        <v>340</v>
      </c>
      <c r="Z11" s="777" t="s">
        <v>340</v>
      </c>
      <c r="AA11" s="777">
        <v>2</v>
      </c>
      <c r="AB11" s="777">
        <v>1</v>
      </c>
      <c r="AC11" s="768">
        <v>3</v>
      </c>
      <c r="AD11" s="768">
        <v>2</v>
      </c>
      <c r="AE11" s="768">
        <v>1</v>
      </c>
      <c r="AF11" s="768" t="b">
        <v>1</v>
      </c>
      <c r="AG11" s="768">
        <f t="shared" si="3"/>
        <v>2</v>
      </c>
      <c r="AH11" s="768">
        <f t="shared" si="4"/>
        <v>1</v>
      </c>
      <c r="AI11" s="769">
        <f>IF(NOT(OR(Z11=1,Z11=2)),IF(AQ11&gt;0,$AR$45*AQ11/SUMIF($AQ$9:$AQ$40,"&gt;0"),IF(AU11&gt;0,$AV$45*AU11/SUMIF($AU$9:$AU$40,"&gt;0"),IF(AS11&gt;0,$AT$45*AS11/SUMIF($AS$9:$AS$40,"&gt;0"),""))),IF(SUMIF(AJ12:$AJ$40,"=" &amp; AJ11,AI12:$AI$40)=0,"",SUMIF(AJ12:$AJ$40,"=" &amp; AJ11,AI12:$AI$40)))</f>
        <v>6.0000061440062917E-2</v>
      </c>
      <c r="AJ11" s="770">
        <f t="shared" ref="AJ11:AJ40" si="34">IF(OR(Z11=1,Z11=2,AA11&lt;AA10),AJ10+1,AJ10)</f>
        <v>0</v>
      </c>
      <c r="AK11" s="768">
        <f t="shared" si="27"/>
        <v>2</v>
      </c>
      <c r="AL11" s="777" t="str">
        <f t="shared" si="28"/>
        <v/>
      </c>
      <c r="AM11" s="777" t="str">
        <f t="shared" ref="AM11:AM40" si="35">IF(ISNUMBER(AK11),IF(ISNUMBER(AL11),1,""),"")</f>
        <v/>
      </c>
      <c r="AN11" s="777" t="str">
        <f t="shared" si="5"/>
        <v/>
      </c>
      <c r="AO11" s="777" t="str">
        <f t="shared" si="6"/>
        <v/>
      </c>
      <c r="AP11" s="768" t="b">
        <f t="shared" si="7"/>
        <v>1</v>
      </c>
      <c r="AQ11" s="771">
        <f t="shared" si="29"/>
        <v>1</v>
      </c>
      <c r="AR11" s="772" t="str">
        <f t="shared" si="8"/>
        <v/>
      </c>
      <c r="AS11" s="773">
        <f t="shared" si="30"/>
        <v>0</v>
      </c>
      <c r="AT11" s="772" t="str">
        <f t="shared" si="9"/>
        <v/>
      </c>
      <c r="AU11" s="774">
        <f t="shared" si="10"/>
        <v>0</v>
      </c>
      <c r="AV11" s="775" t="str">
        <f t="shared" si="11"/>
        <v/>
      </c>
      <c r="AW11" s="774" t="b">
        <f t="shared" si="12"/>
        <v>0</v>
      </c>
      <c r="AX11" s="776" t="b">
        <f t="shared" si="13"/>
        <v>1</v>
      </c>
      <c r="AY11" s="774" t="b">
        <f t="shared" si="14"/>
        <v>0</v>
      </c>
      <c r="AZ11" s="776" t="b">
        <f t="shared" si="15"/>
        <v>0</v>
      </c>
      <c r="BA11" s="768" t="b">
        <f t="shared" si="16"/>
        <v>0</v>
      </c>
      <c r="BB11" s="768" t="b">
        <f t="shared" si="17"/>
        <v>0</v>
      </c>
      <c r="BC11" s="774" t="b">
        <f t="shared" si="18"/>
        <v>0</v>
      </c>
      <c r="BD11" s="777" t="b">
        <f t="shared" si="31"/>
        <v>0</v>
      </c>
      <c r="BE11" s="776" t="b">
        <f t="shared" si="19"/>
        <v>0</v>
      </c>
      <c r="BF11" s="778" t="b">
        <f t="shared" si="20"/>
        <v>0</v>
      </c>
      <c r="BG11" s="779" t="b">
        <f t="shared" si="21"/>
        <v>1</v>
      </c>
      <c r="BH11" s="779">
        <f t="shared" si="32"/>
        <v>1</v>
      </c>
      <c r="BI11" s="779">
        <f t="shared" si="22"/>
        <v>2</v>
      </c>
      <c r="BJ11" s="779" t="str">
        <f t="shared" si="23"/>
        <v>2*</v>
      </c>
      <c r="BK11" s="779">
        <f t="shared" si="24"/>
        <v>3</v>
      </c>
      <c r="BL11" s="780">
        <f t="shared" si="33"/>
        <v>1</v>
      </c>
      <c r="BM11" s="779">
        <f t="shared" si="25"/>
        <v>2</v>
      </c>
      <c r="BN11" s="779">
        <f t="shared" si="26"/>
        <v>3</v>
      </c>
      <c r="BO11" s="787">
        <v>0</v>
      </c>
      <c r="BP11" s="788" t="s">
        <v>465</v>
      </c>
    </row>
    <row r="12" spans="2:73" s="731" customFormat="1" ht="12.95" customHeight="1" x14ac:dyDescent="0.25">
      <c r="B12" s="783">
        <f>IF(ISNA(Z12),"",IF(OR(Z12=1,Z12=2),"    ",MAX($B$9:B11)+1))</f>
        <v>3</v>
      </c>
      <c r="C12" s="1116" t="str">
        <f t="shared" si="0"/>
        <v xml:space="preserve">      - Check Climb Time &amp; Distance (6.0%)</v>
      </c>
      <c r="D12" s="1116"/>
      <c r="E12" s="1116"/>
      <c r="F12" s="1117"/>
      <c r="G12" s="763">
        <f t="shared" si="1"/>
        <v>1</v>
      </c>
      <c r="H12" s="764" t="str">
        <f t="shared" si="2"/>
        <v>2*</v>
      </c>
      <c r="I12" s="784">
        <f t="shared" si="2"/>
        <v>3</v>
      </c>
      <c r="J12" s="789"/>
      <c r="K12" s="786"/>
      <c r="L12" s="1134"/>
      <c r="M12" s="1135"/>
      <c r="N12" s="1135"/>
      <c r="O12" s="1135"/>
      <c r="P12" s="1135"/>
      <c r="Q12" s="1135"/>
      <c r="R12" s="1136"/>
      <c r="T12" s="727">
        <v>4</v>
      </c>
      <c r="U12" s="716" t="s">
        <v>965</v>
      </c>
      <c r="V12" s="768">
        <v>1</v>
      </c>
      <c r="W12" s="768">
        <v>1</v>
      </c>
      <c r="X12" s="768" t="s">
        <v>340</v>
      </c>
      <c r="Y12" s="768" t="s">
        <v>340</v>
      </c>
      <c r="Z12" s="777" t="s">
        <v>340</v>
      </c>
      <c r="AA12" s="777">
        <v>2</v>
      </c>
      <c r="AB12" s="777">
        <v>1</v>
      </c>
      <c r="AC12" s="768">
        <v>3</v>
      </c>
      <c r="AD12" s="768">
        <v>2</v>
      </c>
      <c r="AE12" s="768">
        <v>1</v>
      </c>
      <c r="AF12" s="768" t="b">
        <v>1</v>
      </c>
      <c r="AG12" s="768">
        <f t="shared" si="3"/>
        <v>2</v>
      </c>
      <c r="AH12" s="768">
        <f t="shared" si="4"/>
        <v>1</v>
      </c>
      <c r="AI12" s="769">
        <f>IF(NOT(OR(Z12=1,Z12=2)),IF(AQ12&gt;0,$AR$45*AQ12/SUMIF($AQ$9:$AQ$40,"&gt;0"),IF(AU12&gt;0,$AV$45*AU12/SUMIF($AU$9:$AU$40,"&gt;0"),IF(AS12&gt;0,$AT$45*AS12/SUMIF($AS$9:$AS$40,"&gt;0"),""))),IF(SUMIF(AJ13:$AJ$40,"=" &amp; AJ12,AI13:$AI$40)=0,"",SUMIF(AJ13:$AJ$40,"=" &amp; AJ12,AI13:$AI$40)))</f>
        <v>6.0000061440062917E-2</v>
      </c>
      <c r="AJ12" s="770">
        <f t="shared" si="34"/>
        <v>0</v>
      </c>
      <c r="AK12" s="768">
        <f t="shared" si="27"/>
        <v>2</v>
      </c>
      <c r="AL12" s="777" t="str">
        <f t="shared" si="28"/>
        <v/>
      </c>
      <c r="AM12" s="777" t="str">
        <f t="shared" si="35"/>
        <v/>
      </c>
      <c r="AN12" s="777" t="str">
        <f t="shared" si="5"/>
        <v/>
      </c>
      <c r="AO12" s="777" t="str">
        <f t="shared" si="6"/>
        <v/>
      </c>
      <c r="AP12" s="768" t="b">
        <f t="shared" si="7"/>
        <v>1</v>
      </c>
      <c r="AQ12" s="771">
        <f t="shared" si="29"/>
        <v>1</v>
      </c>
      <c r="AR12" s="772" t="str">
        <f t="shared" si="8"/>
        <v/>
      </c>
      <c r="AS12" s="773">
        <f t="shared" si="30"/>
        <v>0</v>
      </c>
      <c r="AT12" s="772" t="str">
        <f t="shared" si="9"/>
        <v/>
      </c>
      <c r="AU12" s="774">
        <f t="shared" si="10"/>
        <v>0</v>
      </c>
      <c r="AV12" s="775" t="str">
        <f t="shared" si="11"/>
        <v/>
      </c>
      <c r="AW12" s="774" t="b">
        <f t="shared" si="12"/>
        <v>0</v>
      </c>
      <c r="AX12" s="776" t="b">
        <f t="shared" si="13"/>
        <v>1</v>
      </c>
      <c r="AY12" s="774" t="b">
        <f t="shared" si="14"/>
        <v>0</v>
      </c>
      <c r="AZ12" s="776" t="b">
        <f t="shared" si="15"/>
        <v>0</v>
      </c>
      <c r="BA12" s="768" t="b">
        <f t="shared" si="16"/>
        <v>0</v>
      </c>
      <c r="BB12" s="768" t="b">
        <f t="shared" si="17"/>
        <v>0</v>
      </c>
      <c r="BC12" s="774" t="b">
        <f t="shared" si="18"/>
        <v>0</v>
      </c>
      <c r="BD12" s="777" t="b">
        <f t="shared" si="31"/>
        <v>0</v>
      </c>
      <c r="BE12" s="776" t="b">
        <f t="shared" si="19"/>
        <v>0</v>
      </c>
      <c r="BF12" s="778" t="b">
        <f t="shared" si="20"/>
        <v>0</v>
      </c>
      <c r="BG12" s="779" t="b">
        <f t="shared" si="21"/>
        <v>1</v>
      </c>
      <c r="BH12" s="779">
        <f t="shared" si="32"/>
        <v>1</v>
      </c>
      <c r="BI12" s="779">
        <f t="shared" si="22"/>
        <v>2</v>
      </c>
      <c r="BJ12" s="779" t="str">
        <f t="shared" si="23"/>
        <v>2*</v>
      </c>
      <c r="BK12" s="779">
        <f t="shared" si="24"/>
        <v>3</v>
      </c>
      <c r="BL12" s="780">
        <f t="shared" si="33"/>
        <v>1</v>
      </c>
      <c r="BM12" s="779">
        <f t="shared" si="25"/>
        <v>2</v>
      </c>
      <c r="BN12" s="779">
        <f t="shared" si="26"/>
        <v>3</v>
      </c>
      <c r="BO12" s="787">
        <v>1</v>
      </c>
      <c r="BP12" s="788" t="s">
        <v>467</v>
      </c>
    </row>
    <row r="13" spans="2:73" s="731" customFormat="1" ht="12.95" customHeight="1" x14ac:dyDescent="0.25">
      <c r="B13" s="783">
        <f>IF(ISNA(Z13),"",IF(OR(Z13=1,Z13=2),"    ",MAX($B$9:B12)+1))</f>
        <v>4</v>
      </c>
      <c r="C13" s="1116" t="str">
        <f t="shared" si="0"/>
        <v xml:space="preserve">      - Level Acceleration (6.0%)</v>
      </c>
      <c r="D13" s="1116"/>
      <c r="E13" s="1116"/>
      <c r="F13" s="1117"/>
      <c r="G13" s="763">
        <f t="shared" si="1"/>
        <v>1</v>
      </c>
      <c r="H13" s="764" t="str">
        <f t="shared" si="2"/>
        <v>2*</v>
      </c>
      <c r="I13" s="784">
        <f t="shared" si="2"/>
        <v>3</v>
      </c>
      <c r="J13" s="789"/>
      <c r="K13" s="786"/>
      <c r="L13" s="1134"/>
      <c r="M13" s="1135"/>
      <c r="N13" s="1135"/>
      <c r="O13" s="1135"/>
      <c r="P13" s="1135"/>
      <c r="Q13" s="1135"/>
      <c r="R13" s="1136"/>
      <c r="T13" s="727">
        <v>5</v>
      </c>
      <c r="U13" s="716" t="s">
        <v>672</v>
      </c>
      <c r="V13" s="768">
        <v>1</v>
      </c>
      <c r="W13" s="768">
        <v>1</v>
      </c>
      <c r="X13" s="768" t="s">
        <v>340</v>
      </c>
      <c r="Y13" s="768" t="s">
        <v>340</v>
      </c>
      <c r="Z13" s="777" t="s">
        <v>340</v>
      </c>
      <c r="AA13" s="777">
        <v>2</v>
      </c>
      <c r="AB13" s="777">
        <v>1</v>
      </c>
      <c r="AC13" s="768">
        <v>3</v>
      </c>
      <c r="AD13" s="768">
        <v>2</v>
      </c>
      <c r="AE13" s="768">
        <v>1</v>
      </c>
      <c r="AF13" s="768" t="b">
        <v>1</v>
      </c>
      <c r="AG13" s="768">
        <f t="shared" si="3"/>
        <v>2</v>
      </c>
      <c r="AH13" s="768">
        <f t="shared" si="4"/>
        <v>1</v>
      </c>
      <c r="AI13" s="769">
        <f>IF(NOT(OR(Z13=1,Z13=2)),IF(AQ13&gt;0,$AR$45*AQ13/SUMIF($AQ$9:$AQ$40,"&gt;0"),IF(AU13&gt;0,$AV$45*AU13/SUMIF($AU$9:$AU$40,"&gt;0"),IF(AS13&gt;0,$AT$45*AS13/SUMIF($AS$9:$AS$40,"&gt;0"),""))),IF(SUMIF(AJ14:$AJ$40,"=" &amp; AJ13,AI14:$AI$40)=0,"",SUMIF(AJ14:$AJ$40,"=" &amp; AJ13,AI14:$AI$40)))</f>
        <v>6.0000061440062917E-2</v>
      </c>
      <c r="AJ13" s="770">
        <f t="shared" si="34"/>
        <v>0</v>
      </c>
      <c r="AK13" s="768">
        <f t="shared" si="27"/>
        <v>2</v>
      </c>
      <c r="AL13" s="777" t="str">
        <f t="shared" si="28"/>
        <v/>
      </c>
      <c r="AM13" s="777" t="str">
        <f t="shared" si="35"/>
        <v/>
      </c>
      <c r="AN13" s="777" t="str">
        <f t="shared" si="5"/>
        <v/>
      </c>
      <c r="AO13" s="777" t="str">
        <f t="shared" si="6"/>
        <v/>
      </c>
      <c r="AP13" s="768" t="b">
        <f t="shared" si="7"/>
        <v>1</v>
      </c>
      <c r="AQ13" s="771">
        <f t="shared" si="29"/>
        <v>1</v>
      </c>
      <c r="AR13" s="772" t="str">
        <f t="shared" si="8"/>
        <v/>
      </c>
      <c r="AS13" s="773">
        <f t="shared" si="30"/>
        <v>0</v>
      </c>
      <c r="AT13" s="772" t="str">
        <f t="shared" si="9"/>
        <v/>
      </c>
      <c r="AU13" s="774">
        <f t="shared" si="10"/>
        <v>0</v>
      </c>
      <c r="AV13" s="775" t="str">
        <f t="shared" si="11"/>
        <v/>
      </c>
      <c r="AW13" s="774" t="b">
        <f t="shared" si="12"/>
        <v>0</v>
      </c>
      <c r="AX13" s="776" t="b">
        <f t="shared" si="13"/>
        <v>1</v>
      </c>
      <c r="AY13" s="774" t="b">
        <f t="shared" si="14"/>
        <v>0</v>
      </c>
      <c r="AZ13" s="776" t="b">
        <f t="shared" si="15"/>
        <v>0</v>
      </c>
      <c r="BA13" s="768" t="b">
        <f t="shared" si="16"/>
        <v>0</v>
      </c>
      <c r="BB13" s="768" t="b">
        <f t="shared" si="17"/>
        <v>0</v>
      </c>
      <c r="BC13" s="774" t="b">
        <f t="shared" si="18"/>
        <v>0</v>
      </c>
      <c r="BD13" s="777" t="b">
        <f t="shared" si="31"/>
        <v>0</v>
      </c>
      <c r="BE13" s="776" t="b">
        <f t="shared" si="19"/>
        <v>0</v>
      </c>
      <c r="BF13" s="778" t="b">
        <f t="shared" si="20"/>
        <v>0</v>
      </c>
      <c r="BG13" s="779" t="b">
        <f t="shared" si="21"/>
        <v>1</v>
      </c>
      <c r="BH13" s="779">
        <f t="shared" si="32"/>
        <v>1</v>
      </c>
      <c r="BI13" s="779">
        <f t="shared" si="22"/>
        <v>2</v>
      </c>
      <c r="BJ13" s="779" t="str">
        <f t="shared" si="23"/>
        <v>2*</v>
      </c>
      <c r="BK13" s="779">
        <f t="shared" si="24"/>
        <v>3</v>
      </c>
      <c r="BL13" s="780">
        <f t="shared" si="33"/>
        <v>1</v>
      </c>
      <c r="BM13" s="779">
        <f t="shared" si="25"/>
        <v>2</v>
      </c>
      <c r="BN13" s="779">
        <f t="shared" si="26"/>
        <v>3</v>
      </c>
      <c r="BO13" s="787">
        <v>2</v>
      </c>
      <c r="BP13" s="788" t="s">
        <v>350</v>
      </c>
    </row>
    <row r="14" spans="2:73" s="731" customFormat="1" ht="12.95" customHeight="1" x14ac:dyDescent="0.25">
      <c r="B14" s="783">
        <f>IF(ISNA(Z14),"",IF(OR(Z14=1,Z14=2),"    ",MAX($B$9:B13)+1))</f>
        <v>5</v>
      </c>
      <c r="C14" s="1116" t="str">
        <f t="shared" si="0"/>
        <v xml:space="preserve">      - Sawtooth Climbs (6.0%)</v>
      </c>
      <c r="D14" s="1116"/>
      <c r="E14" s="1116"/>
      <c r="F14" s="1117"/>
      <c r="G14" s="763">
        <f t="shared" si="1"/>
        <v>1</v>
      </c>
      <c r="H14" s="764" t="str">
        <f t="shared" si="2"/>
        <v>2*</v>
      </c>
      <c r="I14" s="784">
        <f t="shared" si="2"/>
        <v>3</v>
      </c>
      <c r="J14" s="789"/>
      <c r="K14" s="786"/>
      <c r="L14" s="1134"/>
      <c r="M14" s="1135"/>
      <c r="N14" s="1135"/>
      <c r="O14" s="1135"/>
      <c r="P14" s="1135"/>
      <c r="Q14" s="1135"/>
      <c r="R14" s="1136"/>
      <c r="T14" s="727">
        <v>6</v>
      </c>
      <c r="U14" s="716" t="s">
        <v>675</v>
      </c>
      <c r="V14" s="768">
        <v>1</v>
      </c>
      <c r="W14" s="768">
        <v>1</v>
      </c>
      <c r="X14" s="768" t="s">
        <v>340</v>
      </c>
      <c r="Y14" s="768" t="s">
        <v>340</v>
      </c>
      <c r="Z14" s="777" t="s">
        <v>340</v>
      </c>
      <c r="AA14" s="777">
        <v>2</v>
      </c>
      <c r="AB14" s="777">
        <v>1</v>
      </c>
      <c r="AC14" s="768">
        <v>3</v>
      </c>
      <c r="AD14" s="768">
        <v>2</v>
      </c>
      <c r="AE14" s="768">
        <v>1</v>
      </c>
      <c r="AF14" s="768" t="b">
        <v>1</v>
      </c>
      <c r="AG14" s="768">
        <f t="shared" si="3"/>
        <v>2</v>
      </c>
      <c r="AH14" s="768">
        <f t="shared" si="4"/>
        <v>1</v>
      </c>
      <c r="AI14" s="769">
        <f>IF(NOT(OR(Z14=1,Z14=2)),IF(AQ14&gt;0,$AR$45*AQ14/SUMIF($AQ$9:$AQ$40,"&gt;0"),IF(AU14&gt;0,$AV$45*AU14/SUMIF($AU$9:$AU$40,"&gt;0"),IF(AS14&gt;0,$AT$45*AS14/SUMIF($AS$9:$AS$40,"&gt;0"),""))),IF(SUMIF(AJ15:$AJ$40,"=" &amp; AJ14,AI15:$AI$40)=0,"",SUMIF(AJ15:$AJ$40,"=" &amp; AJ14,AI15:$AI$40)))</f>
        <v>6.0000061440062917E-2</v>
      </c>
      <c r="AJ14" s="770">
        <f t="shared" si="34"/>
        <v>0</v>
      </c>
      <c r="AK14" s="768">
        <f t="shared" si="27"/>
        <v>2</v>
      </c>
      <c r="AL14" s="777" t="str">
        <f t="shared" si="28"/>
        <v/>
      </c>
      <c r="AM14" s="777" t="str">
        <f t="shared" si="35"/>
        <v/>
      </c>
      <c r="AN14" s="777" t="str">
        <f t="shared" si="5"/>
        <v/>
      </c>
      <c r="AO14" s="777" t="str">
        <f t="shared" si="6"/>
        <v/>
      </c>
      <c r="AP14" s="768" t="b">
        <f t="shared" si="7"/>
        <v>1</v>
      </c>
      <c r="AQ14" s="771">
        <f t="shared" si="29"/>
        <v>1</v>
      </c>
      <c r="AR14" s="772" t="str">
        <f t="shared" si="8"/>
        <v/>
      </c>
      <c r="AS14" s="773">
        <f t="shared" si="30"/>
        <v>0</v>
      </c>
      <c r="AT14" s="772" t="str">
        <f t="shared" si="9"/>
        <v/>
      </c>
      <c r="AU14" s="774">
        <f t="shared" si="10"/>
        <v>0</v>
      </c>
      <c r="AV14" s="775" t="str">
        <f t="shared" si="11"/>
        <v/>
      </c>
      <c r="AW14" s="774" t="b">
        <f t="shared" si="12"/>
        <v>0</v>
      </c>
      <c r="AX14" s="776" t="b">
        <f t="shared" si="13"/>
        <v>1</v>
      </c>
      <c r="AY14" s="774" t="b">
        <f t="shared" si="14"/>
        <v>0</v>
      </c>
      <c r="AZ14" s="776" t="b">
        <f t="shared" si="15"/>
        <v>0</v>
      </c>
      <c r="BA14" s="768" t="b">
        <f t="shared" si="16"/>
        <v>0</v>
      </c>
      <c r="BB14" s="768" t="b">
        <f t="shared" si="17"/>
        <v>0</v>
      </c>
      <c r="BC14" s="774" t="b">
        <f t="shared" si="18"/>
        <v>0</v>
      </c>
      <c r="BD14" s="777" t="b">
        <f t="shared" si="31"/>
        <v>0</v>
      </c>
      <c r="BE14" s="776" t="b">
        <f t="shared" si="19"/>
        <v>0</v>
      </c>
      <c r="BF14" s="778" t="b">
        <f t="shared" si="20"/>
        <v>0</v>
      </c>
      <c r="BG14" s="779" t="b">
        <f t="shared" si="21"/>
        <v>1</v>
      </c>
      <c r="BH14" s="779">
        <f t="shared" si="32"/>
        <v>1</v>
      </c>
      <c r="BI14" s="779">
        <f t="shared" si="22"/>
        <v>2</v>
      </c>
      <c r="BJ14" s="779" t="str">
        <f t="shared" si="23"/>
        <v>2*</v>
      </c>
      <c r="BK14" s="779">
        <f t="shared" si="24"/>
        <v>3</v>
      </c>
      <c r="BL14" s="780">
        <f t="shared" si="33"/>
        <v>1</v>
      </c>
      <c r="BM14" s="779">
        <f t="shared" si="25"/>
        <v>2</v>
      </c>
      <c r="BN14" s="779">
        <f t="shared" si="26"/>
        <v>3</v>
      </c>
      <c r="BO14" s="787">
        <v>3</v>
      </c>
      <c r="BP14" s="788" t="s">
        <v>352</v>
      </c>
    </row>
    <row r="15" spans="2:73" s="731" customFormat="1" ht="12.95" customHeight="1" x14ac:dyDescent="0.25">
      <c r="B15" s="783">
        <f>IF(ISNA(Z15),"",IF(OR(Z15=1,Z15=2),"    ",MAX($B$9:B14)+1))</f>
        <v>6</v>
      </c>
      <c r="C15" s="1116" t="str">
        <f t="shared" si="0"/>
        <v xml:space="preserve">      - Best Endurance Cruise (6.0%)</v>
      </c>
      <c r="D15" s="1116"/>
      <c r="E15" s="1116"/>
      <c r="F15" s="1117"/>
      <c r="G15" s="763">
        <f t="shared" si="1"/>
        <v>1</v>
      </c>
      <c r="H15" s="764" t="str">
        <f t="shared" si="2"/>
        <v>2*</v>
      </c>
      <c r="I15" s="784">
        <f t="shared" si="2"/>
        <v>3</v>
      </c>
      <c r="J15" s="789"/>
      <c r="K15" s="786"/>
      <c r="L15" s="1134"/>
      <c r="M15" s="1135"/>
      <c r="N15" s="1135"/>
      <c r="O15" s="1135"/>
      <c r="P15" s="1135"/>
      <c r="Q15" s="1135"/>
      <c r="R15" s="1136"/>
      <c r="T15" s="727">
        <v>7</v>
      </c>
      <c r="U15" s="716" t="s">
        <v>751</v>
      </c>
      <c r="V15" s="768">
        <v>1</v>
      </c>
      <c r="W15" s="768">
        <v>1</v>
      </c>
      <c r="X15" s="768" t="s">
        <v>340</v>
      </c>
      <c r="Y15" s="768" t="s">
        <v>340</v>
      </c>
      <c r="Z15" s="777" t="s">
        <v>340</v>
      </c>
      <c r="AA15" s="777">
        <v>2</v>
      </c>
      <c r="AB15" s="777">
        <v>1</v>
      </c>
      <c r="AC15" s="768">
        <v>3</v>
      </c>
      <c r="AD15" s="768">
        <v>2</v>
      </c>
      <c r="AE15" s="768">
        <v>1</v>
      </c>
      <c r="AF15" s="768" t="b">
        <v>1</v>
      </c>
      <c r="AG15" s="768">
        <f t="shared" si="3"/>
        <v>2</v>
      </c>
      <c r="AH15" s="768">
        <f t="shared" si="4"/>
        <v>1</v>
      </c>
      <c r="AI15" s="769">
        <f>IF(NOT(OR(Z15=1,Z15=2)),IF(AQ15&gt;0,$AR$45*AQ15/SUMIF($AQ$9:$AQ$40,"&gt;0"),IF(AU15&gt;0,$AV$45*AU15/SUMIF($AU$9:$AU$40,"&gt;0"),IF(AS15&gt;0,$AT$45*AS15/SUMIF($AS$9:$AS$40,"&gt;0"),""))),IF(SUMIF(AJ16:$AJ$40,"=" &amp; AJ15,AI16:$AI$40)=0,"",SUMIF(AJ16:$AJ$40,"=" &amp; AJ15,AI16:$AI$40)))</f>
        <v>6.0000061440062917E-2</v>
      </c>
      <c r="AJ15" s="770">
        <f t="shared" si="34"/>
        <v>0</v>
      </c>
      <c r="AK15" s="768">
        <f t="shared" si="27"/>
        <v>2</v>
      </c>
      <c r="AL15" s="777" t="str">
        <f t="shared" si="28"/>
        <v/>
      </c>
      <c r="AM15" s="777" t="str">
        <f t="shared" si="35"/>
        <v/>
      </c>
      <c r="AN15" s="777" t="str">
        <f t="shared" si="5"/>
        <v/>
      </c>
      <c r="AO15" s="777" t="str">
        <f t="shared" si="6"/>
        <v/>
      </c>
      <c r="AP15" s="768" t="b">
        <f t="shared" si="7"/>
        <v>1</v>
      </c>
      <c r="AQ15" s="771">
        <f t="shared" si="29"/>
        <v>1</v>
      </c>
      <c r="AR15" s="772" t="str">
        <f t="shared" si="8"/>
        <v/>
      </c>
      <c r="AS15" s="773">
        <f t="shared" si="30"/>
        <v>0</v>
      </c>
      <c r="AT15" s="772" t="str">
        <f t="shared" si="9"/>
        <v/>
      </c>
      <c r="AU15" s="774">
        <f t="shared" si="10"/>
        <v>0</v>
      </c>
      <c r="AV15" s="775" t="str">
        <f t="shared" si="11"/>
        <v/>
      </c>
      <c r="AW15" s="774" t="b">
        <f t="shared" si="12"/>
        <v>0</v>
      </c>
      <c r="AX15" s="776" t="b">
        <f t="shared" si="13"/>
        <v>1</v>
      </c>
      <c r="AY15" s="774" t="b">
        <f t="shared" si="14"/>
        <v>0</v>
      </c>
      <c r="AZ15" s="776" t="b">
        <f t="shared" si="15"/>
        <v>0</v>
      </c>
      <c r="BA15" s="768" t="b">
        <f t="shared" si="16"/>
        <v>0</v>
      </c>
      <c r="BB15" s="768" t="b">
        <f t="shared" si="17"/>
        <v>0</v>
      </c>
      <c r="BC15" s="774" t="b">
        <f t="shared" si="18"/>
        <v>0</v>
      </c>
      <c r="BD15" s="777" t="b">
        <f t="shared" si="31"/>
        <v>0</v>
      </c>
      <c r="BE15" s="776" t="b">
        <f t="shared" si="19"/>
        <v>0</v>
      </c>
      <c r="BF15" s="778" t="b">
        <f t="shared" si="20"/>
        <v>0</v>
      </c>
      <c r="BG15" s="779" t="b">
        <f t="shared" si="21"/>
        <v>1</v>
      </c>
      <c r="BH15" s="779">
        <f t="shared" si="32"/>
        <v>1</v>
      </c>
      <c r="BI15" s="779">
        <f t="shared" si="22"/>
        <v>2</v>
      </c>
      <c r="BJ15" s="779" t="str">
        <f t="shared" si="23"/>
        <v>2*</v>
      </c>
      <c r="BK15" s="779">
        <f t="shared" si="24"/>
        <v>3</v>
      </c>
      <c r="BL15" s="780">
        <f t="shared" si="33"/>
        <v>1</v>
      </c>
      <c r="BM15" s="779">
        <f t="shared" si="25"/>
        <v>2</v>
      </c>
      <c r="BN15" s="779">
        <f t="shared" si="26"/>
        <v>3</v>
      </c>
      <c r="BO15" s="787">
        <v>4</v>
      </c>
      <c r="BP15" s="788" t="s">
        <v>354</v>
      </c>
    </row>
    <row r="16" spans="2:73" s="731" customFormat="1" ht="12.95" customHeight="1" x14ac:dyDescent="0.25">
      <c r="B16" s="783">
        <f>IF(ISNA(Z16),"",IF(OR(Z16=1,Z16=2),"    ",MAX($B$9:B15)+1))</f>
        <v>7</v>
      </c>
      <c r="C16" s="1116" t="str">
        <f t="shared" si="0"/>
        <v xml:space="preserve">      - Long Range Cruise (6.0%)</v>
      </c>
      <c r="D16" s="1116"/>
      <c r="E16" s="1116"/>
      <c r="F16" s="1117"/>
      <c r="G16" s="763">
        <f t="shared" si="1"/>
        <v>1</v>
      </c>
      <c r="H16" s="764" t="str">
        <f t="shared" si="2"/>
        <v>2*</v>
      </c>
      <c r="I16" s="784">
        <f t="shared" si="2"/>
        <v>3</v>
      </c>
      <c r="J16" s="789"/>
      <c r="K16" s="786"/>
      <c r="L16" s="1134"/>
      <c r="M16" s="1135"/>
      <c r="N16" s="1135"/>
      <c r="O16" s="1135"/>
      <c r="P16" s="1135"/>
      <c r="Q16" s="1135"/>
      <c r="R16" s="1136"/>
      <c r="T16" s="727">
        <v>8</v>
      </c>
      <c r="U16" s="716" t="s">
        <v>752</v>
      </c>
      <c r="V16" s="768">
        <v>1</v>
      </c>
      <c r="W16" s="768">
        <v>1</v>
      </c>
      <c r="X16" s="768" t="s">
        <v>340</v>
      </c>
      <c r="Y16" s="768" t="s">
        <v>340</v>
      </c>
      <c r="Z16" s="777" t="s">
        <v>340</v>
      </c>
      <c r="AA16" s="777">
        <v>2</v>
      </c>
      <c r="AB16" s="777">
        <v>1</v>
      </c>
      <c r="AC16" s="768">
        <v>3</v>
      </c>
      <c r="AD16" s="768">
        <v>2</v>
      </c>
      <c r="AE16" s="768">
        <v>1</v>
      </c>
      <c r="AF16" s="768" t="b">
        <v>1</v>
      </c>
      <c r="AG16" s="768">
        <f t="shared" si="3"/>
        <v>2</v>
      </c>
      <c r="AH16" s="768">
        <f t="shared" si="4"/>
        <v>1</v>
      </c>
      <c r="AI16" s="769">
        <f>IF(NOT(OR(Z16=1,Z16=2)),IF(AQ16&gt;0,$AR$45*AQ16/SUMIF($AQ$9:$AQ$40,"&gt;0"),IF(AU16&gt;0,$AV$45*AU16/SUMIF($AU$9:$AU$40,"&gt;0"),IF(AS16&gt;0,$AT$45*AS16/SUMIF($AS$9:$AS$40,"&gt;0"),""))),IF(SUMIF(AJ17:$AJ$40,"=" &amp; AJ16,AI17:$AI$40)=0,"",SUMIF(AJ17:$AJ$40,"=" &amp; AJ16,AI17:$AI$40)))</f>
        <v>6.0000061440062917E-2</v>
      </c>
      <c r="AJ16" s="770">
        <f t="shared" si="34"/>
        <v>0</v>
      </c>
      <c r="AK16" s="768">
        <f t="shared" si="27"/>
        <v>2</v>
      </c>
      <c r="AL16" s="777" t="str">
        <f t="shared" si="28"/>
        <v/>
      </c>
      <c r="AM16" s="777" t="str">
        <f t="shared" si="35"/>
        <v/>
      </c>
      <c r="AN16" s="777" t="str">
        <f t="shared" si="5"/>
        <v/>
      </c>
      <c r="AO16" s="777" t="str">
        <f t="shared" si="6"/>
        <v/>
      </c>
      <c r="AP16" s="768" t="b">
        <f t="shared" si="7"/>
        <v>1</v>
      </c>
      <c r="AQ16" s="771">
        <f t="shared" si="29"/>
        <v>1</v>
      </c>
      <c r="AR16" s="772" t="str">
        <f t="shared" si="8"/>
        <v/>
      </c>
      <c r="AS16" s="773">
        <f t="shared" si="30"/>
        <v>0</v>
      </c>
      <c r="AT16" s="772" t="str">
        <f t="shared" si="9"/>
        <v/>
      </c>
      <c r="AU16" s="774">
        <f t="shared" si="10"/>
        <v>0</v>
      </c>
      <c r="AV16" s="775" t="str">
        <f t="shared" si="11"/>
        <v/>
      </c>
      <c r="AW16" s="774" t="b">
        <f t="shared" si="12"/>
        <v>0</v>
      </c>
      <c r="AX16" s="776" t="b">
        <f t="shared" si="13"/>
        <v>1</v>
      </c>
      <c r="AY16" s="774" t="b">
        <f t="shared" si="14"/>
        <v>0</v>
      </c>
      <c r="AZ16" s="776" t="b">
        <f t="shared" si="15"/>
        <v>0</v>
      </c>
      <c r="BA16" s="768" t="b">
        <f t="shared" si="16"/>
        <v>0</v>
      </c>
      <c r="BB16" s="768" t="b">
        <f t="shared" si="17"/>
        <v>0</v>
      </c>
      <c r="BC16" s="774" t="b">
        <f t="shared" si="18"/>
        <v>0</v>
      </c>
      <c r="BD16" s="777" t="b">
        <f t="shared" si="31"/>
        <v>0</v>
      </c>
      <c r="BE16" s="776" t="b">
        <f t="shared" si="19"/>
        <v>0</v>
      </c>
      <c r="BF16" s="778" t="b">
        <f t="shared" si="20"/>
        <v>0</v>
      </c>
      <c r="BG16" s="779" t="b">
        <f t="shared" si="21"/>
        <v>1</v>
      </c>
      <c r="BH16" s="779">
        <f t="shared" si="32"/>
        <v>1</v>
      </c>
      <c r="BI16" s="779">
        <f t="shared" si="22"/>
        <v>2</v>
      </c>
      <c r="BJ16" s="779" t="str">
        <f t="shared" si="23"/>
        <v>2*</v>
      </c>
      <c r="BK16" s="779">
        <f t="shared" si="24"/>
        <v>3</v>
      </c>
      <c r="BL16" s="780">
        <f t="shared" si="33"/>
        <v>1</v>
      </c>
      <c r="BM16" s="779">
        <f t="shared" si="25"/>
        <v>2</v>
      </c>
      <c r="BN16" s="779">
        <f t="shared" si="26"/>
        <v>3</v>
      </c>
      <c r="BO16" s="719"/>
    </row>
    <row r="17" spans="2:75" s="731" customFormat="1" ht="12.95" customHeight="1" x14ac:dyDescent="0.25">
      <c r="B17" s="783">
        <f>IF(ISNA(Z17),"",IF(OR(Z17=1,Z17=2),"    ",MAX($B$9:B16)+1))</f>
        <v>8</v>
      </c>
      <c r="C17" s="1116" t="str">
        <f t="shared" si="0"/>
        <v xml:space="preserve">      - Turn Performance (6.0%)</v>
      </c>
      <c r="D17" s="1116"/>
      <c r="E17" s="1116"/>
      <c r="F17" s="1117"/>
      <c r="G17" s="763">
        <f t="shared" si="1"/>
        <v>1</v>
      </c>
      <c r="H17" s="764" t="str">
        <f t="shared" si="2"/>
        <v>2*</v>
      </c>
      <c r="I17" s="784">
        <f t="shared" si="2"/>
        <v>3</v>
      </c>
      <c r="J17" s="789"/>
      <c r="K17" s="786"/>
      <c r="L17" s="1134"/>
      <c r="M17" s="1135"/>
      <c r="N17" s="1135"/>
      <c r="O17" s="1135"/>
      <c r="P17" s="1135"/>
      <c r="Q17" s="1135"/>
      <c r="R17" s="1136"/>
      <c r="T17" s="727">
        <v>9</v>
      </c>
      <c r="U17" s="716" t="s">
        <v>461</v>
      </c>
      <c r="V17" s="768">
        <v>1</v>
      </c>
      <c r="W17" s="768">
        <v>1</v>
      </c>
      <c r="X17" s="768" t="s">
        <v>340</v>
      </c>
      <c r="Y17" s="768" t="s">
        <v>340</v>
      </c>
      <c r="Z17" s="777" t="s">
        <v>340</v>
      </c>
      <c r="AA17" s="777">
        <v>2</v>
      </c>
      <c r="AB17" s="777">
        <v>1</v>
      </c>
      <c r="AC17" s="768">
        <v>3</v>
      </c>
      <c r="AD17" s="768">
        <v>2</v>
      </c>
      <c r="AE17" s="768">
        <v>1</v>
      </c>
      <c r="AF17" s="768" t="b">
        <v>1</v>
      </c>
      <c r="AG17" s="768">
        <f t="shared" si="3"/>
        <v>2</v>
      </c>
      <c r="AH17" s="768">
        <f t="shared" si="4"/>
        <v>1</v>
      </c>
      <c r="AI17" s="769">
        <f>IF(NOT(OR(Z17=1,Z17=2)),IF(AQ17&gt;0,$AR$45*AQ17/SUMIF($AQ$9:$AQ$40,"&gt;0"),IF(AU17&gt;0,$AV$45*AU17/SUMIF($AU$9:$AU$40,"&gt;0"),IF(AS17&gt;0,$AT$45*AS17/SUMIF($AS$9:$AS$40,"&gt;0"),""))),IF(SUMIF(AJ18:$AJ$40,"=" &amp; AJ17,AI18:$AI$40)=0,"",SUMIF(AJ18:$AJ$40,"=" &amp; AJ17,AI18:$AI$40)))</f>
        <v>6.0000061440062917E-2</v>
      </c>
      <c r="AJ17" s="770">
        <f t="shared" si="34"/>
        <v>0</v>
      </c>
      <c r="AK17" s="768">
        <f t="shared" si="27"/>
        <v>2</v>
      </c>
      <c r="AL17" s="777" t="str">
        <f t="shared" si="28"/>
        <v/>
      </c>
      <c r="AM17" s="777" t="str">
        <f t="shared" si="35"/>
        <v/>
      </c>
      <c r="AN17" s="777" t="str">
        <f t="shared" si="5"/>
        <v/>
      </c>
      <c r="AO17" s="777" t="str">
        <f t="shared" si="6"/>
        <v/>
      </c>
      <c r="AP17" s="768" t="b">
        <f t="shared" si="7"/>
        <v>1</v>
      </c>
      <c r="AQ17" s="771">
        <f t="shared" si="29"/>
        <v>1</v>
      </c>
      <c r="AR17" s="772" t="str">
        <f t="shared" si="8"/>
        <v/>
      </c>
      <c r="AS17" s="773">
        <f t="shared" si="30"/>
        <v>0</v>
      </c>
      <c r="AT17" s="772" t="str">
        <f t="shared" si="9"/>
        <v/>
      </c>
      <c r="AU17" s="774">
        <f t="shared" si="10"/>
        <v>0</v>
      </c>
      <c r="AV17" s="775" t="str">
        <f t="shared" si="11"/>
        <v/>
      </c>
      <c r="AW17" s="774" t="b">
        <f t="shared" si="12"/>
        <v>0</v>
      </c>
      <c r="AX17" s="776" t="b">
        <f t="shared" si="13"/>
        <v>1</v>
      </c>
      <c r="AY17" s="774" t="b">
        <f t="shared" si="14"/>
        <v>0</v>
      </c>
      <c r="AZ17" s="776" t="b">
        <f t="shared" si="15"/>
        <v>0</v>
      </c>
      <c r="BA17" s="768" t="b">
        <f t="shared" si="16"/>
        <v>0</v>
      </c>
      <c r="BB17" s="768" t="b">
        <f t="shared" si="17"/>
        <v>0</v>
      </c>
      <c r="BC17" s="774" t="b">
        <f t="shared" si="18"/>
        <v>0</v>
      </c>
      <c r="BD17" s="777" t="b">
        <f t="shared" si="31"/>
        <v>0</v>
      </c>
      <c r="BE17" s="776" t="b">
        <f t="shared" si="19"/>
        <v>0</v>
      </c>
      <c r="BF17" s="778" t="b">
        <f t="shared" si="20"/>
        <v>0</v>
      </c>
      <c r="BG17" s="779" t="b">
        <f t="shared" si="21"/>
        <v>1</v>
      </c>
      <c r="BH17" s="779">
        <f t="shared" si="32"/>
        <v>1</v>
      </c>
      <c r="BI17" s="779">
        <f t="shared" si="22"/>
        <v>2</v>
      </c>
      <c r="BJ17" s="779" t="str">
        <f t="shared" si="23"/>
        <v>2*</v>
      </c>
      <c r="BK17" s="779">
        <f t="shared" si="24"/>
        <v>3</v>
      </c>
      <c r="BL17" s="780">
        <f t="shared" si="33"/>
        <v>1</v>
      </c>
      <c r="BM17" s="779">
        <f t="shared" si="25"/>
        <v>2</v>
      </c>
      <c r="BN17" s="779">
        <f t="shared" si="26"/>
        <v>3</v>
      </c>
      <c r="BO17" s="787"/>
      <c r="BP17" s="790"/>
    </row>
    <row r="18" spans="2:75" s="731" customFormat="1" ht="12.95" customHeight="1" x14ac:dyDescent="0.25">
      <c r="B18" s="783">
        <f>IF(ISNA(Z18),"",IF(OR(Z18=1,Z18=2),"    ",MAX($B$9:B17)+1))</f>
        <v>9</v>
      </c>
      <c r="C18" s="1116" t="str">
        <f t="shared" si="0"/>
        <v xml:space="preserve">      - Incremental Drag Descent (6.0%)</v>
      </c>
      <c r="D18" s="1116"/>
      <c r="E18" s="1116"/>
      <c r="F18" s="1117"/>
      <c r="G18" s="763">
        <f t="shared" si="1"/>
        <v>1</v>
      </c>
      <c r="H18" s="764" t="str">
        <f t="shared" si="2"/>
        <v>2*</v>
      </c>
      <c r="I18" s="784">
        <f t="shared" si="2"/>
        <v>3</v>
      </c>
      <c r="J18" s="789"/>
      <c r="K18" s="786"/>
      <c r="L18" s="1134"/>
      <c r="M18" s="1135"/>
      <c r="N18" s="1135"/>
      <c r="O18" s="1135"/>
      <c r="P18" s="1135"/>
      <c r="Q18" s="1135"/>
      <c r="R18" s="1136"/>
      <c r="T18" s="727">
        <v>10</v>
      </c>
      <c r="U18" s="716" t="s">
        <v>741</v>
      </c>
      <c r="V18" s="768">
        <v>1</v>
      </c>
      <c r="W18" s="768">
        <v>1</v>
      </c>
      <c r="X18" s="768" t="s">
        <v>340</v>
      </c>
      <c r="Y18" s="768" t="s">
        <v>340</v>
      </c>
      <c r="Z18" s="777" t="s">
        <v>340</v>
      </c>
      <c r="AA18" s="777">
        <v>2</v>
      </c>
      <c r="AB18" s="777">
        <v>1</v>
      </c>
      <c r="AC18" s="768">
        <v>3</v>
      </c>
      <c r="AD18" s="768">
        <v>2</v>
      </c>
      <c r="AE18" s="768">
        <v>1</v>
      </c>
      <c r="AF18" s="768" t="b">
        <v>1</v>
      </c>
      <c r="AG18" s="768">
        <f t="shared" si="3"/>
        <v>2</v>
      </c>
      <c r="AH18" s="768">
        <f t="shared" si="4"/>
        <v>1</v>
      </c>
      <c r="AI18" s="769">
        <f>IF(NOT(OR(Z18=1,Z18=2)),IF(AQ18&gt;0,$AR$45*AQ18/SUMIF($AQ$9:$AQ$40,"&gt;0"),IF(AU18&gt;0,$AV$45*AU18/SUMIF($AU$9:$AU$40,"&gt;0"),IF(AS18&gt;0,$AT$45*AS18/SUMIF($AS$9:$AS$40,"&gt;0"),""))),IF(SUMIF(AJ19:$AJ$40,"=" &amp; AJ18,AI19:$AI$40)=0,"",SUMIF(AJ19:$AJ$40,"=" &amp; AJ18,AI19:$AI$40)))</f>
        <v>6.0000061440062917E-2</v>
      </c>
      <c r="AJ18" s="770">
        <f t="shared" si="34"/>
        <v>0</v>
      </c>
      <c r="AK18" s="768">
        <f t="shared" si="27"/>
        <v>2</v>
      </c>
      <c r="AL18" s="777" t="str">
        <f t="shared" si="28"/>
        <v/>
      </c>
      <c r="AM18" s="777" t="str">
        <f t="shared" si="35"/>
        <v/>
      </c>
      <c r="AN18" s="777" t="str">
        <f t="shared" si="5"/>
        <v/>
      </c>
      <c r="AO18" s="777" t="str">
        <f t="shared" si="6"/>
        <v/>
      </c>
      <c r="AP18" s="768" t="b">
        <f t="shared" si="7"/>
        <v>1</v>
      </c>
      <c r="AQ18" s="771">
        <f t="shared" si="29"/>
        <v>1</v>
      </c>
      <c r="AR18" s="772" t="str">
        <f t="shared" si="8"/>
        <v/>
      </c>
      <c r="AS18" s="773">
        <f t="shared" si="30"/>
        <v>0</v>
      </c>
      <c r="AT18" s="772" t="str">
        <f t="shared" si="9"/>
        <v/>
      </c>
      <c r="AU18" s="774">
        <f t="shared" si="10"/>
        <v>0</v>
      </c>
      <c r="AV18" s="775" t="str">
        <f t="shared" si="11"/>
        <v/>
      </c>
      <c r="AW18" s="774" t="b">
        <f t="shared" si="12"/>
        <v>0</v>
      </c>
      <c r="AX18" s="776" t="b">
        <f t="shared" si="13"/>
        <v>1</v>
      </c>
      <c r="AY18" s="774" t="b">
        <f t="shared" si="14"/>
        <v>0</v>
      </c>
      <c r="AZ18" s="776" t="b">
        <f t="shared" si="15"/>
        <v>0</v>
      </c>
      <c r="BA18" s="768" t="b">
        <f t="shared" si="16"/>
        <v>0</v>
      </c>
      <c r="BB18" s="768" t="b">
        <f t="shared" si="17"/>
        <v>0</v>
      </c>
      <c r="BC18" s="774" t="b">
        <f t="shared" si="18"/>
        <v>0</v>
      </c>
      <c r="BD18" s="777" t="b">
        <f t="shared" si="31"/>
        <v>0</v>
      </c>
      <c r="BE18" s="776" t="b">
        <f t="shared" si="19"/>
        <v>0</v>
      </c>
      <c r="BF18" s="778" t="b">
        <f t="shared" si="20"/>
        <v>0</v>
      </c>
      <c r="BG18" s="779" t="b">
        <f t="shared" si="21"/>
        <v>1</v>
      </c>
      <c r="BH18" s="779">
        <f t="shared" si="32"/>
        <v>1</v>
      </c>
      <c r="BI18" s="779">
        <f t="shared" si="22"/>
        <v>2</v>
      </c>
      <c r="BJ18" s="779" t="str">
        <f t="shared" si="23"/>
        <v>2*</v>
      </c>
      <c r="BK18" s="779">
        <f t="shared" si="24"/>
        <v>3</v>
      </c>
      <c r="BL18" s="780">
        <f t="shared" si="33"/>
        <v>1</v>
      </c>
      <c r="BM18" s="779">
        <f t="shared" si="25"/>
        <v>2</v>
      </c>
      <c r="BN18" s="779">
        <f t="shared" si="26"/>
        <v>3</v>
      </c>
      <c r="BO18" s="719"/>
    </row>
    <row r="19" spans="2:75" s="731" customFormat="1" ht="12.95" customHeight="1" x14ac:dyDescent="0.25">
      <c r="B19" s="783">
        <f>IF(ISNA(Z19),"",IF(OR(Z19=1,Z19=2),"    ",MAX($B$9:B18)+1))</f>
        <v>10</v>
      </c>
      <c r="C19" s="1116" t="str">
        <f t="shared" si="0"/>
        <v xml:space="preserve">      - Check Descent Time &amp; Distance (6.0%)</v>
      </c>
      <c r="D19" s="1116"/>
      <c r="E19" s="1116"/>
      <c r="F19" s="1117"/>
      <c r="G19" s="763">
        <f t="shared" si="1"/>
        <v>1</v>
      </c>
      <c r="H19" s="764" t="str">
        <f t="shared" si="2"/>
        <v>2*</v>
      </c>
      <c r="I19" s="784">
        <f t="shared" si="2"/>
        <v>3</v>
      </c>
      <c r="J19" s="789"/>
      <c r="K19" s="786"/>
      <c r="L19" s="1134"/>
      <c r="M19" s="1135"/>
      <c r="N19" s="1135"/>
      <c r="O19" s="1135"/>
      <c r="P19" s="1135"/>
      <c r="Q19" s="1135"/>
      <c r="R19" s="1136"/>
      <c r="T19" s="727">
        <v>11</v>
      </c>
      <c r="U19" s="716" t="s">
        <v>966</v>
      </c>
      <c r="V19" s="768">
        <v>1</v>
      </c>
      <c r="W19" s="768">
        <v>1</v>
      </c>
      <c r="X19" s="768" t="s">
        <v>340</v>
      </c>
      <c r="Y19" s="768" t="s">
        <v>340</v>
      </c>
      <c r="Z19" s="777" t="s">
        <v>340</v>
      </c>
      <c r="AA19" s="777">
        <v>2</v>
      </c>
      <c r="AB19" s="777">
        <v>1</v>
      </c>
      <c r="AC19" s="768">
        <v>3</v>
      </c>
      <c r="AD19" s="768">
        <v>2</v>
      </c>
      <c r="AE19" s="768">
        <v>1</v>
      </c>
      <c r="AF19" s="768" t="b">
        <v>1</v>
      </c>
      <c r="AG19" s="768">
        <f t="shared" si="3"/>
        <v>2</v>
      </c>
      <c r="AH19" s="768">
        <f t="shared" si="4"/>
        <v>1</v>
      </c>
      <c r="AI19" s="769">
        <f>IF(NOT(OR(Z19=1,Z19=2)),IF(AQ19&gt;0,$AR$45*AQ19/SUMIF($AQ$9:$AQ$40,"&gt;0"),IF(AU19&gt;0,$AV$45*AU19/SUMIF($AU$9:$AU$40,"&gt;0"),IF(AS19&gt;0,$AT$45*AS19/SUMIF($AS$9:$AS$40,"&gt;0"),""))),IF(SUMIF(AJ20:$AJ$40,"=" &amp; AJ19,AI20:$AI$40)=0,"",SUMIF(AJ20:$AJ$40,"=" &amp; AJ19,AI20:$AI$40)))</f>
        <v>6.0000061440062917E-2</v>
      </c>
      <c r="AJ19" s="770">
        <f t="shared" si="34"/>
        <v>0</v>
      </c>
      <c r="AK19" s="768">
        <f t="shared" si="27"/>
        <v>2</v>
      </c>
      <c r="AL19" s="777" t="str">
        <f t="shared" si="28"/>
        <v/>
      </c>
      <c r="AM19" s="777" t="str">
        <f t="shared" si="35"/>
        <v/>
      </c>
      <c r="AN19" s="777" t="str">
        <f t="shared" si="5"/>
        <v/>
      </c>
      <c r="AO19" s="777" t="str">
        <f t="shared" si="6"/>
        <v/>
      </c>
      <c r="AP19" s="768" t="b">
        <f t="shared" si="7"/>
        <v>1</v>
      </c>
      <c r="AQ19" s="771">
        <f t="shared" si="29"/>
        <v>1</v>
      </c>
      <c r="AR19" s="772" t="str">
        <f t="shared" si="8"/>
        <v/>
      </c>
      <c r="AS19" s="773">
        <f t="shared" si="30"/>
        <v>0</v>
      </c>
      <c r="AT19" s="772" t="str">
        <f t="shared" si="9"/>
        <v/>
      </c>
      <c r="AU19" s="774">
        <f t="shared" si="10"/>
        <v>0</v>
      </c>
      <c r="AV19" s="775" t="str">
        <f t="shared" si="11"/>
        <v/>
      </c>
      <c r="AW19" s="774" t="b">
        <f t="shared" si="12"/>
        <v>0</v>
      </c>
      <c r="AX19" s="776" t="b">
        <f t="shared" si="13"/>
        <v>1</v>
      </c>
      <c r="AY19" s="774" t="b">
        <f t="shared" si="14"/>
        <v>0</v>
      </c>
      <c r="AZ19" s="776" t="b">
        <f t="shared" si="15"/>
        <v>0</v>
      </c>
      <c r="BA19" s="768" t="b">
        <f t="shared" si="16"/>
        <v>0</v>
      </c>
      <c r="BB19" s="768" t="b">
        <f t="shared" si="17"/>
        <v>0</v>
      </c>
      <c r="BC19" s="774" t="b">
        <f t="shared" si="18"/>
        <v>0</v>
      </c>
      <c r="BD19" s="777" t="b">
        <f t="shared" si="31"/>
        <v>0</v>
      </c>
      <c r="BE19" s="776" t="b">
        <f t="shared" si="19"/>
        <v>0</v>
      </c>
      <c r="BF19" s="778" t="b">
        <f t="shared" si="20"/>
        <v>0</v>
      </c>
      <c r="BG19" s="779" t="b">
        <f t="shared" si="21"/>
        <v>1</v>
      </c>
      <c r="BH19" s="779">
        <f t="shared" si="32"/>
        <v>1</v>
      </c>
      <c r="BI19" s="779">
        <f t="shared" si="22"/>
        <v>2</v>
      </c>
      <c r="BJ19" s="779" t="str">
        <f t="shared" si="23"/>
        <v>2*</v>
      </c>
      <c r="BK19" s="779">
        <f t="shared" si="24"/>
        <v>3</v>
      </c>
      <c r="BL19" s="780">
        <f t="shared" si="33"/>
        <v>1</v>
      </c>
      <c r="BM19" s="779">
        <f t="shared" si="25"/>
        <v>2</v>
      </c>
      <c r="BN19" s="779">
        <f t="shared" si="26"/>
        <v>3</v>
      </c>
      <c r="BO19" s="791"/>
      <c r="BP19" s="790" t="s">
        <v>355</v>
      </c>
      <c r="BQ19" s="792"/>
      <c r="BR19" s="792"/>
      <c r="BS19" s="792"/>
      <c r="BT19" s="792"/>
      <c r="BU19" s="792"/>
    </row>
    <row r="20" spans="2:75" s="731" customFormat="1" ht="12.95" customHeight="1" x14ac:dyDescent="0.25">
      <c r="B20" s="783">
        <f>IF(ISNA(Z20),"",IF(OR(Z20=1,Z20=2),"    ",MAX($B$9:B19)+1))</f>
        <v>11</v>
      </c>
      <c r="C20" s="1116" t="str">
        <f t="shared" si="0"/>
        <v xml:space="preserve">      - Tower Flyby (6.0%)</v>
      </c>
      <c r="D20" s="1116"/>
      <c r="E20" s="1116"/>
      <c r="F20" s="1117"/>
      <c r="G20" s="763">
        <f t="shared" si="1"/>
        <v>1</v>
      </c>
      <c r="H20" s="764" t="str">
        <f t="shared" si="2"/>
        <v>2*</v>
      </c>
      <c r="I20" s="784">
        <f t="shared" si="2"/>
        <v>3</v>
      </c>
      <c r="J20" s="789"/>
      <c r="K20" s="786"/>
      <c r="L20" s="1134"/>
      <c r="M20" s="1135"/>
      <c r="N20" s="1135"/>
      <c r="O20" s="1135"/>
      <c r="P20" s="1135"/>
      <c r="Q20" s="1135"/>
      <c r="R20" s="1136"/>
      <c r="T20" s="727">
        <v>12</v>
      </c>
      <c r="U20" s="716" t="s">
        <v>748</v>
      </c>
      <c r="V20" s="768">
        <v>1</v>
      </c>
      <c r="W20" s="768">
        <v>1</v>
      </c>
      <c r="X20" s="768" t="s">
        <v>340</v>
      </c>
      <c r="Y20" s="768" t="s">
        <v>340</v>
      </c>
      <c r="Z20" s="777" t="s">
        <v>340</v>
      </c>
      <c r="AA20" s="777">
        <v>2</v>
      </c>
      <c r="AB20" s="777">
        <v>1</v>
      </c>
      <c r="AC20" s="768">
        <v>3</v>
      </c>
      <c r="AD20" s="768">
        <v>2</v>
      </c>
      <c r="AE20" s="768">
        <v>1</v>
      </c>
      <c r="AF20" s="768" t="b">
        <v>1</v>
      </c>
      <c r="AG20" s="768">
        <f t="shared" si="3"/>
        <v>2</v>
      </c>
      <c r="AH20" s="768">
        <f t="shared" si="4"/>
        <v>1</v>
      </c>
      <c r="AI20" s="769">
        <f>IF(NOT(OR(Z20=1,Z20=2)),IF(AQ20&gt;0,$AR$45*AQ20/SUMIF($AQ$9:$AQ$40,"&gt;0"),IF(AU20&gt;0,$AV$45*AU20/SUMIF($AU$9:$AU$40,"&gt;0"),IF(AS20&gt;0,$AT$45*AS20/SUMIF($AS$9:$AS$40,"&gt;0"),""))),IF(SUMIF(AJ21:$AJ$40,"=" &amp; AJ20,AI21:$AI$40)=0,"",SUMIF(AJ21:$AJ$40,"=" &amp; AJ20,AI21:$AI$40)))</f>
        <v>6.0000061440062917E-2</v>
      </c>
      <c r="AJ20" s="770">
        <f t="shared" si="34"/>
        <v>0</v>
      </c>
      <c r="AK20" s="768">
        <f t="shared" si="27"/>
        <v>2</v>
      </c>
      <c r="AL20" s="777" t="str">
        <f t="shared" si="28"/>
        <v/>
      </c>
      <c r="AM20" s="777" t="str">
        <f t="shared" si="35"/>
        <v/>
      </c>
      <c r="AN20" s="777" t="str">
        <f t="shared" si="5"/>
        <v/>
      </c>
      <c r="AO20" s="777" t="str">
        <f t="shared" si="6"/>
        <v/>
      </c>
      <c r="AP20" s="768" t="b">
        <f t="shared" si="7"/>
        <v>1</v>
      </c>
      <c r="AQ20" s="771">
        <f t="shared" si="29"/>
        <v>1</v>
      </c>
      <c r="AR20" s="772" t="str">
        <f t="shared" si="8"/>
        <v/>
      </c>
      <c r="AS20" s="773">
        <f t="shared" si="30"/>
        <v>0</v>
      </c>
      <c r="AT20" s="772" t="str">
        <f t="shared" si="9"/>
        <v/>
      </c>
      <c r="AU20" s="774">
        <f t="shared" si="10"/>
        <v>0</v>
      </c>
      <c r="AV20" s="775" t="str">
        <f t="shared" si="11"/>
        <v/>
      </c>
      <c r="AW20" s="774" t="b">
        <f t="shared" si="12"/>
        <v>0</v>
      </c>
      <c r="AX20" s="776" t="b">
        <f t="shared" si="13"/>
        <v>1</v>
      </c>
      <c r="AY20" s="774" t="b">
        <f t="shared" si="14"/>
        <v>0</v>
      </c>
      <c r="AZ20" s="776" t="b">
        <f t="shared" si="15"/>
        <v>0</v>
      </c>
      <c r="BA20" s="768" t="b">
        <f t="shared" si="16"/>
        <v>0</v>
      </c>
      <c r="BB20" s="768" t="b">
        <f t="shared" si="17"/>
        <v>0</v>
      </c>
      <c r="BC20" s="774" t="b">
        <f t="shared" si="18"/>
        <v>0</v>
      </c>
      <c r="BD20" s="777" t="b">
        <f t="shared" si="31"/>
        <v>0</v>
      </c>
      <c r="BE20" s="776" t="b">
        <f t="shared" si="19"/>
        <v>0</v>
      </c>
      <c r="BF20" s="778" t="b">
        <f t="shared" si="20"/>
        <v>0</v>
      </c>
      <c r="BG20" s="779" t="b">
        <f t="shared" si="21"/>
        <v>1</v>
      </c>
      <c r="BH20" s="779">
        <f t="shared" si="32"/>
        <v>1</v>
      </c>
      <c r="BI20" s="779">
        <f t="shared" si="22"/>
        <v>2</v>
      </c>
      <c r="BJ20" s="779" t="str">
        <f t="shared" si="23"/>
        <v>2*</v>
      </c>
      <c r="BK20" s="779">
        <f t="shared" si="24"/>
        <v>3</v>
      </c>
      <c r="BL20" s="780">
        <f t="shared" si="33"/>
        <v>1</v>
      </c>
      <c r="BM20" s="779">
        <f t="shared" si="25"/>
        <v>2</v>
      </c>
      <c r="BN20" s="779">
        <f t="shared" si="26"/>
        <v>3</v>
      </c>
      <c r="BO20" s="791"/>
      <c r="BP20" s="782"/>
      <c r="BQ20" s="1140" t="s">
        <v>356</v>
      </c>
      <c r="BR20" s="1140"/>
      <c r="BS20" s="1140"/>
      <c r="BT20" s="1140"/>
      <c r="BU20" s="1140"/>
    </row>
    <row r="21" spans="2:75" s="731" customFormat="1" ht="12.95" customHeight="1" x14ac:dyDescent="0.25">
      <c r="B21" s="783" t="str">
        <f>IF(ISNA(Z21),"",IF(OR(Z21=1,Z21=2),"    ",MAX($B$9:B20)+1))</f>
        <v xml:space="preserve">    </v>
      </c>
      <c r="C21" s="1116" t="str">
        <f t="shared" si="0"/>
        <v>Structure &amp; Logic (18.0%)</v>
      </c>
      <c r="D21" s="1116"/>
      <c r="E21" s="1116"/>
      <c r="F21" s="1117"/>
      <c r="G21" s="763" t="str">
        <f t="shared" si="1"/>
        <v/>
      </c>
      <c r="H21" s="764" t="str">
        <f t="shared" si="2"/>
        <v/>
      </c>
      <c r="I21" s="784" t="str">
        <f t="shared" si="2"/>
        <v/>
      </c>
      <c r="J21" s="793"/>
      <c r="K21" s="794"/>
      <c r="L21" s="1134"/>
      <c r="M21" s="1135"/>
      <c r="N21" s="1135"/>
      <c r="O21" s="1135"/>
      <c r="P21" s="1135"/>
      <c r="Q21" s="1135"/>
      <c r="R21" s="1136"/>
      <c r="T21" s="727">
        <v>13</v>
      </c>
      <c r="U21" s="716" t="s">
        <v>967</v>
      </c>
      <c r="V21" s="768" t="s">
        <v>340</v>
      </c>
      <c r="W21" s="768" t="s">
        <v>340</v>
      </c>
      <c r="X21" s="768" t="s">
        <v>340</v>
      </c>
      <c r="Y21" s="768" t="s">
        <v>340</v>
      </c>
      <c r="Z21" s="777">
        <v>2</v>
      </c>
      <c r="AA21" s="777">
        <v>1</v>
      </c>
      <c r="AB21" s="777">
        <v>1</v>
      </c>
      <c r="AC21" s="768" t="s">
        <v>340</v>
      </c>
      <c r="AD21" s="768" t="s">
        <v>340</v>
      </c>
      <c r="AE21" s="768" t="s">
        <v>340</v>
      </c>
      <c r="AF21" s="768" t="s">
        <v>340</v>
      </c>
      <c r="AG21" s="768" t="str">
        <f t="shared" si="3"/>
        <v/>
      </c>
      <c r="AH21" s="768" t="str">
        <f t="shared" si="4"/>
        <v/>
      </c>
      <c r="AI21" s="769">
        <f>IF(NOT(OR(Z21=1,Z21=2)),IF(AQ21&gt;0,$AR$45*AQ21/SUMIF($AQ$9:$AQ$40,"&gt;0"),IF(AU21&gt;0,$AV$45*AU21/SUMIF($AU$9:$AU$40,"&gt;0"),IF(AS21&gt;0,$AT$45*AS21/SUMIF($AS$9:$AS$40,"&gt;0"),""))),IF(SUMIF(AJ22:$AJ$40,"=" &amp; AJ21,AI22:$AI$40)=0,"",SUMIF(AJ22:$AJ$40,"=" &amp; AJ21,AI22:$AI$40)))</f>
        <v>0.18000018432018874</v>
      </c>
      <c r="AJ21" s="770">
        <f t="shared" si="34"/>
        <v>1</v>
      </c>
      <c r="AK21" s="768" t="str">
        <f t="shared" si="27"/>
        <v/>
      </c>
      <c r="AL21" s="777" t="str">
        <f t="shared" si="28"/>
        <v/>
      </c>
      <c r="AM21" s="777" t="str">
        <f t="shared" si="35"/>
        <v/>
      </c>
      <c r="AN21" s="777" t="str">
        <f t="shared" si="5"/>
        <v/>
      </c>
      <c r="AO21" s="777" t="str">
        <f t="shared" si="6"/>
        <v/>
      </c>
      <c r="AP21" s="768" t="str">
        <f t="shared" si="7"/>
        <v/>
      </c>
      <c r="AQ21" s="771">
        <f t="shared" si="29"/>
        <v>0</v>
      </c>
      <c r="AR21" s="772" t="str">
        <f t="shared" si="8"/>
        <v/>
      </c>
      <c r="AS21" s="773">
        <f t="shared" si="30"/>
        <v>0</v>
      </c>
      <c r="AT21" s="772" t="str">
        <f t="shared" si="9"/>
        <v/>
      </c>
      <c r="AU21" s="774">
        <f t="shared" si="10"/>
        <v>0</v>
      </c>
      <c r="AV21" s="775" t="str">
        <f t="shared" si="11"/>
        <v/>
      </c>
      <c r="AW21" s="774" t="b">
        <f t="shared" si="12"/>
        <v>0</v>
      </c>
      <c r="AX21" s="776" t="b">
        <f t="shared" si="13"/>
        <v>0</v>
      </c>
      <c r="AY21" s="774" t="b">
        <f t="shared" si="14"/>
        <v>0</v>
      </c>
      <c r="AZ21" s="776" t="b">
        <f t="shared" si="15"/>
        <v>0</v>
      </c>
      <c r="BA21" s="768" t="b">
        <f t="shared" si="16"/>
        <v>0</v>
      </c>
      <c r="BB21" s="768" t="b">
        <f t="shared" si="17"/>
        <v>0</v>
      </c>
      <c r="BC21" s="774" t="b">
        <f t="shared" si="18"/>
        <v>0</v>
      </c>
      <c r="BD21" s="777" t="b">
        <f t="shared" si="31"/>
        <v>0</v>
      </c>
      <c r="BE21" s="776" t="b">
        <f t="shared" si="19"/>
        <v>0</v>
      </c>
      <c r="BF21" s="778" t="b">
        <f t="shared" si="20"/>
        <v>0</v>
      </c>
      <c r="BG21" s="779" t="b">
        <f t="shared" si="21"/>
        <v>0</v>
      </c>
      <c r="BH21" s="779" t="str">
        <f t="shared" si="32"/>
        <v/>
      </c>
      <c r="BI21" s="779" t="str">
        <f t="shared" si="22"/>
        <v/>
      </c>
      <c r="BJ21" s="779" t="str">
        <f t="shared" si="23"/>
        <v/>
      </c>
      <c r="BK21" s="779" t="str">
        <f t="shared" si="24"/>
        <v/>
      </c>
      <c r="BL21" s="780" t="str">
        <f t="shared" si="33"/>
        <v/>
      </c>
      <c r="BM21" s="779" t="str">
        <f t="shared" si="25"/>
        <v/>
      </c>
      <c r="BN21" s="779" t="str">
        <f t="shared" si="26"/>
        <v/>
      </c>
      <c r="BO21" s="791"/>
      <c r="BP21" s="791"/>
      <c r="BQ21" s="791">
        <v>0</v>
      </c>
      <c r="BR21" s="791">
        <v>1</v>
      </c>
      <c r="BS21" s="791">
        <v>2</v>
      </c>
      <c r="BT21" s="791">
        <v>3</v>
      </c>
      <c r="BU21" s="791">
        <v>4</v>
      </c>
    </row>
    <row r="22" spans="2:75" s="731" customFormat="1" ht="12.95" customHeight="1" x14ac:dyDescent="0.25">
      <c r="B22" s="783">
        <f>IF(ISNA(Z22),"",IF(OR(Z22=1,Z22=2),"    ",MAX($B$9:B21)+1))</f>
        <v>12</v>
      </c>
      <c r="C22" s="1116" t="str">
        <f t="shared" si="0"/>
        <v xml:space="preserve">      - Executive Summary (6.0%)</v>
      </c>
      <c r="D22" s="1116"/>
      <c r="E22" s="1116"/>
      <c r="F22" s="1117"/>
      <c r="G22" s="763">
        <f t="shared" si="1"/>
        <v>1</v>
      </c>
      <c r="H22" s="764" t="str">
        <f t="shared" si="2"/>
        <v>2*</v>
      </c>
      <c r="I22" s="784">
        <f t="shared" si="2"/>
        <v>3</v>
      </c>
      <c r="J22" s="789"/>
      <c r="K22" s="786"/>
      <c r="L22" s="1134"/>
      <c r="M22" s="1135"/>
      <c r="N22" s="1135"/>
      <c r="O22" s="1135"/>
      <c r="P22" s="1135"/>
      <c r="Q22" s="1135"/>
      <c r="R22" s="1136"/>
      <c r="T22" s="727">
        <v>14</v>
      </c>
      <c r="U22" s="716" t="s">
        <v>601</v>
      </c>
      <c r="V22" s="768">
        <v>1</v>
      </c>
      <c r="W22" s="768">
        <v>1</v>
      </c>
      <c r="X22" s="768" t="s">
        <v>340</v>
      </c>
      <c r="Y22" s="768" t="s">
        <v>340</v>
      </c>
      <c r="Z22" s="777" t="s">
        <v>340</v>
      </c>
      <c r="AA22" s="777">
        <v>2</v>
      </c>
      <c r="AB22" s="777">
        <v>1</v>
      </c>
      <c r="AC22" s="768">
        <v>3</v>
      </c>
      <c r="AD22" s="768">
        <v>2</v>
      </c>
      <c r="AE22" s="768">
        <v>1</v>
      </c>
      <c r="AF22" s="768" t="b">
        <v>1</v>
      </c>
      <c r="AG22" s="768">
        <f t="shared" si="3"/>
        <v>2</v>
      </c>
      <c r="AH22" s="768">
        <f t="shared" si="4"/>
        <v>1</v>
      </c>
      <c r="AI22" s="769">
        <f>IF(NOT(OR(Z22=1,Z22=2)),IF(AQ22&gt;0,$AR$45*AQ22/SUMIF($AQ$9:$AQ$40,"&gt;0"),IF(AU22&gt;0,$AV$45*AU22/SUMIF($AU$9:$AU$40,"&gt;0"),IF(AS22&gt;0,$AT$45*AS22/SUMIF($AS$9:$AS$40,"&gt;0"),""))),IF(SUMIF(AJ23:$AJ$40,"=" &amp; AJ22,AI23:$AI$40)=0,"",SUMIF(AJ23:$AJ$40,"=" &amp; AJ22,AI23:$AI$40)))</f>
        <v>6.0000061440062917E-2</v>
      </c>
      <c r="AJ22" s="770">
        <f t="shared" si="34"/>
        <v>1</v>
      </c>
      <c r="AK22" s="768">
        <f t="shared" si="27"/>
        <v>2</v>
      </c>
      <c r="AL22" s="777" t="str">
        <f t="shared" si="28"/>
        <v/>
      </c>
      <c r="AM22" s="777" t="str">
        <f t="shared" si="35"/>
        <v/>
      </c>
      <c r="AN22" s="777" t="str">
        <f t="shared" si="5"/>
        <v/>
      </c>
      <c r="AO22" s="777" t="str">
        <f t="shared" si="6"/>
        <v/>
      </c>
      <c r="AP22" s="768" t="b">
        <f t="shared" si="7"/>
        <v>1</v>
      </c>
      <c r="AQ22" s="771">
        <f t="shared" si="29"/>
        <v>1</v>
      </c>
      <c r="AR22" s="772" t="str">
        <f t="shared" si="8"/>
        <v/>
      </c>
      <c r="AS22" s="773">
        <f t="shared" si="30"/>
        <v>0</v>
      </c>
      <c r="AT22" s="772" t="str">
        <f t="shared" si="9"/>
        <v/>
      </c>
      <c r="AU22" s="774">
        <f t="shared" si="10"/>
        <v>0</v>
      </c>
      <c r="AV22" s="775" t="str">
        <f t="shared" si="11"/>
        <v/>
      </c>
      <c r="AW22" s="774" t="b">
        <f t="shared" si="12"/>
        <v>0</v>
      </c>
      <c r="AX22" s="776" t="b">
        <f t="shared" si="13"/>
        <v>1</v>
      </c>
      <c r="AY22" s="774" t="b">
        <f t="shared" si="14"/>
        <v>0</v>
      </c>
      <c r="AZ22" s="776" t="b">
        <f t="shared" si="15"/>
        <v>0</v>
      </c>
      <c r="BA22" s="768" t="b">
        <f t="shared" si="16"/>
        <v>0</v>
      </c>
      <c r="BB22" s="768" t="b">
        <f t="shared" si="17"/>
        <v>0</v>
      </c>
      <c r="BC22" s="774" t="b">
        <f t="shared" si="18"/>
        <v>0</v>
      </c>
      <c r="BD22" s="777" t="b">
        <f t="shared" si="31"/>
        <v>0</v>
      </c>
      <c r="BE22" s="776" t="b">
        <f t="shared" si="19"/>
        <v>0</v>
      </c>
      <c r="BF22" s="778" t="b">
        <f t="shared" si="20"/>
        <v>0</v>
      </c>
      <c r="BG22" s="779" t="b">
        <f t="shared" si="21"/>
        <v>1</v>
      </c>
      <c r="BH22" s="779">
        <f t="shared" si="32"/>
        <v>1</v>
      </c>
      <c r="BI22" s="779">
        <f t="shared" si="22"/>
        <v>2</v>
      </c>
      <c r="BJ22" s="779" t="str">
        <f t="shared" si="23"/>
        <v>2*</v>
      </c>
      <c r="BK22" s="779">
        <f t="shared" si="24"/>
        <v>3</v>
      </c>
      <c r="BL22" s="780">
        <f t="shared" si="33"/>
        <v>1</v>
      </c>
      <c r="BM22" s="779">
        <f t="shared" si="25"/>
        <v>2</v>
      </c>
      <c r="BN22" s="779">
        <f t="shared" si="26"/>
        <v>3</v>
      </c>
      <c r="BO22" s="1141" t="s">
        <v>358</v>
      </c>
      <c r="BP22" s="791" t="s">
        <v>359</v>
      </c>
      <c r="BQ22" s="795">
        <f t="shared" ref="BQ22:BU30" si="36">AR51</f>
        <v>0.7</v>
      </c>
      <c r="BR22" s="796">
        <f t="shared" si="36"/>
        <v>0.9</v>
      </c>
      <c r="BS22" s="796">
        <f t="shared" si="36"/>
        <v>0.93330000000000002</v>
      </c>
      <c r="BT22" s="796">
        <f t="shared" si="36"/>
        <v>0.9667</v>
      </c>
      <c r="BU22" s="797">
        <f t="shared" si="36"/>
        <v>1</v>
      </c>
      <c r="BV22" s="798"/>
      <c r="BW22" s="711"/>
    </row>
    <row r="23" spans="2:75" s="731" customFormat="1" ht="12.95" customHeight="1" x14ac:dyDescent="0.25">
      <c r="B23" s="783">
        <f>IF(ISNA(Z23),"",IF(OR(Z23=1,Z23=2),"    ",MAX($B$9:B22)+1))</f>
        <v>13</v>
      </c>
      <c r="C23" s="1116" t="str">
        <f t="shared" si="0"/>
        <v xml:space="preserve">      - Report Organization &amp; Structure (6.0%)</v>
      </c>
      <c r="D23" s="1116"/>
      <c r="E23" s="1116"/>
      <c r="F23" s="1117"/>
      <c r="G23" s="763">
        <f t="shared" si="1"/>
        <v>1</v>
      </c>
      <c r="H23" s="764" t="str">
        <f t="shared" si="2"/>
        <v>2*</v>
      </c>
      <c r="I23" s="784">
        <f t="shared" si="2"/>
        <v>3</v>
      </c>
      <c r="J23" s="789"/>
      <c r="K23" s="786"/>
      <c r="L23" s="1134"/>
      <c r="M23" s="1135"/>
      <c r="N23" s="1135"/>
      <c r="O23" s="1135"/>
      <c r="P23" s="1135"/>
      <c r="Q23" s="1135"/>
      <c r="R23" s="1136"/>
      <c r="T23" s="727">
        <v>15</v>
      </c>
      <c r="U23" s="716" t="s">
        <v>968</v>
      </c>
      <c r="V23" s="768">
        <v>1</v>
      </c>
      <c r="W23" s="768">
        <v>1</v>
      </c>
      <c r="X23" s="768" t="s">
        <v>340</v>
      </c>
      <c r="Y23" s="768" t="s">
        <v>340</v>
      </c>
      <c r="Z23" s="777" t="s">
        <v>340</v>
      </c>
      <c r="AA23" s="777">
        <v>2</v>
      </c>
      <c r="AB23" s="777">
        <v>1</v>
      </c>
      <c r="AC23" s="768">
        <v>3</v>
      </c>
      <c r="AD23" s="768">
        <v>2</v>
      </c>
      <c r="AE23" s="768">
        <v>1</v>
      </c>
      <c r="AF23" s="768" t="b">
        <v>1</v>
      </c>
      <c r="AG23" s="768">
        <f t="shared" si="3"/>
        <v>2</v>
      </c>
      <c r="AH23" s="768">
        <f t="shared" si="4"/>
        <v>1</v>
      </c>
      <c r="AI23" s="769">
        <f>IF(NOT(OR(Z23=1,Z23=2)),IF(AQ23&gt;0,$AR$45*AQ23/SUMIF($AQ$9:$AQ$40,"&gt;0"),IF(AU23&gt;0,$AV$45*AU23/SUMIF($AU$9:$AU$40,"&gt;0"),IF(AS23&gt;0,$AT$45*AS23/SUMIF($AS$9:$AS$40,"&gt;0"),""))),IF(SUMIF(AJ24:$AJ$40,"=" &amp; AJ23,AI24:$AI$40)=0,"",SUMIF(AJ24:$AJ$40,"=" &amp; AJ23,AI24:$AI$40)))</f>
        <v>6.0000061440062917E-2</v>
      </c>
      <c r="AJ23" s="770">
        <f t="shared" si="34"/>
        <v>1</v>
      </c>
      <c r="AK23" s="768">
        <f t="shared" si="27"/>
        <v>2</v>
      </c>
      <c r="AL23" s="777" t="str">
        <f t="shared" si="28"/>
        <v/>
      </c>
      <c r="AM23" s="777" t="str">
        <f t="shared" si="35"/>
        <v/>
      </c>
      <c r="AN23" s="777" t="str">
        <f t="shared" si="5"/>
        <v/>
      </c>
      <c r="AO23" s="777" t="str">
        <f t="shared" si="6"/>
        <v/>
      </c>
      <c r="AP23" s="768" t="b">
        <f t="shared" si="7"/>
        <v>1</v>
      </c>
      <c r="AQ23" s="771">
        <f t="shared" si="29"/>
        <v>1</v>
      </c>
      <c r="AR23" s="772" t="str">
        <f t="shared" si="8"/>
        <v/>
      </c>
      <c r="AS23" s="773">
        <f t="shared" si="30"/>
        <v>0</v>
      </c>
      <c r="AT23" s="772" t="str">
        <f t="shared" si="9"/>
        <v/>
      </c>
      <c r="AU23" s="774">
        <f t="shared" si="10"/>
        <v>0</v>
      </c>
      <c r="AV23" s="775" t="str">
        <f t="shared" si="11"/>
        <v/>
      </c>
      <c r="AW23" s="774" t="b">
        <f t="shared" si="12"/>
        <v>0</v>
      </c>
      <c r="AX23" s="776" t="b">
        <f t="shared" si="13"/>
        <v>1</v>
      </c>
      <c r="AY23" s="774" t="b">
        <f t="shared" si="14"/>
        <v>0</v>
      </c>
      <c r="AZ23" s="776" t="b">
        <f t="shared" si="15"/>
        <v>0</v>
      </c>
      <c r="BA23" s="768" t="b">
        <f t="shared" si="16"/>
        <v>0</v>
      </c>
      <c r="BB23" s="768" t="b">
        <f t="shared" si="17"/>
        <v>0</v>
      </c>
      <c r="BC23" s="774" t="b">
        <f t="shared" si="18"/>
        <v>0</v>
      </c>
      <c r="BD23" s="777" t="b">
        <f t="shared" si="31"/>
        <v>0</v>
      </c>
      <c r="BE23" s="776" t="b">
        <f>IF(OR(ISNA($Z23),K23&lt;&gt;"D"),FALSE,IF(OR(AND(H23="NG",J23=0),AND(H23&lt;&gt;"NG",NOT(OR(J23="NA",J23=0)))),TRUE,FALSE))</f>
        <v>0</v>
      </c>
      <c r="BF23" s="778" t="b">
        <f t="shared" si="20"/>
        <v>0</v>
      </c>
      <c r="BG23" s="779" t="b">
        <f>IF(ISNA($Z23),"NA",IF(OR(AZ23,AY23,AX23,AW23,AP23,BA23,BB23),TRUE,FALSE))</f>
        <v>1</v>
      </c>
      <c r="BH23" s="779">
        <f t="shared" si="32"/>
        <v>1</v>
      </c>
      <c r="BI23" s="779">
        <f t="shared" si="22"/>
        <v>2</v>
      </c>
      <c r="BJ23" s="779" t="str">
        <f t="shared" si="23"/>
        <v>2*</v>
      </c>
      <c r="BK23" s="779">
        <f t="shared" si="24"/>
        <v>3</v>
      </c>
      <c r="BL23" s="780">
        <f t="shared" si="33"/>
        <v>1</v>
      </c>
      <c r="BM23" s="779">
        <f t="shared" si="25"/>
        <v>2</v>
      </c>
      <c r="BN23" s="779">
        <f t="shared" si="26"/>
        <v>3</v>
      </c>
      <c r="BO23" s="1141"/>
      <c r="BP23" s="791" t="s">
        <v>360</v>
      </c>
      <c r="BQ23" s="799">
        <f t="shared" si="36"/>
        <v>0.7</v>
      </c>
      <c r="BR23" s="800">
        <f t="shared" si="36"/>
        <v>0.8</v>
      </c>
      <c r="BS23" s="800">
        <f t="shared" si="36"/>
        <v>0.9</v>
      </c>
      <c r="BT23" s="800">
        <f t="shared" si="36"/>
        <v>0.95</v>
      </c>
      <c r="BU23" s="801">
        <f t="shared" si="36"/>
        <v>1</v>
      </c>
      <c r="BV23" s="711"/>
      <c r="BW23" s="802"/>
    </row>
    <row r="24" spans="2:75" s="731" customFormat="1" ht="12.95" customHeight="1" x14ac:dyDescent="0.25">
      <c r="B24" s="783">
        <f>IF(ISNA(Z24),"",IF(OR(Z24=1,Z24=2),"    ",MAX($B$9:B23)+1))</f>
        <v>14</v>
      </c>
      <c r="C24" s="1116" t="str">
        <f t="shared" si="0"/>
        <v xml:space="preserve">      - Logical Chain of Reasoning (6.0%)</v>
      </c>
      <c r="D24" s="1116"/>
      <c r="E24" s="1116"/>
      <c r="F24" s="1117"/>
      <c r="G24" s="763">
        <f t="shared" si="1"/>
        <v>1</v>
      </c>
      <c r="H24" s="764" t="str">
        <f t="shared" si="2"/>
        <v>2*</v>
      </c>
      <c r="I24" s="784">
        <f t="shared" si="2"/>
        <v>3</v>
      </c>
      <c r="J24" s="789"/>
      <c r="K24" s="786"/>
      <c r="L24" s="1134"/>
      <c r="M24" s="1135"/>
      <c r="N24" s="1135"/>
      <c r="O24" s="1135"/>
      <c r="P24" s="1135"/>
      <c r="Q24" s="1135"/>
      <c r="R24" s="1136"/>
      <c r="T24" s="727">
        <v>16</v>
      </c>
      <c r="U24" s="716" t="s">
        <v>969</v>
      </c>
      <c r="V24" s="768">
        <v>1</v>
      </c>
      <c r="W24" s="768">
        <v>1</v>
      </c>
      <c r="X24" s="768" t="s">
        <v>340</v>
      </c>
      <c r="Y24" s="768" t="s">
        <v>340</v>
      </c>
      <c r="Z24" s="777" t="s">
        <v>340</v>
      </c>
      <c r="AA24" s="777">
        <v>2</v>
      </c>
      <c r="AB24" s="777">
        <v>1</v>
      </c>
      <c r="AC24" s="768">
        <v>3</v>
      </c>
      <c r="AD24" s="768">
        <v>2</v>
      </c>
      <c r="AE24" s="768">
        <v>1</v>
      </c>
      <c r="AF24" s="768" t="b">
        <v>1</v>
      </c>
      <c r="AG24" s="768">
        <f t="shared" si="3"/>
        <v>2</v>
      </c>
      <c r="AH24" s="768">
        <f t="shared" si="4"/>
        <v>1</v>
      </c>
      <c r="AI24" s="769">
        <f>IF(NOT(OR(Z24=1,Z24=2)),IF(AQ24&gt;0,$AR$45*AQ24/SUMIF($AQ$9:$AQ$40,"&gt;0"),IF(AU24&gt;0,$AV$45*AU24/SUMIF($AU$9:$AU$40,"&gt;0"),IF(AS24&gt;0,$AT$45*AS24/SUMIF($AS$9:$AS$40,"&gt;0"),""))),IF(SUMIF(AJ25:$AJ$40,"=" &amp; AJ24,AI25:$AI$40)=0,"",SUMIF(AJ25:$AJ$40,"=" &amp; AJ24,AI25:$AI$40)))</f>
        <v>6.0000061440062917E-2</v>
      </c>
      <c r="AJ24" s="770">
        <f t="shared" si="34"/>
        <v>1</v>
      </c>
      <c r="AK24" s="768">
        <f t="shared" si="27"/>
        <v>2</v>
      </c>
      <c r="AL24" s="777" t="str">
        <f t="shared" si="28"/>
        <v/>
      </c>
      <c r="AM24" s="777" t="str">
        <f t="shared" si="35"/>
        <v/>
      </c>
      <c r="AN24" s="777" t="str">
        <f t="shared" si="5"/>
        <v/>
      </c>
      <c r="AO24" s="777" t="str">
        <f t="shared" si="6"/>
        <v/>
      </c>
      <c r="AP24" s="768" t="b">
        <f t="shared" si="7"/>
        <v>1</v>
      </c>
      <c r="AQ24" s="771">
        <f t="shared" si="29"/>
        <v>1</v>
      </c>
      <c r="AR24" s="772" t="str">
        <f t="shared" si="8"/>
        <v/>
      </c>
      <c r="AS24" s="773">
        <f t="shared" si="30"/>
        <v>0</v>
      </c>
      <c r="AT24" s="772" t="str">
        <f t="shared" si="9"/>
        <v/>
      </c>
      <c r="AU24" s="774">
        <f t="shared" si="10"/>
        <v>0</v>
      </c>
      <c r="AV24" s="775" t="str">
        <f t="shared" si="11"/>
        <v/>
      </c>
      <c r="AW24" s="774" t="b">
        <f t="shared" si="12"/>
        <v>0</v>
      </c>
      <c r="AX24" s="776" t="b">
        <f t="shared" si="13"/>
        <v>1</v>
      </c>
      <c r="AY24" s="774" t="b">
        <f t="shared" si="14"/>
        <v>0</v>
      </c>
      <c r="AZ24" s="776" t="b">
        <f t="shared" si="15"/>
        <v>0</v>
      </c>
      <c r="BA24" s="768" t="b">
        <f t="shared" si="16"/>
        <v>0</v>
      </c>
      <c r="BB24" s="768" t="b">
        <f t="shared" si="17"/>
        <v>0</v>
      </c>
      <c r="BC24" s="774" t="b">
        <f t="shared" si="18"/>
        <v>0</v>
      </c>
      <c r="BD24" s="777" t="b">
        <f t="shared" si="31"/>
        <v>0</v>
      </c>
      <c r="BE24" s="776" t="b">
        <f t="shared" ref="BE24:BE40" si="37">IF(OR(ISNA($Z24),K24&lt;&gt;"D"),FALSE,IF(OR(AND(H24="NG",J24=0),AND(H24&lt;&gt;"NG",NOT(OR(J24="NA",J24=0)))),TRUE,FALSE))</f>
        <v>0</v>
      </c>
      <c r="BF24" s="778" t="b">
        <f t="shared" si="20"/>
        <v>0</v>
      </c>
      <c r="BG24" s="779" t="b">
        <f t="shared" ref="BG24:BG40" si="38">IF(ISNA($Z24),"NA",IF(OR(AZ24,AY24,AX24,AW24,AP24,BA24,BB24),TRUE,FALSE))</f>
        <v>1</v>
      </c>
      <c r="BH24" s="779">
        <f t="shared" si="32"/>
        <v>1</v>
      </c>
      <c r="BI24" s="779">
        <f t="shared" si="22"/>
        <v>2</v>
      </c>
      <c r="BJ24" s="779" t="str">
        <f t="shared" si="23"/>
        <v>2*</v>
      </c>
      <c r="BK24" s="779">
        <f t="shared" si="24"/>
        <v>3</v>
      </c>
      <c r="BL24" s="780">
        <f t="shared" si="33"/>
        <v>1</v>
      </c>
      <c r="BM24" s="779">
        <f t="shared" si="25"/>
        <v>2</v>
      </c>
      <c r="BN24" s="779">
        <f t="shared" si="26"/>
        <v>3</v>
      </c>
      <c r="BO24" s="1141"/>
      <c r="BP24" s="791" t="s">
        <v>361</v>
      </c>
      <c r="BQ24" s="799">
        <f t="shared" si="36"/>
        <v>0.7</v>
      </c>
      <c r="BR24" s="800">
        <f t="shared" si="36"/>
        <v>0.76670000000000005</v>
      </c>
      <c r="BS24" s="800">
        <f t="shared" si="36"/>
        <v>0.83330000000000004</v>
      </c>
      <c r="BT24" s="800">
        <f t="shared" si="36"/>
        <v>0.9</v>
      </c>
      <c r="BU24" s="801">
        <f t="shared" si="36"/>
        <v>1</v>
      </c>
      <c r="BV24" s="711"/>
      <c r="BW24" s="802"/>
    </row>
    <row r="25" spans="2:75" s="731" customFormat="1" ht="12.95" customHeight="1" x14ac:dyDescent="0.25">
      <c r="B25" s="783" t="str">
        <f>IF(ISNA(Z25),"",IF(OR(Z25=1,Z25=2),"    ",MAX($B$9:B24)+1))</f>
        <v xml:space="preserve">    </v>
      </c>
      <c r="C25" s="1116" t="str">
        <f t="shared" si="0"/>
        <v>Clarity &amp; Precision (Mechanics) (10.0%)</v>
      </c>
      <c r="D25" s="1116"/>
      <c r="E25" s="1116"/>
      <c r="F25" s="1117"/>
      <c r="G25" s="763" t="str">
        <f t="shared" si="1"/>
        <v/>
      </c>
      <c r="H25" s="764" t="str">
        <f t="shared" si="2"/>
        <v/>
      </c>
      <c r="I25" s="784" t="str">
        <f t="shared" si="2"/>
        <v/>
      </c>
      <c r="J25" s="793"/>
      <c r="K25" s="794"/>
      <c r="L25" s="1134"/>
      <c r="M25" s="1135"/>
      <c r="N25" s="1135"/>
      <c r="O25" s="1135"/>
      <c r="P25" s="1135"/>
      <c r="Q25" s="1135"/>
      <c r="R25" s="1136"/>
      <c r="T25" s="727">
        <v>17</v>
      </c>
      <c r="U25" s="716" t="s">
        <v>970</v>
      </c>
      <c r="V25" s="768" t="s">
        <v>340</v>
      </c>
      <c r="W25" s="768" t="s">
        <v>340</v>
      </c>
      <c r="X25" s="768" t="s">
        <v>340</v>
      </c>
      <c r="Y25" s="768" t="s">
        <v>340</v>
      </c>
      <c r="Z25" s="777">
        <v>2</v>
      </c>
      <c r="AA25" s="777">
        <v>1</v>
      </c>
      <c r="AB25" s="777">
        <v>1</v>
      </c>
      <c r="AC25" s="768" t="s">
        <v>340</v>
      </c>
      <c r="AD25" s="768" t="s">
        <v>340</v>
      </c>
      <c r="AE25" s="768" t="s">
        <v>340</v>
      </c>
      <c r="AF25" s="768" t="s">
        <v>340</v>
      </c>
      <c r="AG25" s="768" t="str">
        <f t="shared" si="3"/>
        <v/>
      </c>
      <c r="AH25" s="768" t="str">
        <f t="shared" si="4"/>
        <v/>
      </c>
      <c r="AI25" s="769">
        <f>IF(NOT(OR(Z25=1,Z25=2)),IF(AQ25&gt;0,$AR$45*AQ25/SUMIF($AQ$9:$AQ$40,"&gt;0"),IF(AU25&gt;0,$AV$45*AU25/SUMIF($AU$9:$AU$40,"&gt;0"),IF(AS25&gt;0,$AT$45*AS25/SUMIF($AS$9:$AS$40,"&gt;0"),""))),IF(SUMIF(AJ26:$AJ$40,"=" &amp; AJ25,AI26:$AI$40)=0,"",SUMIF(AJ26:$AJ$40,"=" &amp; AJ25,AI26:$AI$40)))</f>
        <v>9.9999282399265185E-2</v>
      </c>
      <c r="AJ25" s="770">
        <f t="shared" si="34"/>
        <v>2</v>
      </c>
      <c r="AK25" s="768" t="str">
        <f t="shared" si="27"/>
        <v/>
      </c>
      <c r="AL25" s="777" t="str">
        <f t="shared" si="28"/>
        <v/>
      </c>
      <c r="AM25" s="777" t="str">
        <f t="shared" si="35"/>
        <v/>
      </c>
      <c r="AN25" s="777" t="str">
        <f t="shared" si="5"/>
        <v/>
      </c>
      <c r="AO25" s="777" t="str">
        <f t="shared" si="6"/>
        <v/>
      </c>
      <c r="AP25" s="768" t="str">
        <f t="shared" si="7"/>
        <v/>
      </c>
      <c r="AQ25" s="771">
        <f t="shared" si="29"/>
        <v>0</v>
      </c>
      <c r="AR25" s="772" t="str">
        <f t="shared" si="8"/>
        <v/>
      </c>
      <c r="AS25" s="773">
        <f t="shared" si="30"/>
        <v>0</v>
      </c>
      <c r="AT25" s="772" t="str">
        <f t="shared" si="9"/>
        <v/>
      </c>
      <c r="AU25" s="774">
        <f t="shared" si="10"/>
        <v>0</v>
      </c>
      <c r="AV25" s="775" t="str">
        <f t="shared" si="11"/>
        <v/>
      </c>
      <c r="AW25" s="774" t="b">
        <f t="shared" si="12"/>
        <v>0</v>
      </c>
      <c r="AX25" s="776" t="b">
        <f t="shared" si="13"/>
        <v>0</v>
      </c>
      <c r="AY25" s="774" t="b">
        <f t="shared" si="14"/>
        <v>0</v>
      </c>
      <c r="AZ25" s="776" t="b">
        <f t="shared" si="15"/>
        <v>0</v>
      </c>
      <c r="BA25" s="768" t="b">
        <f t="shared" si="16"/>
        <v>0</v>
      </c>
      <c r="BB25" s="768" t="b">
        <f t="shared" si="17"/>
        <v>0</v>
      </c>
      <c r="BC25" s="774" t="b">
        <f t="shared" si="18"/>
        <v>0</v>
      </c>
      <c r="BD25" s="777" t="b">
        <f t="shared" si="31"/>
        <v>0</v>
      </c>
      <c r="BE25" s="776" t="b">
        <f t="shared" si="37"/>
        <v>0</v>
      </c>
      <c r="BF25" s="778" t="b">
        <f t="shared" si="20"/>
        <v>0</v>
      </c>
      <c r="BG25" s="779" t="b">
        <f t="shared" si="38"/>
        <v>0</v>
      </c>
      <c r="BH25" s="779" t="str">
        <f t="shared" si="32"/>
        <v/>
      </c>
      <c r="BI25" s="779" t="str">
        <f t="shared" si="22"/>
        <v/>
      </c>
      <c r="BJ25" s="779" t="str">
        <f t="shared" si="23"/>
        <v/>
      </c>
      <c r="BK25" s="779" t="str">
        <f t="shared" si="24"/>
        <v/>
      </c>
      <c r="BL25" s="780" t="str">
        <f t="shared" si="33"/>
        <v/>
      </c>
      <c r="BM25" s="779" t="str">
        <f t="shared" si="25"/>
        <v/>
      </c>
      <c r="BN25" s="779" t="str">
        <f t="shared" si="26"/>
        <v/>
      </c>
      <c r="BO25" s="1141"/>
      <c r="BP25" s="791" t="s">
        <v>362</v>
      </c>
      <c r="BQ25" s="799">
        <f t="shared" si="36"/>
        <v>0.6</v>
      </c>
      <c r="BR25" s="800">
        <f t="shared" si="36"/>
        <v>0.9</v>
      </c>
      <c r="BS25" s="800">
        <f t="shared" si="36"/>
        <v>0.93330000000000002</v>
      </c>
      <c r="BT25" s="800">
        <f t="shared" si="36"/>
        <v>0.9667</v>
      </c>
      <c r="BU25" s="801">
        <f t="shared" si="36"/>
        <v>1</v>
      </c>
      <c r="BV25" s="711"/>
      <c r="BW25" s="802"/>
    </row>
    <row r="26" spans="2:75" s="731" customFormat="1" ht="12.95" customHeight="1" x14ac:dyDescent="0.25">
      <c r="B26" s="783">
        <f>IF(ISNA(Z26),"",IF(OR(Z26=1,Z26=2),"    ",MAX($B$9:B25)+1))</f>
        <v>15</v>
      </c>
      <c r="C26" s="1116" t="str">
        <f t="shared" si="0"/>
        <v xml:space="preserve">      - Grammar &amp; Syntax (4.0%)</v>
      </c>
      <c r="D26" s="1116"/>
      <c r="E26" s="1116"/>
      <c r="F26" s="1117"/>
      <c r="G26" s="763">
        <f t="shared" si="1"/>
        <v>1</v>
      </c>
      <c r="H26" s="764" t="str">
        <f t="shared" si="2"/>
        <v>2*</v>
      </c>
      <c r="I26" s="784">
        <f t="shared" si="2"/>
        <v>3</v>
      </c>
      <c r="J26" s="789"/>
      <c r="K26" s="786"/>
      <c r="L26" s="1134"/>
      <c r="M26" s="1135"/>
      <c r="N26" s="1135"/>
      <c r="O26" s="1135"/>
      <c r="P26" s="1135"/>
      <c r="Q26" s="1135"/>
      <c r="R26" s="1136"/>
      <c r="T26" s="727">
        <v>18</v>
      </c>
      <c r="U26" s="716" t="s">
        <v>971</v>
      </c>
      <c r="V26" s="768">
        <v>1</v>
      </c>
      <c r="W26" s="768">
        <v>0.66666000000000003</v>
      </c>
      <c r="X26" s="768" t="s">
        <v>340</v>
      </c>
      <c r="Y26" s="768" t="s">
        <v>340</v>
      </c>
      <c r="Z26" s="777" t="s">
        <v>340</v>
      </c>
      <c r="AA26" s="777">
        <v>2</v>
      </c>
      <c r="AB26" s="777">
        <v>1</v>
      </c>
      <c r="AC26" s="768">
        <v>3</v>
      </c>
      <c r="AD26" s="768">
        <v>2</v>
      </c>
      <c r="AE26" s="768">
        <v>1</v>
      </c>
      <c r="AF26" s="768" t="b">
        <v>1</v>
      </c>
      <c r="AG26" s="768">
        <f t="shared" si="3"/>
        <v>2</v>
      </c>
      <c r="AH26" s="768">
        <f t="shared" si="4"/>
        <v>1</v>
      </c>
      <c r="AI26" s="769">
        <f>IF(NOT(OR(Z26=1,Z26=2)),IF(AQ26&gt;0,$AR$45*AQ26/SUMIF($AQ$9:$AQ$40,"&gt;0"),IF(AU26&gt;0,$AV$45*AU26/SUMIF($AU$9:$AU$40,"&gt;0"),IF(AS26&gt;0,$AT$45*AS26/SUMIF($AS$9:$AS$40,"&gt;0"),""))),IF(SUMIF(AJ27:$AJ$40,"=" &amp; AJ26,AI27:$AI$40)=0,"",SUMIF(AJ27:$AJ$40,"=" &amp; AJ26,AI27:$AI$40)))</f>
        <v>3.9999640959632349E-2</v>
      </c>
      <c r="AJ26" s="770">
        <f t="shared" si="34"/>
        <v>2</v>
      </c>
      <c r="AK26" s="768">
        <f t="shared" si="27"/>
        <v>2</v>
      </c>
      <c r="AL26" s="777" t="str">
        <f t="shared" si="28"/>
        <v/>
      </c>
      <c r="AM26" s="777" t="str">
        <f t="shared" si="35"/>
        <v/>
      </c>
      <c r="AN26" s="777" t="str">
        <f t="shared" si="5"/>
        <v/>
      </c>
      <c r="AO26" s="777" t="str">
        <f t="shared" si="6"/>
        <v/>
      </c>
      <c r="AP26" s="768" t="b">
        <f t="shared" si="7"/>
        <v>1</v>
      </c>
      <c r="AQ26" s="771">
        <f t="shared" si="29"/>
        <v>0.66666000000000003</v>
      </c>
      <c r="AR26" s="772" t="str">
        <f t="shared" si="8"/>
        <v/>
      </c>
      <c r="AS26" s="773">
        <f t="shared" si="30"/>
        <v>0</v>
      </c>
      <c r="AT26" s="772" t="str">
        <f t="shared" si="9"/>
        <v/>
      </c>
      <c r="AU26" s="774">
        <f t="shared" si="10"/>
        <v>0</v>
      </c>
      <c r="AV26" s="775" t="str">
        <f t="shared" si="11"/>
        <v/>
      </c>
      <c r="AW26" s="774" t="b">
        <f t="shared" si="12"/>
        <v>0</v>
      </c>
      <c r="AX26" s="776" t="b">
        <f t="shared" si="13"/>
        <v>1</v>
      </c>
      <c r="AY26" s="774" t="b">
        <f t="shared" si="14"/>
        <v>0</v>
      </c>
      <c r="AZ26" s="776" t="b">
        <f t="shared" si="15"/>
        <v>0</v>
      </c>
      <c r="BA26" s="768" t="b">
        <f t="shared" si="16"/>
        <v>0</v>
      </c>
      <c r="BB26" s="768" t="b">
        <f t="shared" si="17"/>
        <v>0</v>
      </c>
      <c r="BC26" s="774" t="b">
        <f t="shared" si="18"/>
        <v>0</v>
      </c>
      <c r="BD26" s="777" t="b">
        <f t="shared" si="31"/>
        <v>0</v>
      </c>
      <c r="BE26" s="776" t="b">
        <f t="shared" si="37"/>
        <v>0</v>
      </c>
      <c r="BF26" s="778" t="b">
        <f t="shared" si="20"/>
        <v>0</v>
      </c>
      <c r="BG26" s="779" t="b">
        <f t="shared" si="38"/>
        <v>1</v>
      </c>
      <c r="BH26" s="779">
        <f t="shared" si="32"/>
        <v>1</v>
      </c>
      <c r="BI26" s="779">
        <f t="shared" si="22"/>
        <v>2</v>
      </c>
      <c r="BJ26" s="779" t="str">
        <f t="shared" si="23"/>
        <v>2*</v>
      </c>
      <c r="BK26" s="779">
        <f t="shared" si="24"/>
        <v>3</v>
      </c>
      <c r="BL26" s="780">
        <f t="shared" si="33"/>
        <v>1</v>
      </c>
      <c r="BM26" s="779">
        <f t="shared" si="25"/>
        <v>2</v>
      </c>
      <c r="BN26" s="779">
        <f t="shared" si="26"/>
        <v>3</v>
      </c>
      <c r="BO26" s="1141"/>
      <c r="BP26" s="791" t="s">
        <v>363</v>
      </c>
      <c r="BQ26" s="799">
        <f t="shared" si="36"/>
        <v>0.6</v>
      </c>
      <c r="BR26" s="800">
        <f t="shared" si="36"/>
        <v>0.7</v>
      </c>
      <c r="BS26" s="800">
        <f t="shared" si="36"/>
        <v>0.9</v>
      </c>
      <c r="BT26" s="800">
        <f t="shared" si="36"/>
        <v>0.95</v>
      </c>
      <c r="BU26" s="801">
        <f t="shared" si="36"/>
        <v>1</v>
      </c>
      <c r="BV26" s="711"/>
      <c r="BW26" s="802"/>
    </row>
    <row r="27" spans="2:75" s="731" customFormat="1" ht="12.95" customHeight="1" x14ac:dyDescent="0.25">
      <c r="B27" s="783">
        <f>IF(ISNA(Z27),"",IF(OR(Z27=1,Z27=2),"    ",MAX($B$9:B26)+1))</f>
        <v>16</v>
      </c>
      <c r="C27" s="1116" t="str">
        <f t="shared" si="0"/>
        <v xml:space="preserve">      - Punctuation Acronyms &amp; Formatting (4.0%)</v>
      </c>
      <c r="D27" s="1116"/>
      <c r="E27" s="1116"/>
      <c r="F27" s="1117"/>
      <c r="G27" s="763">
        <f t="shared" si="1"/>
        <v>1</v>
      </c>
      <c r="H27" s="764" t="str">
        <f t="shared" si="2"/>
        <v>2*</v>
      </c>
      <c r="I27" s="784">
        <f t="shared" si="2"/>
        <v>3</v>
      </c>
      <c r="J27" s="789"/>
      <c r="K27" s="786"/>
      <c r="L27" s="1134"/>
      <c r="M27" s="1135"/>
      <c r="N27" s="1135"/>
      <c r="O27" s="1135"/>
      <c r="P27" s="1135"/>
      <c r="Q27" s="1135"/>
      <c r="R27" s="1136"/>
      <c r="T27" s="727">
        <v>19</v>
      </c>
      <c r="U27" s="716" t="s">
        <v>972</v>
      </c>
      <c r="V27" s="768">
        <v>1</v>
      </c>
      <c r="W27" s="768">
        <v>0.66666000000000003</v>
      </c>
      <c r="X27" s="768" t="s">
        <v>340</v>
      </c>
      <c r="Y27" s="768" t="s">
        <v>340</v>
      </c>
      <c r="Z27" s="777" t="s">
        <v>340</v>
      </c>
      <c r="AA27" s="777">
        <v>2</v>
      </c>
      <c r="AB27" s="777">
        <v>1</v>
      </c>
      <c r="AC27" s="768">
        <v>3</v>
      </c>
      <c r="AD27" s="768">
        <v>2</v>
      </c>
      <c r="AE27" s="768">
        <v>1</v>
      </c>
      <c r="AF27" s="768" t="b">
        <v>1</v>
      </c>
      <c r="AG27" s="768">
        <f t="shared" si="3"/>
        <v>2</v>
      </c>
      <c r="AH27" s="768">
        <f t="shared" si="4"/>
        <v>1</v>
      </c>
      <c r="AI27" s="769">
        <f>IF(NOT(OR(Z27=1,Z27=2)),IF(AQ27&gt;0,$AR$45*AQ27/SUMIF($AQ$9:$AQ$40,"&gt;0"),IF(AU27&gt;0,$AV$45*AU27/SUMIF($AU$9:$AU$40,"&gt;0"),IF(AS27&gt;0,$AT$45*AS27/SUMIF($AS$9:$AS$40,"&gt;0"),""))),IF(SUMIF(AJ28:$AJ$40,"=" &amp; AJ27,AI28:$AI$40)=0,"",SUMIF(AJ28:$AJ$40,"=" &amp; AJ27,AI28:$AI$40)))</f>
        <v>3.9999640959632349E-2</v>
      </c>
      <c r="AJ27" s="770">
        <f t="shared" si="34"/>
        <v>2</v>
      </c>
      <c r="AK27" s="768">
        <f t="shared" si="27"/>
        <v>2</v>
      </c>
      <c r="AL27" s="777" t="str">
        <f t="shared" si="28"/>
        <v/>
      </c>
      <c r="AM27" s="777" t="str">
        <f t="shared" si="35"/>
        <v/>
      </c>
      <c r="AN27" s="777" t="str">
        <f t="shared" si="5"/>
        <v/>
      </c>
      <c r="AO27" s="777" t="str">
        <f t="shared" si="6"/>
        <v/>
      </c>
      <c r="AP27" s="768" t="b">
        <f t="shared" si="7"/>
        <v>1</v>
      </c>
      <c r="AQ27" s="771">
        <f t="shared" si="29"/>
        <v>0.66666000000000003</v>
      </c>
      <c r="AR27" s="772" t="str">
        <f t="shared" si="8"/>
        <v/>
      </c>
      <c r="AS27" s="773">
        <f t="shared" si="30"/>
        <v>0</v>
      </c>
      <c r="AT27" s="772" t="str">
        <f t="shared" si="9"/>
        <v/>
      </c>
      <c r="AU27" s="774">
        <f t="shared" si="10"/>
        <v>0</v>
      </c>
      <c r="AV27" s="775" t="str">
        <f t="shared" si="11"/>
        <v/>
      </c>
      <c r="AW27" s="774" t="b">
        <f t="shared" si="12"/>
        <v>0</v>
      </c>
      <c r="AX27" s="776" t="b">
        <f t="shared" si="13"/>
        <v>1</v>
      </c>
      <c r="AY27" s="774" t="b">
        <f t="shared" si="14"/>
        <v>0</v>
      </c>
      <c r="AZ27" s="776" t="b">
        <f t="shared" si="15"/>
        <v>0</v>
      </c>
      <c r="BA27" s="768" t="b">
        <f t="shared" si="16"/>
        <v>0</v>
      </c>
      <c r="BB27" s="768" t="b">
        <f t="shared" si="17"/>
        <v>0</v>
      </c>
      <c r="BC27" s="774" t="b">
        <f t="shared" si="18"/>
        <v>0</v>
      </c>
      <c r="BD27" s="777" t="b">
        <f t="shared" si="31"/>
        <v>0</v>
      </c>
      <c r="BE27" s="776" t="b">
        <f t="shared" si="37"/>
        <v>0</v>
      </c>
      <c r="BF27" s="778" t="b">
        <f t="shared" si="20"/>
        <v>0</v>
      </c>
      <c r="BG27" s="779" t="b">
        <f t="shared" si="38"/>
        <v>1</v>
      </c>
      <c r="BH27" s="779">
        <f t="shared" si="32"/>
        <v>1</v>
      </c>
      <c r="BI27" s="779">
        <f t="shared" si="22"/>
        <v>2</v>
      </c>
      <c r="BJ27" s="779" t="str">
        <f t="shared" si="23"/>
        <v>2*</v>
      </c>
      <c r="BK27" s="779">
        <f t="shared" si="24"/>
        <v>3</v>
      </c>
      <c r="BL27" s="780">
        <f t="shared" si="33"/>
        <v>1</v>
      </c>
      <c r="BM27" s="779">
        <f t="shared" si="25"/>
        <v>2</v>
      </c>
      <c r="BN27" s="779">
        <f t="shared" si="26"/>
        <v>3</v>
      </c>
      <c r="BO27" s="1141"/>
      <c r="BP27" s="791" t="s">
        <v>364</v>
      </c>
      <c r="BQ27" s="799">
        <f t="shared" si="36"/>
        <v>0.6</v>
      </c>
      <c r="BR27" s="800">
        <f t="shared" si="36"/>
        <v>0.7</v>
      </c>
      <c r="BS27" s="800">
        <f t="shared" si="36"/>
        <v>0.8</v>
      </c>
      <c r="BT27" s="800">
        <f t="shared" si="36"/>
        <v>0.9</v>
      </c>
      <c r="BU27" s="801">
        <f t="shared" si="36"/>
        <v>1</v>
      </c>
    </row>
    <row r="28" spans="2:75" s="731" customFormat="1" ht="12.95" customHeight="1" x14ac:dyDescent="0.25">
      <c r="B28" s="783">
        <f>IF(ISNA(Z28),"",IF(OR(Z28=1,Z28=2),"    ",MAX($B$9:B27)+1))</f>
        <v>17</v>
      </c>
      <c r="C28" s="1116" t="str">
        <f t="shared" si="0"/>
        <v xml:space="preserve">      - Professional Tone &amp; Word Choice (2.0%)</v>
      </c>
      <c r="D28" s="1116"/>
      <c r="E28" s="1116"/>
      <c r="F28" s="1117"/>
      <c r="G28" s="763">
        <f t="shared" si="1"/>
        <v>1</v>
      </c>
      <c r="H28" s="764" t="str">
        <f t="shared" si="2"/>
        <v>2*</v>
      </c>
      <c r="I28" s="784">
        <f t="shared" si="2"/>
        <v>3</v>
      </c>
      <c r="J28" s="789"/>
      <c r="K28" s="786"/>
      <c r="L28" s="1134"/>
      <c r="M28" s="1135"/>
      <c r="N28" s="1135"/>
      <c r="O28" s="1135"/>
      <c r="P28" s="1135"/>
      <c r="Q28" s="1135"/>
      <c r="R28" s="1136"/>
      <c r="T28" s="727">
        <v>20</v>
      </c>
      <c r="U28" s="716" t="s">
        <v>973</v>
      </c>
      <c r="V28" s="768">
        <v>1</v>
      </c>
      <c r="W28" s="768">
        <v>0.33333299999999999</v>
      </c>
      <c r="X28" s="768" t="s">
        <v>340</v>
      </c>
      <c r="Y28" s="768" t="s">
        <v>340</v>
      </c>
      <c r="Z28" s="777" t="s">
        <v>340</v>
      </c>
      <c r="AA28" s="777">
        <v>2</v>
      </c>
      <c r="AB28" s="777">
        <v>1</v>
      </c>
      <c r="AC28" s="768">
        <v>3</v>
      </c>
      <c r="AD28" s="768">
        <v>2</v>
      </c>
      <c r="AE28" s="768">
        <v>1</v>
      </c>
      <c r="AF28" s="768" t="b">
        <v>1</v>
      </c>
      <c r="AG28" s="768">
        <f t="shared" si="3"/>
        <v>2</v>
      </c>
      <c r="AH28" s="768">
        <f t="shared" si="4"/>
        <v>1</v>
      </c>
      <c r="AI28" s="769">
        <f>IF(NOT(OR(Z28=1,Z28=2)),IF(AQ28&gt;0,$AR$45*AQ28/SUMIF($AQ$9:$AQ$40,"&gt;0"),IF(AU28&gt;0,$AV$45*AU28/SUMIF($AU$9:$AU$40,"&gt;0"),IF(AS28&gt;0,$AT$45*AS28/SUMIF($AS$9:$AS$40,"&gt;0"),""))),IF(SUMIF(AJ29:$AJ$40,"=" &amp; AJ28,AI29:$AI$40)=0,"",SUMIF(AJ29:$AJ$40,"=" &amp; AJ28,AI29:$AI$40)))</f>
        <v>2.0000000480000491E-2</v>
      </c>
      <c r="AJ28" s="770">
        <f t="shared" si="34"/>
        <v>2</v>
      </c>
      <c r="AK28" s="768">
        <f t="shared" si="27"/>
        <v>2</v>
      </c>
      <c r="AL28" s="777" t="str">
        <f t="shared" si="28"/>
        <v/>
      </c>
      <c r="AM28" s="777" t="str">
        <f t="shared" si="35"/>
        <v/>
      </c>
      <c r="AN28" s="777" t="str">
        <f t="shared" si="5"/>
        <v/>
      </c>
      <c r="AO28" s="777" t="str">
        <f t="shared" si="6"/>
        <v/>
      </c>
      <c r="AP28" s="768" t="b">
        <f t="shared" si="7"/>
        <v>1</v>
      </c>
      <c r="AQ28" s="771">
        <f t="shared" si="29"/>
        <v>0.33333299999999999</v>
      </c>
      <c r="AR28" s="772" t="str">
        <f t="shared" si="8"/>
        <v/>
      </c>
      <c r="AS28" s="773">
        <f t="shared" si="30"/>
        <v>0</v>
      </c>
      <c r="AT28" s="772" t="str">
        <f t="shared" si="9"/>
        <v/>
      </c>
      <c r="AU28" s="774">
        <f t="shared" si="10"/>
        <v>0</v>
      </c>
      <c r="AV28" s="775" t="str">
        <f t="shared" si="11"/>
        <v/>
      </c>
      <c r="AW28" s="774" t="b">
        <f t="shared" si="12"/>
        <v>0</v>
      </c>
      <c r="AX28" s="776" t="b">
        <f t="shared" si="13"/>
        <v>1</v>
      </c>
      <c r="AY28" s="774" t="b">
        <f t="shared" si="14"/>
        <v>0</v>
      </c>
      <c r="AZ28" s="776" t="b">
        <f t="shared" si="15"/>
        <v>0</v>
      </c>
      <c r="BA28" s="768" t="b">
        <f t="shared" si="16"/>
        <v>0</v>
      </c>
      <c r="BB28" s="768" t="b">
        <f t="shared" si="17"/>
        <v>0</v>
      </c>
      <c r="BC28" s="774" t="b">
        <f t="shared" si="18"/>
        <v>0</v>
      </c>
      <c r="BD28" s="777" t="b">
        <f t="shared" si="31"/>
        <v>0</v>
      </c>
      <c r="BE28" s="776" t="b">
        <f t="shared" si="37"/>
        <v>0</v>
      </c>
      <c r="BF28" s="778" t="b">
        <f t="shared" si="20"/>
        <v>0</v>
      </c>
      <c r="BG28" s="779" t="b">
        <f t="shared" si="38"/>
        <v>1</v>
      </c>
      <c r="BH28" s="779">
        <f t="shared" si="32"/>
        <v>1</v>
      </c>
      <c r="BI28" s="779">
        <f t="shared" si="22"/>
        <v>2</v>
      </c>
      <c r="BJ28" s="779" t="str">
        <f t="shared" si="23"/>
        <v>2*</v>
      </c>
      <c r="BK28" s="779">
        <f t="shared" si="24"/>
        <v>3</v>
      </c>
      <c r="BL28" s="780">
        <f t="shared" si="33"/>
        <v>1</v>
      </c>
      <c r="BM28" s="779">
        <f t="shared" si="25"/>
        <v>2</v>
      </c>
      <c r="BN28" s="779">
        <f t="shared" si="26"/>
        <v>3</v>
      </c>
      <c r="BO28" s="1141"/>
      <c r="BP28" s="791" t="s">
        <v>365</v>
      </c>
      <c r="BQ28" s="799">
        <f t="shared" si="36"/>
        <v>0.3</v>
      </c>
      <c r="BR28" s="800">
        <f t="shared" si="36"/>
        <v>0.6</v>
      </c>
      <c r="BS28" s="800">
        <f t="shared" si="36"/>
        <v>0.9</v>
      </c>
      <c r="BT28" s="800">
        <f t="shared" si="36"/>
        <v>0.95</v>
      </c>
      <c r="BU28" s="801">
        <f t="shared" si="36"/>
        <v>1</v>
      </c>
    </row>
    <row r="29" spans="2:75" s="731" customFormat="1" ht="12.95" customHeight="1" x14ac:dyDescent="0.25">
      <c r="B29" s="783" t="str">
        <f>IF(ISNA(Z29),"",IF(OR(Z29=1,Z29=2),"    ",MAX($B$9:B28)+1))</f>
        <v xml:space="preserve">    </v>
      </c>
      <c r="C29" s="1116" t="str">
        <f t="shared" si="0"/>
        <v>Visual Eng &amp; Data Presentation (6.0%)</v>
      </c>
      <c r="D29" s="1116"/>
      <c r="E29" s="1116"/>
      <c r="F29" s="1117"/>
      <c r="G29" s="763" t="str">
        <f t="shared" si="1"/>
        <v/>
      </c>
      <c r="H29" s="764" t="str">
        <f t="shared" si="2"/>
        <v/>
      </c>
      <c r="I29" s="784" t="str">
        <f t="shared" si="2"/>
        <v/>
      </c>
      <c r="J29" s="793"/>
      <c r="K29" s="794"/>
      <c r="L29" s="1134"/>
      <c r="M29" s="1135"/>
      <c r="N29" s="1135"/>
      <c r="O29" s="1135"/>
      <c r="P29" s="1135"/>
      <c r="Q29" s="1135"/>
      <c r="R29" s="1136"/>
      <c r="T29" s="727">
        <v>21</v>
      </c>
      <c r="U29" s="716" t="s">
        <v>974</v>
      </c>
      <c r="V29" s="768" t="s">
        <v>340</v>
      </c>
      <c r="W29" s="768" t="s">
        <v>340</v>
      </c>
      <c r="X29" s="768" t="s">
        <v>340</v>
      </c>
      <c r="Y29" s="768" t="s">
        <v>340</v>
      </c>
      <c r="Z29" s="777">
        <v>2</v>
      </c>
      <c r="AA29" s="777">
        <v>1</v>
      </c>
      <c r="AB29" s="777">
        <v>1</v>
      </c>
      <c r="AC29" s="768" t="s">
        <v>340</v>
      </c>
      <c r="AD29" s="768" t="s">
        <v>340</v>
      </c>
      <c r="AE29" s="768" t="s">
        <v>340</v>
      </c>
      <c r="AF29" s="768" t="s">
        <v>340</v>
      </c>
      <c r="AG29" s="768" t="str">
        <f t="shared" si="3"/>
        <v/>
      </c>
      <c r="AH29" s="768" t="str">
        <f t="shared" si="4"/>
        <v/>
      </c>
      <c r="AI29" s="769">
        <f>IF(NOT(OR(Z29=1,Z29=2)),IF(AQ29&gt;0,$AR$45*AQ29/SUMIF($AQ$9:$AQ$40,"&gt;0"),IF(AU29&gt;0,$AV$45*AU29/SUMIF($AU$9:$AU$40,"&gt;0"),IF(AS29&gt;0,$AT$45*AS29/SUMIF($AS$9:$AS$40,"&gt;0"),""))),IF(SUMIF(AJ30:$AJ$40,"=" &amp; AJ29,AI30:$AI$40)=0,"",SUMIF(AJ30:$AJ$40,"=" &amp; AJ29,AI30:$AI$40)))</f>
        <v>5.9999857439854025E-2</v>
      </c>
      <c r="AJ29" s="770">
        <f t="shared" si="34"/>
        <v>3</v>
      </c>
      <c r="AK29" s="768" t="str">
        <f t="shared" si="27"/>
        <v/>
      </c>
      <c r="AL29" s="777" t="str">
        <f t="shared" si="28"/>
        <v/>
      </c>
      <c r="AM29" s="777" t="str">
        <f t="shared" si="35"/>
        <v/>
      </c>
      <c r="AN29" s="777" t="str">
        <f t="shared" si="5"/>
        <v/>
      </c>
      <c r="AO29" s="777" t="str">
        <f t="shared" si="6"/>
        <v/>
      </c>
      <c r="AP29" s="768" t="str">
        <f t="shared" si="7"/>
        <v/>
      </c>
      <c r="AQ29" s="771">
        <f t="shared" si="29"/>
        <v>0</v>
      </c>
      <c r="AR29" s="772" t="str">
        <f t="shared" si="8"/>
        <v/>
      </c>
      <c r="AS29" s="773">
        <f t="shared" si="30"/>
        <v>0</v>
      </c>
      <c r="AT29" s="772" t="str">
        <f t="shared" si="9"/>
        <v/>
      </c>
      <c r="AU29" s="774">
        <f t="shared" si="10"/>
        <v>0</v>
      </c>
      <c r="AV29" s="775" t="str">
        <f t="shared" si="11"/>
        <v/>
      </c>
      <c r="AW29" s="774" t="b">
        <f t="shared" si="12"/>
        <v>0</v>
      </c>
      <c r="AX29" s="776" t="b">
        <f t="shared" si="13"/>
        <v>0</v>
      </c>
      <c r="AY29" s="774" t="b">
        <f t="shared" si="14"/>
        <v>0</v>
      </c>
      <c r="AZ29" s="776" t="b">
        <f t="shared" si="15"/>
        <v>0</v>
      </c>
      <c r="BA29" s="768" t="b">
        <f t="shared" si="16"/>
        <v>0</v>
      </c>
      <c r="BB29" s="768" t="b">
        <f t="shared" si="17"/>
        <v>0</v>
      </c>
      <c r="BC29" s="774" t="b">
        <f t="shared" si="18"/>
        <v>0</v>
      </c>
      <c r="BD29" s="777" t="b">
        <f t="shared" si="31"/>
        <v>0</v>
      </c>
      <c r="BE29" s="776" t="b">
        <f t="shared" si="37"/>
        <v>0</v>
      </c>
      <c r="BF29" s="778" t="b">
        <f t="shared" si="20"/>
        <v>0</v>
      </c>
      <c r="BG29" s="779" t="b">
        <f t="shared" si="38"/>
        <v>0</v>
      </c>
      <c r="BH29" s="779" t="str">
        <f t="shared" si="32"/>
        <v/>
      </c>
      <c r="BI29" s="779" t="str">
        <f t="shared" si="22"/>
        <v/>
      </c>
      <c r="BJ29" s="779" t="str">
        <f t="shared" si="23"/>
        <v/>
      </c>
      <c r="BK29" s="779" t="str">
        <f t="shared" si="24"/>
        <v/>
      </c>
      <c r="BL29" s="780" t="str">
        <f t="shared" si="33"/>
        <v/>
      </c>
      <c r="BM29" s="779" t="str">
        <f t="shared" si="25"/>
        <v/>
      </c>
      <c r="BN29" s="779" t="str">
        <f t="shared" si="26"/>
        <v/>
      </c>
      <c r="BO29" s="1141"/>
      <c r="BP29" s="791" t="s">
        <v>366</v>
      </c>
      <c r="BQ29" s="799">
        <f t="shared" si="36"/>
        <v>0.3</v>
      </c>
      <c r="BR29" s="800">
        <f t="shared" si="36"/>
        <v>0.6</v>
      </c>
      <c r="BS29" s="800">
        <f t="shared" si="36"/>
        <v>0.7</v>
      </c>
      <c r="BT29" s="800">
        <f t="shared" si="36"/>
        <v>0.9</v>
      </c>
      <c r="BU29" s="801">
        <f t="shared" si="36"/>
        <v>1</v>
      </c>
    </row>
    <row r="30" spans="2:75" s="731" customFormat="1" ht="12.95" customHeight="1" x14ac:dyDescent="0.25">
      <c r="B30" s="783">
        <f>IF(ISNA(Z30),"",IF(OR(Z30=1,Z30=2),"    ",MAX($B$9:B29)+1))</f>
        <v>18</v>
      </c>
      <c r="C30" s="1116" t="str">
        <f t="shared" si="0"/>
        <v xml:space="preserve">      - Anatomy of a Valid Plot/Table (2.0%)</v>
      </c>
      <c r="D30" s="1116"/>
      <c r="E30" s="1116"/>
      <c r="F30" s="1117"/>
      <c r="G30" s="763">
        <f t="shared" si="1"/>
        <v>1</v>
      </c>
      <c r="H30" s="764" t="str">
        <f t="shared" si="2"/>
        <v>2*</v>
      </c>
      <c r="I30" s="784">
        <f t="shared" si="2"/>
        <v>3</v>
      </c>
      <c r="J30" s="789"/>
      <c r="K30" s="786"/>
      <c r="L30" s="1134"/>
      <c r="M30" s="1135"/>
      <c r="N30" s="1135"/>
      <c r="O30" s="1135"/>
      <c r="P30" s="1135"/>
      <c r="Q30" s="1135"/>
      <c r="R30" s="1136"/>
      <c r="T30" s="727">
        <v>22</v>
      </c>
      <c r="U30" s="716" t="s">
        <v>975</v>
      </c>
      <c r="V30" s="768">
        <v>1</v>
      </c>
      <c r="W30" s="768">
        <v>0.3333333</v>
      </c>
      <c r="X30" s="768" t="s">
        <v>340</v>
      </c>
      <c r="Y30" s="768" t="s">
        <v>340</v>
      </c>
      <c r="Z30" s="777" t="s">
        <v>340</v>
      </c>
      <c r="AA30" s="777">
        <v>2</v>
      </c>
      <c r="AB30" s="777">
        <v>1</v>
      </c>
      <c r="AC30" s="768">
        <v>3</v>
      </c>
      <c r="AD30" s="768">
        <v>2</v>
      </c>
      <c r="AE30" s="768">
        <v>1</v>
      </c>
      <c r="AF30" s="768" t="b">
        <v>1</v>
      </c>
      <c r="AG30" s="768">
        <f t="shared" si="3"/>
        <v>2</v>
      </c>
      <c r="AH30" s="768">
        <f t="shared" si="4"/>
        <v>1</v>
      </c>
      <c r="AI30" s="769">
        <f>IF(NOT(OR(Z30=1,Z30=2)),IF(AQ30&gt;0,$AR$45*AQ30/SUMIF($AQ$9:$AQ$40,"&gt;0"),IF(AU30&gt;0,$AV$45*AU30/SUMIF($AU$9:$AU$40,"&gt;0"),IF(AS30&gt;0,$AT$45*AS30/SUMIF($AS$9:$AS$40,"&gt;0"),""))),IF(SUMIF(AJ31:$AJ$40,"=" &amp; AJ30,AI31:$AI$40)=0,"",SUMIF(AJ31:$AJ$40,"=" &amp; AJ30,AI31:$AI$40)))</f>
        <v>2.0000018480018925E-2</v>
      </c>
      <c r="AJ30" s="770">
        <f t="shared" si="34"/>
        <v>3</v>
      </c>
      <c r="AK30" s="768">
        <f t="shared" si="27"/>
        <v>2</v>
      </c>
      <c r="AL30" s="777" t="str">
        <f t="shared" si="28"/>
        <v/>
      </c>
      <c r="AM30" s="777" t="str">
        <f t="shared" si="35"/>
        <v/>
      </c>
      <c r="AN30" s="777" t="str">
        <f t="shared" si="5"/>
        <v/>
      </c>
      <c r="AO30" s="777" t="str">
        <f t="shared" si="6"/>
        <v/>
      </c>
      <c r="AP30" s="768" t="b">
        <f t="shared" si="7"/>
        <v>1</v>
      </c>
      <c r="AQ30" s="771">
        <f t="shared" si="29"/>
        <v>0.3333333</v>
      </c>
      <c r="AR30" s="772" t="str">
        <f t="shared" si="8"/>
        <v/>
      </c>
      <c r="AS30" s="773">
        <f t="shared" si="30"/>
        <v>0</v>
      </c>
      <c r="AT30" s="772" t="str">
        <f t="shared" si="9"/>
        <v/>
      </c>
      <c r="AU30" s="774">
        <f t="shared" si="10"/>
        <v>0</v>
      </c>
      <c r="AV30" s="775" t="str">
        <f t="shared" si="11"/>
        <v/>
      </c>
      <c r="AW30" s="774" t="b">
        <f t="shared" si="12"/>
        <v>0</v>
      </c>
      <c r="AX30" s="776" t="b">
        <f t="shared" si="13"/>
        <v>1</v>
      </c>
      <c r="AY30" s="774" t="b">
        <f t="shared" si="14"/>
        <v>0</v>
      </c>
      <c r="AZ30" s="776" t="b">
        <f t="shared" si="15"/>
        <v>0</v>
      </c>
      <c r="BA30" s="768" t="b">
        <f t="shared" si="16"/>
        <v>0</v>
      </c>
      <c r="BB30" s="768" t="b">
        <f t="shared" si="17"/>
        <v>0</v>
      </c>
      <c r="BC30" s="774" t="b">
        <f t="shared" si="18"/>
        <v>0</v>
      </c>
      <c r="BD30" s="777" t="b">
        <f t="shared" si="31"/>
        <v>0</v>
      </c>
      <c r="BE30" s="776" t="b">
        <f t="shared" si="37"/>
        <v>0</v>
      </c>
      <c r="BF30" s="778" t="b">
        <f t="shared" si="20"/>
        <v>0</v>
      </c>
      <c r="BG30" s="779" t="b">
        <f t="shared" si="38"/>
        <v>1</v>
      </c>
      <c r="BH30" s="779">
        <f t="shared" si="32"/>
        <v>1</v>
      </c>
      <c r="BI30" s="779">
        <f t="shared" si="22"/>
        <v>2</v>
      </c>
      <c r="BJ30" s="779" t="str">
        <f t="shared" si="23"/>
        <v>2*</v>
      </c>
      <c r="BK30" s="779">
        <f t="shared" si="24"/>
        <v>3</v>
      </c>
      <c r="BL30" s="780">
        <f t="shared" si="33"/>
        <v>1</v>
      </c>
      <c r="BM30" s="779">
        <f t="shared" si="25"/>
        <v>2</v>
      </c>
      <c r="BN30" s="779">
        <f t="shared" si="26"/>
        <v>3</v>
      </c>
      <c r="BO30" s="1141"/>
      <c r="BP30" s="791" t="s">
        <v>367</v>
      </c>
      <c r="BQ30" s="803">
        <f t="shared" si="36"/>
        <v>0</v>
      </c>
      <c r="BR30" s="804">
        <f t="shared" si="36"/>
        <v>0.3</v>
      </c>
      <c r="BS30" s="804">
        <f t="shared" si="36"/>
        <v>0.6</v>
      </c>
      <c r="BT30" s="804">
        <f t="shared" si="36"/>
        <v>0.9</v>
      </c>
      <c r="BU30" s="805">
        <f t="shared" si="36"/>
        <v>1</v>
      </c>
    </row>
    <row r="31" spans="2:75" s="731" customFormat="1" ht="12.95" customHeight="1" x14ac:dyDescent="0.25">
      <c r="B31" s="783">
        <f>IF(ISNA(Z31),"",IF(OR(Z31=1,Z31=2),"    ",MAX($B$9:B30)+1))</f>
        <v>19</v>
      </c>
      <c r="C31" s="1116" t="str">
        <f t="shared" si="0"/>
        <v xml:space="preserve">      - Data-Ink Ratio &amp; Clarity (2.0%)</v>
      </c>
      <c r="D31" s="1116"/>
      <c r="E31" s="1116"/>
      <c r="F31" s="1117"/>
      <c r="G31" s="763">
        <f t="shared" si="1"/>
        <v>1</v>
      </c>
      <c r="H31" s="764" t="str">
        <f t="shared" si="2"/>
        <v>2*</v>
      </c>
      <c r="I31" s="784">
        <f t="shared" si="2"/>
        <v>3</v>
      </c>
      <c r="J31" s="789"/>
      <c r="K31" s="786"/>
      <c r="L31" s="1134"/>
      <c r="M31" s="1135"/>
      <c r="N31" s="1135"/>
      <c r="O31" s="1135"/>
      <c r="P31" s="1135"/>
      <c r="Q31" s="1135"/>
      <c r="R31" s="1136"/>
      <c r="T31" s="727">
        <v>23</v>
      </c>
      <c r="U31" s="716" t="s">
        <v>976</v>
      </c>
      <c r="V31" s="768">
        <v>1</v>
      </c>
      <c r="W31" s="768">
        <v>0.3333333</v>
      </c>
      <c r="X31" s="768" t="s">
        <v>340</v>
      </c>
      <c r="Y31" s="768" t="s">
        <v>340</v>
      </c>
      <c r="Z31" s="777" t="s">
        <v>340</v>
      </c>
      <c r="AA31" s="777">
        <v>2</v>
      </c>
      <c r="AB31" s="777">
        <v>1</v>
      </c>
      <c r="AC31" s="768">
        <v>3</v>
      </c>
      <c r="AD31" s="768">
        <v>2</v>
      </c>
      <c r="AE31" s="768">
        <v>1</v>
      </c>
      <c r="AF31" s="768" t="b">
        <v>1</v>
      </c>
      <c r="AG31" s="768">
        <f t="shared" si="3"/>
        <v>2</v>
      </c>
      <c r="AH31" s="768">
        <f t="shared" si="4"/>
        <v>1</v>
      </c>
      <c r="AI31" s="769">
        <f>IF(NOT(OR(Z31=1,Z31=2)),IF(AQ31&gt;0,$AR$45*AQ31/SUMIF($AQ$9:$AQ$40,"&gt;0"),IF(AU31&gt;0,$AV$45*AU31/SUMIF($AU$9:$AU$40,"&gt;0"),IF(AS31&gt;0,$AT$45*AS31/SUMIF($AS$9:$AS$40,"&gt;0"),""))),IF(SUMIF(AJ32:$AJ$40,"=" &amp; AJ31,AI32:$AI$40)=0,"",SUMIF(AJ32:$AJ$40,"=" &amp; AJ31,AI32:$AI$40)))</f>
        <v>2.0000018480018925E-2</v>
      </c>
      <c r="AJ31" s="770">
        <f t="shared" si="34"/>
        <v>3</v>
      </c>
      <c r="AK31" s="768">
        <f t="shared" si="27"/>
        <v>2</v>
      </c>
      <c r="AL31" s="777" t="str">
        <f t="shared" si="28"/>
        <v/>
      </c>
      <c r="AM31" s="777" t="str">
        <f t="shared" si="35"/>
        <v/>
      </c>
      <c r="AN31" s="777" t="str">
        <f t="shared" si="5"/>
        <v/>
      </c>
      <c r="AO31" s="777" t="str">
        <f t="shared" si="6"/>
        <v/>
      </c>
      <c r="AP31" s="768" t="b">
        <f t="shared" si="7"/>
        <v>1</v>
      </c>
      <c r="AQ31" s="771">
        <f t="shared" si="29"/>
        <v>0.3333333</v>
      </c>
      <c r="AR31" s="772" t="str">
        <f t="shared" si="8"/>
        <v/>
      </c>
      <c r="AS31" s="773">
        <f t="shared" si="30"/>
        <v>0</v>
      </c>
      <c r="AT31" s="772" t="str">
        <f t="shared" si="9"/>
        <v/>
      </c>
      <c r="AU31" s="774">
        <f t="shared" si="10"/>
        <v>0</v>
      </c>
      <c r="AV31" s="775" t="str">
        <f t="shared" si="11"/>
        <v/>
      </c>
      <c r="AW31" s="774" t="b">
        <f t="shared" si="12"/>
        <v>0</v>
      </c>
      <c r="AX31" s="776" t="b">
        <f t="shared" si="13"/>
        <v>1</v>
      </c>
      <c r="AY31" s="774" t="b">
        <f t="shared" si="14"/>
        <v>0</v>
      </c>
      <c r="AZ31" s="776" t="b">
        <f t="shared" si="15"/>
        <v>0</v>
      </c>
      <c r="BA31" s="768" t="b">
        <f t="shared" si="16"/>
        <v>0</v>
      </c>
      <c r="BB31" s="768" t="b">
        <f t="shared" si="17"/>
        <v>0</v>
      </c>
      <c r="BC31" s="774" t="b">
        <f t="shared" si="18"/>
        <v>0</v>
      </c>
      <c r="BD31" s="777" t="b">
        <f t="shared" si="31"/>
        <v>0</v>
      </c>
      <c r="BE31" s="776" t="b">
        <f t="shared" si="37"/>
        <v>0</v>
      </c>
      <c r="BF31" s="778" t="b">
        <f t="shared" si="20"/>
        <v>0</v>
      </c>
      <c r="BG31" s="779" t="b">
        <f t="shared" si="38"/>
        <v>1</v>
      </c>
      <c r="BH31" s="779">
        <f t="shared" si="32"/>
        <v>1</v>
      </c>
      <c r="BI31" s="779">
        <f t="shared" si="22"/>
        <v>2</v>
      </c>
      <c r="BJ31" s="779" t="str">
        <f t="shared" si="23"/>
        <v>2*</v>
      </c>
      <c r="BK31" s="779">
        <f t="shared" si="24"/>
        <v>3</v>
      </c>
      <c r="BL31" s="780">
        <f t="shared" si="33"/>
        <v>1</v>
      </c>
      <c r="BM31" s="779">
        <f t="shared" si="25"/>
        <v>2</v>
      </c>
      <c r="BN31" s="779">
        <f t="shared" si="26"/>
        <v>3</v>
      </c>
      <c r="BO31" s="719"/>
    </row>
    <row r="32" spans="2:75" s="731" customFormat="1" ht="12.95" customHeight="1" x14ac:dyDescent="0.25">
      <c r="B32" s="783">
        <f>IF(ISNA(Z32),"",IF(OR(Z32=1,Z32=2),"    ",MAX($B$9:B31)+1))</f>
        <v>20</v>
      </c>
      <c r="C32" s="1116" t="str">
        <f t="shared" si="0"/>
        <v xml:space="preserve">      - Data Honesty &amp; Context  (2.0%)</v>
      </c>
      <c r="D32" s="1116"/>
      <c r="E32" s="1116"/>
      <c r="F32" s="1117"/>
      <c r="G32" s="763">
        <f t="shared" si="1"/>
        <v>1</v>
      </c>
      <c r="H32" s="764" t="str">
        <f t="shared" si="2"/>
        <v>2*</v>
      </c>
      <c r="I32" s="784">
        <f t="shared" si="2"/>
        <v>3</v>
      </c>
      <c r="J32" s="789"/>
      <c r="K32" s="786"/>
      <c r="L32" s="1134"/>
      <c r="M32" s="1135"/>
      <c r="N32" s="1135"/>
      <c r="O32" s="1135"/>
      <c r="P32" s="1135"/>
      <c r="Q32" s="1135"/>
      <c r="R32" s="1136"/>
      <c r="T32" s="727">
        <v>24</v>
      </c>
      <c r="U32" s="716" t="s">
        <v>977</v>
      </c>
      <c r="V32" s="768">
        <v>1</v>
      </c>
      <c r="W32" s="768">
        <v>0.33333000000000002</v>
      </c>
      <c r="X32" s="768" t="s">
        <v>340</v>
      </c>
      <c r="Y32" s="768" t="s">
        <v>340</v>
      </c>
      <c r="Z32" s="777" t="s">
        <v>340</v>
      </c>
      <c r="AA32" s="777">
        <v>2</v>
      </c>
      <c r="AB32" s="777">
        <v>1</v>
      </c>
      <c r="AC32" s="768">
        <v>3</v>
      </c>
      <c r="AD32" s="768">
        <v>2</v>
      </c>
      <c r="AE32" s="768">
        <v>1</v>
      </c>
      <c r="AF32" s="768" t="b">
        <v>1</v>
      </c>
      <c r="AG32" s="768">
        <f t="shared" si="3"/>
        <v>2</v>
      </c>
      <c r="AH32" s="768">
        <f t="shared" si="4"/>
        <v>1</v>
      </c>
      <c r="AI32" s="769">
        <f>IF(NOT(OR(Z32=1,Z32=2)),IF(AQ32&gt;0,$AR$45*AQ32/SUMIF($AQ$9:$AQ$40,"&gt;0"),IF(AU32&gt;0,$AV$45*AU32/SUMIF($AU$9:$AU$40,"&gt;0"),IF(AS32&gt;0,$AT$45*AS32/SUMIF($AS$9:$AS$40,"&gt;0"),""))),IF(SUMIF(AJ33:$AJ$40,"=" &amp; AJ32,AI33:$AI$40)=0,"",SUMIF(AJ33:$AJ$40,"=" &amp; AJ32,AI33:$AI$40)))</f>
        <v>1.9999820479816174E-2</v>
      </c>
      <c r="AJ32" s="770">
        <f t="shared" si="34"/>
        <v>3</v>
      </c>
      <c r="AK32" s="768">
        <f t="shared" si="27"/>
        <v>2</v>
      </c>
      <c r="AL32" s="777" t="str">
        <f t="shared" si="28"/>
        <v/>
      </c>
      <c r="AM32" s="777" t="str">
        <f t="shared" si="35"/>
        <v/>
      </c>
      <c r="AN32" s="777" t="str">
        <f t="shared" si="5"/>
        <v/>
      </c>
      <c r="AO32" s="777" t="str">
        <f t="shared" si="6"/>
        <v/>
      </c>
      <c r="AP32" s="768" t="b">
        <f t="shared" si="7"/>
        <v>1</v>
      </c>
      <c r="AQ32" s="771">
        <f t="shared" si="29"/>
        <v>0.33333000000000002</v>
      </c>
      <c r="AR32" s="772" t="str">
        <f t="shared" si="8"/>
        <v/>
      </c>
      <c r="AS32" s="773">
        <f t="shared" si="30"/>
        <v>0</v>
      </c>
      <c r="AT32" s="772" t="str">
        <f t="shared" si="9"/>
        <v/>
      </c>
      <c r="AU32" s="774">
        <f t="shared" si="10"/>
        <v>0</v>
      </c>
      <c r="AV32" s="775" t="str">
        <f t="shared" si="11"/>
        <v/>
      </c>
      <c r="AW32" s="774" t="b">
        <f t="shared" si="12"/>
        <v>0</v>
      </c>
      <c r="AX32" s="776" t="b">
        <f t="shared" si="13"/>
        <v>1</v>
      </c>
      <c r="AY32" s="774" t="b">
        <f t="shared" si="14"/>
        <v>0</v>
      </c>
      <c r="AZ32" s="776" t="b">
        <f t="shared" si="15"/>
        <v>0</v>
      </c>
      <c r="BA32" s="768" t="b">
        <f t="shared" si="16"/>
        <v>0</v>
      </c>
      <c r="BB32" s="768" t="b">
        <f t="shared" si="17"/>
        <v>0</v>
      </c>
      <c r="BC32" s="774" t="b">
        <f t="shared" si="18"/>
        <v>0</v>
      </c>
      <c r="BD32" s="777" t="b">
        <f>IF(OR(ISNA($Z32),ISNUMBER($Z32),NOT(ISNUMBER(K32))),FALSE,OR(NOT(ISNUMBER(J32)),J32=0,AND(J32=0,K32&lt;&gt;0)))</f>
        <v>0</v>
      </c>
      <c r="BE32" s="776" t="b">
        <f t="shared" si="37"/>
        <v>0</v>
      </c>
      <c r="BF32" s="778" t="b">
        <f>IF(OR(ISNA($Z32),H32&lt;&gt;"NG"),FALSE,IF(AND(J32="NA",K32&lt;&gt;""),TRUE,FALSE))</f>
        <v>0</v>
      </c>
      <c r="BG32" s="779" t="b">
        <f t="shared" si="38"/>
        <v>1</v>
      </c>
      <c r="BH32" s="779">
        <f t="shared" si="32"/>
        <v>1</v>
      </c>
      <c r="BI32" s="779">
        <f t="shared" si="22"/>
        <v>2</v>
      </c>
      <c r="BJ32" s="779" t="str">
        <f t="shared" si="23"/>
        <v>2*</v>
      </c>
      <c r="BK32" s="779">
        <f t="shared" si="24"/>
        <v>3</v>
      </c>
      <c r="BL32" s="780">
        <f t="shared" si="33"/>
        <v>1</v>
      </c>
      <c r="BM32" s="779">
        <f t="shared" si="25"/>
        <v>2</v>
      </c>
      <c r="BN32" s="779">
        <f t="shared" si="26"/>
        <v>3</v>
      </c>
      <c r="BO32" s="787" t="s">
        <v>368</v>
      </c>
      <c r="BP32" s="792" t="s">
        <v>369</v>
      </c>
    </row>
    <row r="33" spans="2:75 1271:1271" s="731" customFormat="1" ht="12.95" customHeight="1" x14ac:dyDescent="0.25">
      <c r="B33" s="783" t="str">
        <f>IF(ISNA(Z33),"",IF(OR(Z33=1,Z33=2),"    ",MAX($B$9:B32)+1))</f>
        <v/>
      </c>
      <c r="C33" s="1116" t="str">
        <f t="shared" si="0"/>
        <v/>
      </c>
      <c r="D33" s="1116"/>
      <c r="E33" s="1116"/>
      <c r="F33" s="1117"/>
      <c r="G33" s="763" t="str">
        <f t="shared" si="1"/>
        <v/>
      </c>
      <c r="H33" s="764" t="str">
        <f t="shared" si="2"/>
        <v/>
      </c>
      <c r="I33" s="784" t="str">
        <f t="shared" si="2"/>
        <v/>
      </c>
      <c r="J33" s="793"/>
      <c r="K33" s="794"/>
      <c r="L33" s="1134"/>
      <c r="M33" s="1135"/>
      <c r="N33" s="1135"/>
      <c r="O33" s="1135"/>
      <c r="P33" s="1135"/>
      <c r="Q33" s="1135"/>
      <c r="R33" s="1136"/>
      <c r="T33" s="727">
        <v>25</v>
      </c>
      <c r="U33" s="716" t="e">
        <v>#N/A</v>
      </c>
      <c r="V33" s="768" t="e">
        <v>#N/A</v>
      </c>
      <c r="W33" s="768" t="e">
        <v>#N/A</v>
      </c>
      <c r="X33" s="768" t="e">
        <v>#N/A</v>
      </c>
      <c r="Y33" s="768" t="e">
        <v>#N/A</v>
      </c>
      <c r="Z33" s="777" t="e">
        <v>#N/A</v>
      </c>
      <c r="AA33" s="777" t="e">
        <v>#N/A</v>
      </c>
      <c r="AB33" s="777" t="e">
        <v>#N/A</v>
      </c>
      <c r="AC33" s="768" t="e">
        <v>#N/A</v>
      </c>
      <c r="AD33" s="768" t="e">
        <v>#N/A</v>
      </c>
      <c r="AE33" s="768" t="e">
        <v>#N/A</v>
      </c>
      <c r="AF33" s="768" t="e">
        <v>#N/A</v>
      </c>
      <c r="AG33" s="768" t="e">
        <f t="shared" si="3"/>
        <v>#N/A</v>
      </c>
      <c r="AH33" s="768" t="str">
        <f t="shared" si="4"/>
        <v/>
      </c>
      <c r="AI33" s="769" t="e">
        <f>IF(NOT(OR(Z33=1,Z33=2)),IF(AQ33&gt;0,$AR$45*AQ33/SUMIF($AQ$9:$AQ$40,"&gt;0"),IF(AU33&gt;0,$AV$45*AU33/SUMIF($AU$9:$AU$40,"&gt;0"),IF(AS33&gt;0,$AT$45*AS33/SUMIF($AS$9:$AS$40,"&gt;0"),""))),IF(SUMIF(AJ34:$AJ$40,"=" &amp; AJ33,AI34:$AI$40)=0,"",SUMIF(AJ34:$AJ$40,"=" &amp; AJ33,AI34:$AI$40)))</f>
        <v>#N/A</v>
      </c>
      <c r="AJ33" s="770" t="e">
        <f t="shared" si="34"/>
        <v>#N/A</v>
      </c>
      <c r="AK33" s="768" t="str">
        <f t="shared" si="27"/>
        <v/>
      </c>
      <c r="AL33" s="777" t="str">
        <f t="shared" si="28"/>
        <v/>
      </c>
      <c r="AM33" s="777" t="str">
        <f t="shared" si="35"/>
        <v/>
      </c>
      <c r="AN33" s="777" t="str">
        <f t="shared" si="5"/>
        <v/>
      </c>
      <c r="AO33" s="777" t="e">
        <f t="shared" si="6"/>
        <v>#N/A</v>
      </c>
      <c r="AP33" s="768" t="str">
        <f t="shared" si="7"/>
        <v/>
      </c>
      <c r="AQ33" s="771">
        <f t="shared" si="29"/>
        <v>0</v>
      </c>
      <c r="AR33" s="772" t="str">
        <f t="shared" si="8"/>
        <v/>
      </c>
      <c r="AS33" s="773">
        <f t="shared" si="30"/>
        <v>0</v>
      </c>
      <c r="AT33" s="772" t="str">
        <f t="shared" si="9"/>
        <v/>
      </c>
      <c r="AU33" s="774">
        <f t="shared" si="10"/>
        <v>0</v>
      </c>
      <c r="AV33" s="775" t="str">
        <f t="shared" si="11"/>
        <v/>
      </c>
      <c r="AW33" s="774" t="b">
        <f t="shared" si="12"/>
        <v>0</v>
      </c>
      <c r="AX33" s="776" t="b">
        <f t="shared" si="13"/>
        <v>0</v>
      </c>
      <c r="AY33" s="774" t="b">
        <f t="shared" si="14"/>
        <v>0</v>
      </c>
      <c r="AZ33" s="776" t="b">
        <f t="shared" si="15"/>
        <v>0</v>
      </c>
      <c r="BA33" s="768" t="b">
        <f t="shared" si="16"/>
        <v>0</v>
      </c>
      <c r="BB33" s="768" t="b">
        <f t="shared" si="17"/>
        <v>0</v>
      </c>
      <c r="BC33" s="774" t="b">
        <f t="shared" si="18"/>
        <v>0</v>
      </c>
      <c r="BD33" s="777" t="b">
        <f t="shared" si="31"/>
        <v>0</v>
      </c>
      <c r="BE33" s="776" t="b">
        <f t="shared" si="37"/>
        <v>0</v>
      </c>
      <c r="BF33" s="778" t="b">
        <f t="shared" ref="BF33:BF40" si="39">IF(OR(ISNA($Z33),H33&lt;&gt;"NG"),FALSE,IF(AND(J33="NA",K33&lt;&gt;""),TRUE,FALSE))</f>
        <v>0</v>
      </c>
      <c r="BG33" s="779" t="str">
        <f t="shared" si="38"/>
        <v>NA</v>
      </c>
      <c r="BH33" s="779" t="str">
        <f t="shared" si="32"/>
        <v/>
      </c>
      <c r="BI33" s="779" t="str">
        <f t="shared" si="22"/>
        <v/>
      </c>
      <c r="BJ33" s="779" t="str">
        <f t="shared" si="23"/>
        <v/>
      </c>
      <c r="BK33" s="779" t="str">
        <f t="shared" si="24"/>
        <v/>
      </c>
      <c r="BL33" s="780" t="str">
        <f t="shared" si="33"/>
        <v/>
      </c>
      <c r="BM33" s="779" t="str">
        <f t="shared" si="25"/>
        <v/>
      </c>
      <c r="BN33" s="779" t="str">
        <f t="shared" si="26"/>
        <v/>
      </c>
      <c r="BO33" s="787" t="s">
        <v>370</v>
      </c>
      <c r="BP33" s="792" t="s">
        <v>371</v>
      </c>
    </row>
    <row r="34" spans="2:75 1271:1271" s="731" customFormat="1" ht="12.95" customHeight="1" x14ac:dyDescent="0.25">
      <c r="B34" s="783" t="str">
        <f>IF(ISNA(Z34),"",IF(OR(Z34=1,Z34=2),"    ",MAX($B$9:B33)+1))</f>
        <v/>
      </c>
      <c r="C34" s="1116" t="str">
        <f t="shared" si="0"/>
        <v/>
      </c>
      <c r="D34" s="1116"/>
      <c r="E34" s="1116"/>
      <c r="F34" s="1117"/>
      <c r="G34" s="763" t="str">
        <f t="shared" si="1"/>
        <v/>
      </c>
      <c r="H34" s="764" t="str">
        <f t="shared" si="2"/>
        <v/>
      </c>
      <c r="I34" s="784" t="str">
        <f t="shared" si="2"/>
        <v/>
      </c>
      <c r="J34" s="793"/>
      <c r="K34" s="794"/>
      <c r="L34" s="1134"/>
      <c r="M34" s="1135"/>
      <c r="N34" s="1135"/>
      <c r="O34" s="1135"/>
      <c r="P34" s="1135"/>
      <c r="Q34" s="1135"/>
      <c r="R34" s="1136"/>
      <c r="T34" s="727">
        <v>26</v>
      </c>
      <c r="U34" s="716" t="e">
        <v>#N/A</v>
      </c>
      <c r="V34" s="768" t="e">
        <v>#N/A</v>
      </c>
      <c r="W34" s="768" t="e">
        <v>#N/A</v>
      </c>
      <c r="X34" s="768" t="e">
        <v>#N/A</v>
      </c>
      <c r="Y34" s="768" t="e">
        <v>#N/A</v>
      </c>
      <c r="Z34" s="777" t="e">
        <v>#N/A</v>
      </c>
      <c r="AA34" s="777" t="e">
        <v>#N/A</v>
      </c>
      <c r="AB34" s="777" t="e">
        <v>#N/A</v>
      </c>
      <c r="AC34" s="768" t="e">
        <v>#N/A</v>
      </c>
      <c r="AD34" s="768" t="e">
        <v>#N/A</v>
      </c>
      <c r="AE34" s="768" t="e">
        <v>#N/A</v>
      </c>
      <c r="AF34" s="768" t="e">
        <v>#N/A</v>
      </c>
      <c r="AG34" s="768" t="e">
        <f t="shared" si="3"/>
        <v>#N/A</v>
      </c>
      <c r="AH34" s="768" t="str">
        <f t="shared" si="4"/>
        <v/>
      </c>
      <c r="AI34" s="769" t="e">
        <f>IF(NOT(OR(Z34=1,Z34=2)),IF(AQ34&gt;0,$AR$45*AQ34/SUMIF($AQ$9:$AQ$40,"&gt;0"),IF(AU34&gt;0,$AV$45*AU34/SUMIF($AU$9:$AU$40,"&gt;0"),IF(AS34&gt;0,$AT$45*AS34/SUMIF($AS$9:$AS$40,"&gt;0"),""))),IF(SUMIF(AJ35:$AJ$40,"=" &amp; AJ34,AI35:$AI$40)=0,"",SUMIF(AJ35:$AJ$40,"=" &amp; AJ34,AI35:$AI$40)))</f>
        <v>#N/A</v>
      </c>
      <c r="AJ34" s="770" t="e">
        <f t="shared" si="34"/>
        <v>#N/A</v>
      </c>
      <c r="AK34" s="768" t="str">
        <f t="shared" si="27"/>
        <v/>
      </c>
      <c r="AL34" s="777" t="str">
        <f t="shared" si="28"/>
        <v/>
      </c>
      <c r="AM34" s="777" t="str">
        <f t="shared" si="35"/>
        <v/>
      </c>
      <c r="AN34" s="777" t="str">
        <f t="shared" si="5"/>
        <v/>
      </c>
      <c r="AO34" s="777" t="e">
        <f t="shared" si="6"/>
        <v>#N/A</v>
      </c>
      <c r="AP34" s="768" t="str">
        <f t="shared" si="7"/>
        <v/>
      </c>
      <c r="AQ34" s="771">
        <f t="shared" si="29"/>
        <v>0</v>
      </c>
      <c r="AR34" s="772" t="str">
        <f t="shared" si="8"/>
        <v/>
      </c>
      <c r="AS34" s="773">
        <f t="shared" si="30"/>
        <v>0</v>
      </c>
      <c r="AT34" s="772" t="str">
        <f t="shared" si="9"/>
        <v/>
      </c>
      <c r="AU34" s="774">
        <f t="shared" si="10"/>
        <v>0</v>
      </c>
      <c r="AV34" s="775" t="str">
        <f t="shared" si="11"/>
        <v/>
      </c>
      <c r="AW34" s="774" t="b">
        <f t="shared" si="12"/>
        <v>0</v>
      </c>
      <c r="AX34" s="776" t="b">
        <f t="shared" si="13"/>
        <v>0</v>
      </c>
      <c r="AY34" s="774" t="b">
        <f t="shared" si="14"/>
        <v>0</v>
      </c>
      <c r="AZ34" s="776" t="b">
        <f t="shared" si="15"/>
        <v>0</v>
      </c>
      <c r="BA34" s="768" t="b">
        <f t="shared" si="16"/>
        <v>0</v>
      </c>
      <c r="BB34" s="768" t="b">
        <f t="shared" si="17"/>
        <v>0</v>
      </c>
      <c r="BC34" s="774" t="b">
        <f t="shared" si="18"/>
        <v>0</v>
      </c>
      <c r="BD34" s="777" t="b">
        <f t="shared" si="31"/>
        <v>0</v>
      </c>
      <c r="BE34" s="776" t="b">
        <f t="shared" si="37"/>
        <v>0</v>
      </c>
      <c r="BF34" s="778" t="b">
        <f t="shared" si="39"/>
        <v>0</v>
      </c>
      <c r="BG34" s="779" t="str">
        <f t="shared" si="38"/>
        <v>NA</v>
      </c>
      <c r="BH34" s="779" t="str">
        <f t="shared" si="32"/>
        <v/>
      </c>
      <c r="BI34" s="779" t="str">
        <f t="shared" si="22"/>
        <v/>
      </c>
      <c r="BJ34" s="779" t="str">
        <f t="shared" si="23"/>
        <v/>
      </c>
      <c r="BK34" s="779" t="str">
        <f t="shared" si="24"/>
        <v/>
      </c>
      <c r="BL34" s="780" t="str">
        <f t="shared" si="33"/>
        <v/>
      </c>
      <c r="BM34" s="779" t="str">
        <f t="shared" si="25"/>
        <v/>
      </c>
      <c r="BN34" s="779" t="str">
        <f t="shared" si="26"/>
        <v/>
      </c>
      <c r="BO34" s="782" t="s">
        <v>372</v>
      </c>
      <c r="BP34" s="792"/>
      <c r="BQ34" s="792"/>
      <c r="BR34" s="792"/>
      <c r="BS34" s="792"/>
      <c r="BT34" s="792"/>
      <c r="BU34" s="792"/>
    </row>
    <row r="35" spans="2:75 1271:1271" s="731" customFormat="1" ht="12.95" customHeight="1" x14ac:dyDescent="0.25">
      <c r="B35" s="783" t="str">
        <f>IF(ISNA(Z35),"",IF(OR(Z35=1,Z35=2),"    ",MAX($B$9:B34)+1))</f>
        <v/>
      </c>
      <c r="C35" s="1116" t="str">
        <f t="shared" si="0"/>
        <v/>
      </c>
      <c r="D35" s="1116"/>
      <c r="E35" s="1116"/>
      <c r="F35" s="1117"/>
      <c r="G35" s="763" t="str">
        <f t="shared" si="1"/>
        <v/>
      </c>
      <c r="H35" s="764" t="str">
        <f t="shared" si="2"/>
        <v/>
      </c>
      <c r="I35" s="784" t="str">
        <f t="shared" si="2"/>
        <v/>
      </c>
      <c r="J35" s="793"/>
      <c r="K35" s="794"/>
      <c r="L35" s="1134"/>
      <c r="M35" s="1135"/>
      <c r="N35" s="1135"/>
      <c r="O35" s="1135"/>
      <c r="P35" s="1135"/>
      <c r="Q35" s="1135"/>
      <c r="R35" s="1136"/>
      <c r="T35" s="727">
        <v>27</v>
      </c>
      <c r="U35" s="716" t="e">
        <v>#N/A</v>
      </c>
      <c r="V35" s="768" t="e">
        <v>#N/A</v>
      </c>
      <c r="W35" s="768" t="e">
        <v>#N/A</v>
      </c>
      <c r="X35" s="768" t="e">
        <v>#N/A</v>
      </c>
      <c r="Y35" s="768" t="e">
        <v>#N/A</v>
      </c>
      <c r="Z35" s="777" t="e">
        <v>#N/A</v>
      </c>
      <c r="AA35" s="777" t="e">
        <v>#N/A</v>
      </c>
      <c r="AB35" s="777" t="e">
        <v>#N/A</v>
      </c>
      <c r="AC35" s="768" t="e">
        <v>#N/A</v>
      </c>
      <c r="AD35" s="768" t="e">
        <v>#N/A</v>
      </c>
      <c r="AE35" s="768" t="e">
        <v>#N/A</v>
      </c>
      <c r="AF35" s="768" t="e">
        <v>#N/A</v>
      </c>
      <c r="AG35" s="768" t="e">
        <f t="shared" si="3"/>
        <v>#N/A</v>
      </c>
      <c r="AH35" s="768" t="str">
        <f t="shared" si="4"/>
        <v/>
      </c>
      <c r="AI35" s="769" t="e">
        <f>IF(NOT(OR(Z35=1,Z35=2)),IF(AQ35&gt;0,$AR$45*AQ35/SUMIF($AQ$9:$AQ$40,"&gt;0"),IF(AU35&gt;0,$AV$45*AU35/SUMIF($AU$9:$AU$40,"&gt;0"),IF(AS35&gt;0,$AT$45*AS35/SUMIF($AS$9:$AS$40,"&gt;0"),""))),IF(SUMIF(AJ36:$AJ$40,"=" &amp; AJ35,AI36:$AI$40)=0,"",SUMIF(AJ36:$AJ$40,"=" &amp; AJ35,AI36:$AI$40)))</f>
        <v>#N/A</v>
      </c>
      <c r="AJ35" s="770" t="e">
        <f t="shared" si="34"/>
        <v>#N/A</v>
      </c>
      <c r="AK35" s="768" t="str">
        <f t="shared" si="27"/>
        <v/>
      </c>
      <c r="AL35" s="777" t="str">
        <f t="shared" si="28"/>
        <v/>
      </c>
      <c r="AM35" s="777" t="str">
        <f t="shared" si="35"/>
        <v/>
      </c>
      <c r="AN35" s="777" t="str">
        <f t="shared" si="5"/>
        <v/>
      </c>
      <c r="AO35" s="777" t="e">
        <f t="shared" si="6"/>
        <v>#N/A</v>
      </c>
      <c r="AP35" s="768" t="str">
        <f t="shared" si="7"/>
        <v/>
      </c>
      <c r="AQ35" s="771">
        <f t="shared" si="29"/>
        <v>0</v>
      </c>
      <c r="AR35" s="772" t="str">
        <f t="shared" si="8"/>
        <v/>
      </c>
      <c r="AS35" s="773">
        <f t="shared" si="30"/>
        <v>0</v>
      </c>
      <c r="AT35" s="772" t="str">
        <f t="shared" si="9"/>
        <v/>
      </c>
      <c r="AU35" s="774">
        <f t="shared" si="10"/>
        <v>0</v>
      </c>
      <c r="AV35" s="775" t="str">
        <f t="shared" si="11"/>
        <v/>
      </c>
      <c r="AW35" s="774" t="b">
        <f t="shared" si="12"/>
        <v>0</v>
      </c>
      <c r="AX35" s="776" t="b">
        <f t="shared" si="13"/>
        <v>0</v>
      </c>
      <c r="AY35" s="774" t="b">
        <f t="shared" si="14"/>
        <v>0</v>
      </c>
      <c r="AZ35" s="776" t="b">
        <f t="shared" si="15"/>
        <v>0</v>
      </c>
      <c r="BA35" s="768" t="b">
        <f t="shared" si="16"/>
        <v>0</v>
      </c>
      <c r="BB35" s="768" t="b">
        <f t="shared" si="17"/>
        <v>0</v>
      </c>
      <c r="BC35" s="774" t="b">
        <f t="shared" si="18"/>
        <v>0</v>
      </c>
      <c r="BD35" s="777" t="b">
        <f t="shared" si="31"/>
        <v>0</v>
      </c>
      <c r="BE35" s="776" t="b">
        <f t="shared" si="37"/>
        <v>0</v>
      </c>
      <c r="BF35" s="778" t="b">
        <f t="shared" si="39"/>
        <v>0</v>
      </c>
      <c r="BG35" s="779" t="str">
        <f t="shared" si="38"/>
        <v>NA</v>
      </c>
      <c r="BH35" s="779" t="str">
        <f t="shared" si="32"/>
        <v/>
      </c>
      <c r="BI35" s="779" t="str">
        <f t="shared" si="22"/>
        <v/>
      </c>
      <c r="BJ35" s="779" t="str">
        <f t="shared" si="23"/>
        <v/>
      </c>
      <c r="BK35" s="779" t="str">
        <f t="shared" si="24"/>
        <v/>
      </c>
      <c r="BL35" s="780" t="str">
        <f t="shared" si="33"/>
        <v/>
      </c>
      <c r="BM35" s="779" t="str">
        <f t="shared" si="25"/>
        <v/>
      </c>
      <c r="BN35" s="779" t="str">
        <f t="shared" si="26"/>
        <v/>
      </c>
      <c r="BO35" s="1142"/>
      <c r="BP35" s="1143"/>
      <c r="BQ35" s="1143"/>
      <c r="BR35" s="1143"/>
      <c r="BS35" s="1143"/>
      <c r="BT35" s="1143"/>
      <c r="BU35" s="1144"/>
      <c r="BV35" s="806" t="s">
        <v>978</v>
      </c>
      <c r="BW35" s="715"/>
    </row>
    <row r="36" spans="2:75 1271:1271" s="731" customFormat="1" ht="12.95" customHeight="1" x14ac:dyDescent="0.25">
      <c r="B36" s="783" t="str">
        <f>IF(ISNA(Z36),"",IF(OR(Z36=1,Z36=2),"    ",MAX($B$9:B35)+1))</f>
        <v/>
      </c>
      <c r="C36" s="1116" t="str">
        <f t="shared" si="0"/>
        <v/>
      </c>
      <c r="D36" s="1116"/>
      <c r="E36" s="1116"/>
      <c r="F36" s="1117"/>
      <c r="G36" s="763" t="str">
        <f t="shared" si="1"/>
        <v/>
      </c>
      <c r="H36" s="764" t="str">
        <f t="shared" si="2"/>
        <v/>
      </c>
      <c r="I36" s="784" t="str">
        <f t="shared" si="2"/>
        <v/>
      </c>
      <c r="J36" s="793"/>
      <c r="K36" s="794"/>
      <c r="L36" s="1134"/>
      <c r="M36" s="1135"/>
      <c r="N36" s="1135"/>
      <c r="O36" s="1135"/>
      <c r="P36" s="1135"/>
      <c r="Q36" s="1135"/>
      <c r="R36" s="1136"/>
      <c r="T36" s="727">
        <v>28</v>
      </c>
      <c r="U36" s="716" t="e">
        <v>#N/A</v>
      </c>
      <c r="V36" s="768" t="e">
        <v>#N/A</v>
      </c>
      <c r="W36" s="768" t="e">
        <v>#N/A</v>
      </c>
      <c r="X36" s="768" t="e">
        <v>#N/A</v>
      </c>
      <c r="Y36" s="768" t="e">
        <v>#N/A</v>
      </c>
      <c r="Z36" s="777" t="e">
        <v>#N/A</v>
      </c>
      <c r="AA36" s="777" t="e">
        <v>#N/A</v>
      </c>
      <c r="AB36" s="777" t="e">
        <v>#N/A</v>
      </c>
      <c r="AC36" s="768" t="e">
        <v>#N/A</v>
      </c>
      <c r="AD36" s="768" t="e">
        <v>#N/A</v>
      </c>
      <c r="AE36" s="768" t="e">
        <v>#N/A</v>
      </c>
      <c r="AF36" s="768" t="e">
        <v>#N/A</v>
      </c>
      <c r="AG36" s="768" t="e">
        <f t="shared" si="3"/>
        <v>#N/A</v>
      </c>
      <c r="AH36" s="768" t="str">
        <f t="shared" si="4"/>
        <v/>
      </c>
      <c r="AI36" s="769" t="e">
        <f>IF(NOT(OR(Z36=1,Z36=2)),IF(AQ36&gt;0,$AR$45*AQ36/SUMIF($AQ$9:$AQ$40,"&gt;0"),IF(AU36&gt;0,$AV$45*AU36/SUMIF($AU$9:$AU$40,"&gt;0"),IF(AS36&gt;0,$AT$45*AS36/SUMIF($AS$9:$AS$40,"&gt;0"),""))),IF(SUMIF(AJ37:$AJ$40,"=" &amp; AJ36,AI37:$AI$40)=0,"",SUMIF(AJ37:$AJ$40,"=" &amp; AJ36,AI37:$AI$40)))</f>
        <v>#N/A</v>
      </c>
      <c r="AJ36" s="770" t="e">
        <f t="shared" si="34"/>
        <v>#N/A</v>
      </c>
      <c r="AK36" s="768" t="str">
        <f t="shared" si="27"/>
        <v/>
      </c>
      <c r="AL36" s="777" t="str">
        <f t="shared" si="28"/>
        <v/>
      </c>
      <c r="AM36" s="777" t="str">
        <f t="shared" si="35"/>
        <v/>
      </c>
      <c r="AN36" s="777" t="str">
        <f t="shared" si="5"/>
        <v/>
      </c>
      <c r="AO36" s="777" t="e">
        <f t="shared" si="6"/>
        <v>#N/A</v>
      </c>
      <c r="AP36" s="768" t="str">
        <f t="shared" si="7"/>
        <v/>
      </c>
      <c r="AQ36" s="771">
        <f t="shared" si="29"/>
        <v>0</v>
      </c>
      <c r="AR36" s="772" t="str">
        <f t="shared" si="8"/>
        <v/>
      </c>
      <c r="AS36" s="773">
        <f t="shared" si="30"/>
        <v>0</v>
      </c>
      <c r="AT36" s="772" t="str">
        <f t="shared" si="9"/>
        <v/>
      </c>
      <c r="AU36" s="774">
        <f t="shared" si="10"/>
        <v>0</v>
      </c>
      <c r="AV36" s="775" t="str">
        <f t="shared" si="11"/>
        <v/>
      </c>
      <c r="AW36" s="774" t="b">
        <f t="shared" si="12"/>
        <v>0</v>
      </c>
      <c r="AX36" s="776" t="b">
        <f t="shared" si="13"/>
        <v>0</v>
      </c>
      <c r="AY36" s="774" t="b">
        <f t="shared" si="14"/>
        <v>0</v>
      </c>
      <c r="AZ36" s="776" t="b">
        <f t="shared" si="15"/>
        <v>0</v>
      </c>
      <c r="BA36" s="768" t="b">
        <f t="shared" si="16"/>
        <v>0</v>
      </c>
      <c r="BB36" s="768" t="b">
        <f t="shared" si="17"/>
        <v>0</v>
      </c>
      <c r="BC36" s="774" t="b">
        <f t="shared" si="18"/>
        <v>0</v>
      </c>
      <c r="BD36" s="777" t="b">
        <f t="shared" si="31"/>
        <v>0</v>
      </c>
      <c r="BE36" s="776" t="b">
        <f t="shared" si="37"/>
        <v>0</v>
      </c>
      <c r="BF36" s="778" t="b">
        <f t="shared" si="39"/>
        <v>0</v>
      </c>
      <c r="BG36" s="779" t="str">
        <f t="shared" si="38"/>
        <v>NA</v>
      </c>
      <c r="BH36" s="779" t="str">
        <f t="shared" si="32"/>
        <v/>
      </c>
      <c r="BI36" s="779" t="str">
        <f t="shared" si="22"/>
        <v/>
      </c>
      <c r="BJ36" s="779" t="str">
        <f t="shared" si="23"/>
        <v/>
      </c>
      <c r="BK36" s="779" t="str">
        <f t="shared" si="24"/>
        <v/>
      </c>
      <c r="BL36" s="780" t="str">
        <f t="shared" si="33"/>
        <v/>
      </c>
      <c r="BM36" s="779" t="str">
        <f t="shared" si="25"/>
        <v/>
      </c>
      <c r="BN36" s="779" t="str">
        <f t="shared" si="26"/>
        <v/>
      </c>
      <c r="BO36" s="1145"/>
      <c r="BP36" s="1146"/>
      <c r="BQ36" s="1146"/>
      <c r="BR36" s="1146"/>
      <c r="BS36" s="1146"/>
      <c r="BT36" s="1146"/>
      <c r="BU36" s="1147"/>
      <c r="BW36" s="807" t="s">
        <v>979</v>
      </c>
    </row>
    <row r="37" spans="2:75 1271:1271" s="731" customFormat="1" ht="12.95" customHeight="1" x14ac:dyDescent="0.25">
      <c r="B37" s="783" t="str">
        <f>IF(ISNA(Z37),"",IF(OR(Z37=1,Z37=2),"    ",MAX($B$9:B36)+1))</f>
        <v/>
      </c>
      <c r="C37" s="1116" t="str">
        <f t="shared" si="0"/>
        <v/>
      </c>
      <c r="D37" s="1116"/>
      <c r="E37" s="1116"/>
      <c r="F37" s="1117"/>
      <c r="G37" s="763" t="str">
        <f t="shared" si="1"/>
        <v/>
      </c>
      <c r="H37" s="764" t="str">
        <f t="shared" si="2"/>
        <v/>
      </c>
      <c r="I37" s="784" t="str">
        <f t="shared" si="2"/>
        <v/>
      </c>
      <c r="J37" s="793"/>
      <c r="K37" s="794"/>
      <c r="L37" s="1134"/>
      <c r="M37" s="1135"/>
      <c r="N37" s="1135"/>
      <c r="O37" s="1135"/>
      <c r="P37" s="1135"/>
      <c r="Q37" s="1135"/>
      <c r="R37" s="1136"/>
      <c r="T37" s="727">
        <v>29</v>
      </c>
      <c r="U37" s="716" t="e">
        <v>#N/A</v>
      </c>
      <c r="V37" s="768" t="e">
        <v>#N/A</v>
      </c>
      <c r="W37" s="768" t="e">
        <v>#N/A</v>
      </c>
      <c r="X37" s="768" t="e">
        <v>#N/A</v>
      </c>
      <c r="Y37" s="768" t="e">
        <v>#N/A</v>
      </c>
      <c r="Z37" s="777" t="e">
        <v>#N/A</v>
      </c>
      <c r="AA37" s="777" t="e">
        <v>#N/A</v>
      </c>
      <c r="AB37" s="777" t="e">
        <v>#N/A</v>
      </c>
      <c r="AC37" s="768" t="e">
        <v>#N/A</v>
      </c>
      <c r="AD37" s="768" t="e">
        <v>#N/A</v>
      </c>
      <c r="AE37" s="768" t="e">
        <v>#N/A</v>
      </c>
      <c r="AF37" s="768" t="e">
        <v>#N/A</v>
      </c>
      <c r="AG37" s="768" t="e">
        <f t="shared" si="3"/>
        <v>#N/A</v>
      </c>
      <c r="AH37" s="768" t="str">
        <f t="shared" si="4"/>
        <v/>
      </c>
      <c r="AI37" s="769" t="e">
        <f>IF(NOT(OR(Z37=1,Z37=2)),IF(AQ37&gt;0,$AR$45*AQ37/SUMIF($AQ$9:$AQ$40,"&gt;0"),IF(AU37&gt;0,$AV$45*AU37/SUMIF($AU$9:$AU$40,"&gt;0"),IF(AS37&gt;0,$AT$45*AS37/SUMIF($AS$9:$AS$40,"&gt;0"),""))),IF(SUMIF(AJ38:$AJ$40,"=" &amp; AJ37,AI38:$AI$40)=0,"",SUMIF(AJ38:$AJ$40,"=" &amp; AJ37,AI38:$AI$40)))</f>
        <v>#N/A</v>
      </c>
      <c r="AJ37" s="770" t="e">
        <f t="shared" si="34"/>
        <v>#N/A</v>
      </c>
      <c r="AK37" s="768" t="str">
        <f t="shared" si="27"/>
        <v/>
      </c>
      <c r="AL37" s="777" t="str">
        <f t="shared" si="28"/>
        <v/>
      </c>
      <c r="AM37" s="777" t="str">
        <f t="shared" si="35"/>
        <v/>
      </c>
      <c r="AN37" s="777" t="str">
        <f t="shared" si="5"/>
        <v/>
      </c>
      <c r="AO37" s="777" t="e">
        <f t="shared" si="6"/>
        <v>#N/A</v>
      </c>
      <c r="AP37" s="768" t="str">
        <f t="shared" si="7"/>
        <v/>
      </c>
      <c r="AQ37" s="771">
        <f t="shared" si="29"/>
        <v>0</v>
      </c>
      <c r="AR37" s="772" t="str">
        <f t="shared" si="8"/>
        <v/>
      </c>
      <c r="AS37" s="773">
        <f t="shared" si="30"/>
        <v>0</v>
      </c>
      <c r="AT37" s="772" t="str">
        <f t="shared" si="9"/>
        <v/>
      </c>
      <c r="AU37" s="774">
        <f t="shared" si="10"/>
        <v>0</v>
      </c>
      <c r="AV37" s="775" t="str">
        <f t="shared" si="11"/>
        <v/>
      </c>
      <c r="AW37" s="774" t="b">
        <f t="shared" si="12"/>
        <v>0</v>
      </c>
      <c r="AX37" s="776" t="b">
        <f t="shared" si="13"/>
        <v>0</v>
      </c>
      <c r="AY37" s="774" t="b">
        <f t="shared" si="14"/>
        <v>0</v>
      </c>
      <c r="AZ37" s="776" t="b">
        <f t="shared" si="15"/>
        <v>0</v>
      </c>
      <c r="BA37" s="768" t="b">
        <f t="shared" si="16"/>
        <v>0</v>
      </c>
      <c r="BB37" s="768" t="b">
        <f t="shared" si="17"/>
        <v>0</v>
      </c>
      <c r="BC37" s="774" t="b">
        <f t="shared" si="18"/>
        <v>0</v>
      </c>
      <c r="BD37" s="777" t="b">
        <f t="shared" si="31"/>
        <v>0</v>
      </c>
      <c r="BE37" s="776" t="b">
        <f t="shared" si="37"/>
        <v>0</v>
      </c>
      <c r="BF37" s="778" t="b">
        <f t="shared" si="39"/>
        <v>0</v>
      </c>
      <c r="BG37" s="779" t="str">
        <f t="shared" si="38"/>
        <v>NA</v>
      </c>
      <c r="BH37" s="779" t="str">
        <f t="shared" si="32"/>
        <v/>
      </c>
      <c r="BI37" s="779" t="str">
        <f t="shared" si="22"/>
        <v/>
      </c>
      <c r="BJ37" s="779" t="str">
        <f t="shared" si="23"/>
        <v/>
      </c>
      <c r="BK37" s="779" t="str">
        <f t="shared" si="24"/>
        <v/>
      </c>
      <c r="BL37" s="780" t="str">
        <f t="shared" si="33"/>
        <v/>
      </c>
      <c r="BM37" s="779" t="str">
        <f t="shared" si="25"/>
        <v/>
      </c>
      <c r="BN37" s="779" t="str">
        <f t="shared" si="26"/>
        <v/>
      </c>
      <c r="BO37" s="1145"/>
      <c r="BP37" s="1146"/>
      <c r="BQ37" s="1146"/>
      <c r="BR37" s="1146"/>
      <c r="BS37" s="1146"/>
      <c r="BT37" s="1146"/>
      <c r="BU37" s="1147"/>
      <c r="BW37" s="807" t="s">
        <v>980</v>
      </c>
    </row>
    <row r="38" spans="2:75 1271:1271" s="731" customFormat="1" ht="12.95" customHeight="1" x14ac:dyDescent="0.25">
      <c r="B38" s="783" t="str">
        <f>IF(ISNA(Z38),"",IF(OR(Z38=1,Z38=2),"    ",MAX($B$9:B37)+1))</f>
        <v/>
      </c>
      <c r="C38" s="1116" t="str">
        <f>IF(ISNA(Z38),"",CONCATENATE($U38,IF(ISNUMBER(AI38),TEXT(ROUND($AI38,3)," (0.0%)"),""),IF(AU38&gt;0," Bonus","")))</f>
        <v/>
      </c>
      <c r="D38" s="1116"/>
      <c r="E38" s="1116"/>
      <c r="F38" s="1117"/>
      <c r="G38" s="763" t="str">
        <f t="shared" si="1"/>
        <v/>
      </c>
      <c r="H38" s="764" t="str">
        <f t="shared" si="2"/>
        <v/>
      </c>
      <c r="I38" s="784" t="str">
        <f t="shared" si="2"/>
        <v/>
      </c>
      <c r="J38" s="793"/>
      <c r="K38" s="794"/>
      <c r="L38" s="1134"/>
      <c r="M38" s="1135"/>
      <c r="N38" s="1135"/>
      <c r="O38" s="1135"/>
      <c r="P38" s="1135"/>
      <c r="Q38" s="1135"/>
      <c r="R38" s="1136"/>
      <c r="T38" s="727">
        <v>30</v>
      </c>
      <c r="U38" s="716" t="e">
        <v>#N/A</v>
      </c>
      <c r="V38" s="768" t="e">
        <v>#N/A</v>
      </c>
      <c r="W38" s="768" t="e">
        <v>#N/A</v>
      </c>
      <c r="X38" s="768" t="e">
        <v>#N/A</v>
      </c>
      <c r="Y38" s="768" t="e">
        <v>#N/A</v>
      </c>
      <c r="Z38" s="777" t="e">
        <v>#N/A</v>
      </c>
      <c r="AA38" s="777" t="e">
        <v>#N/A</v>
      </c>
      <c r="AB38" s="777" t="e">
        <v>#N/A</v>
      </c>
      <c r="AC38" s="768" t="e">
        <v>#N/A</v>
      </c>
      <c r="AD38" s="768" t="e">
        <v>#N/A</v>
      </c>
      <c r="AE38" s="768" t="e">
        <v>#N/A</v>
      </c>
      <c r="AF38" s="768" t="e">
        <v>#N/A</v>
      </c>
      <c r="AG38" s="768" t="e">
        <f t="shared" si="3"/>
        <v>#N/A</v>
      </c>
      <c r="AH38" s="768" t="str">
        <f t="shared" si="4"/>
        <v/>
      </c>
      <c r="AI38" s="769" t="e">
        <f>IF(NOT(OR(Z38=1,Z38=2)),IF(AQ38&gt;0,$AR$45*AQ38/SUMIF($AQ$9:$AQ$40,"&gt;0"),IF(AU38&gt;0,$AV$45*AU38/SUMIF($AU$9:$AU$40,"&gt;0"),IF(AS38&gt;0,$AT$45*AS38/SUMIF($AS$9:$AS$40,"&gt;0"),""))),IF(SUMIF(AJ39:$AJ$40,"=" &amp; AJ38,AI39:$AI$40)=0,"",SUMIF(AJ39:$AJ$40,"=" &amp; AJ38,AI39:$AI$40)))</f>
        <v>#N/A</v>
      </c>
      <c r="AJ38" s="770" t="e">
        <f t="shared" si="34"/>
        <v>#N/A</v>
      </c>
      <c r="AK38" s="768" t="str">
        <f t="shared" si="27"/>
        <v/>
      </c>
      <c r="AL38" s="777" t="str">
        <f t="shared" si="28"/>
        <v/>
      </c>
      <c r="AM38" s="777" t="str">
        <f t="shared" si="35"/>
        <v/>
      </c>
      <c r="AN38" s="777" t="str">
        <f>IF(ISNUMBER(AH38),IF(AND(AB38=0,ISNUMBER(AC38),ISNUMBER(AL38)),1,""),"")</f>
        <v/>
      </c>
      <c r="AO38" s="777" t="e">
        <f t="shared" si="6"/>
        <v>#N/A</v>
      </c>
      <c r="AP38" s="768" t="str">
        <f t="shared" si="7"/>
        <v/>
      </c>
      <c r="AQ38" s="771">
        <f t="shared" si="29"/>
        <v>0</v>
      </c>
      <c r="AR38" s="772" t="str">
        <f t="shared" si="8"/>
        <v/>
      </c>
      <c r="AS38" s="773">
        <f t="shared" si="30"/>
        <v>0</v>
      </c>
      <c r="AT38" s="772" t="str">
        <f t="shared" si="9"/>
        <v/>
      </c>
      <c r="AU38" s="774">
        <f t="shared" si="10"/>
        <v>0</v>
      </c>
      <c r="AV38" s="775" t="str">
        <f t="shared" si="11"/>
        <v/>
      </c>
      <c r="AW38" s="774" t="b">
        <f t="shared" si="12"/>
        <v>0</v>
      </c>
      <c r="AX38" s="776" t="b">
        <f t="shared" si="13"/>
        <v>0</v>
      </c>
      <c r="AY38" s="774" t="b">
        <f t="shared" si="14"/>
        <v>0</v>
      </c>
      <c r="AZ38" s="776" t="b">
        <f t="shared" si="15"/>
        <v>0</v>
      </c>
      <c r="BA38" s="768" t="b">
        <f t="shared" si="16"/>
        <v>0</v>
      </c>
      <c r="BB38" s="768" t="b">
        <f t="shared" si="17"/>
        <v>0</v>
      </c>
      <c r="BC38" s="774" t="b">
        <f t="shared" si="18"/>
        <v>0</v>
      </c>
      <c r="BD38" s="777" t="b">
        <f t="shared" si="31"/>
        <v>0</v>
      </c>
      <c r="BE38" s="776" t="b">
        <f t="shared" si="37"/>
        <v>0</v>
      </c>
      <c r="BF38" s="778" t="b">
        <f t="shared" si="39"/>
        <v>0</v>
      </c>
      <c r="BG38" s="779" t="str">
        <f t="shared" si="38"/>
        <v>NA</v>
      </c>
      <c r="BH38" s="779" t="str">
        <f t="shared" si="32"/>
        <v/>
      </c>
      <c r="BI38" s="779" t="str">
        <f t="shared" si="22"/>
        <v/>
      </c>
      <c r="BJ38" s="779" t="str">
        <f t="shared" si="23"/>
        <v/>
      </c>
      <c r="BK38" s="779" t="str">
        <f t="shared" si="24"/>
        <v/>
      </c>
      <c r="BL38" s="780" t="str">
        <f t="shared" si="33"/>
        <v/>
      </c>
      <c r="BM38" s="779" t="str">
        <f t="shared" si="25"/>
        <v/>
      </c>
      <c r="BN38" s="779" t="str">
        <f t="shared" si="26"/>
        <v/>
      </c>
      <c r="BO38" s="1148"/>
      <c r="BP38" s="1149"/>
      <c r="BQ38" s="1149"/>
      <c r="BR38" s="1149"/>
      <c r="BS38" s="1149"/>
      <c r="BT38" s="1149"/>
      <c r="BU38" s="1150"/>
      <c r="BW38" s="807" t="s">
        <v>981</v>
      </c>
    </row>
    <row r="39" spans="2:75 1271:1271" s="731" customFormat="1" ht="12.95" customHeight="1" x14ac:dyDescent="0.25">
      <c r="B39" s="783" t="str">
        <f>IF(ISNA(Z39),"",IF(OR(Z39=1,Z39=2),"    ",MAX($B$9:B38)+1))</f>
        <v/>
      </c>
      <c r="C39" s="1116" t="str">
        <f t="shared" ref="C39:C40" si="40">IF(ISNA(Z39),"",CONCATENATE($U39,IF(ISNUMBER(AI39),TEXT(ROUND($AI39,3)," (0.0%)"),""),IF(AU39&gt;0," Bonus","")))</f>
        <v/>
      </c>
      <c r="D39" s="1116"/>
      <c r="E39" s="1116"/>
      <c r="F39" s="1117"/>
      <c r="G39" s="763" t="str">
        <f t="shared" si="1"/>
        <v/>
      </c>
      <c r="H39" s="764" t="str">
        <f t="shared" si="2"/>
        <v/>
      </c>
      <c r="I39" s="784" t="str">
        <f t="shared" si="2"/>
        <v/>
      </c>
      <c r="J39" s="793"/>
      <c r="K39" s="794"/>
      <c r="L39" s="1134"/>
      <c r="M39" s="1135"/>
      <c r="N39" s="1135"/>
      <c r="O39" s="1135"/>
      <c r="P39" s="1135"/>
      <c r="Q39" s="1135"/>
      <c r="R39" s="1136"/>
      <c r="T39" s="727">
        <v>31</v>
      </c>
      <c r="U39" s="716" t="e">
        <v>#N/A</v>
      </c>
      <c r="V39" s="768" t="e">
        <v>#N/A</v>
      </c>
      <c r="W39" s="768" t="e">
        <v>#N/A</v>
      </c>
      <c r="X39" s="768" t="e">
        <v>#N/A</v>
      </c>
      <c r="Y39" s="768" t="e">
        <v>#N/A</v>
      </c>
      <c r="Z39" s="777" t="e">
        <v>#N/A</v>
      </c>
      <c r="AA39" s="777" t="e">
        <v>#N/A</v>
      </c>
      <c r="AB39" s="777" t="e">
        <v>#N/A</v>
      </c>
      <c r="AC39" s="768" t="e">
        <v>#N/A</v>
      </c>
      <c r="AD39" s="768" t="e">
        <v>#N/A</v>
      </c>
      <c r="AE39" s="768" t="e">
        <v>#N/A</v>
      </c>
      <c r="AF39" s="768" t="e">
        <v>#N/A</v>
      </c>
      <c r="AG39" s="768" t="e">
        <f t="shared" si="3"/>
        <v>#N/A</v>
      </c>
      <c r="AH39" s="768" t="str">
        <f t="shared" si="4"/>
        <v/>
      </c>
      <c r="AI39" s="769" t="e">
        <f>IF(NOT(OR(Z39=1,Z39=2)),IF(AQ39&gt;0,$AR$45*AQ39/SUMIF($AQ$9:$AQ$40,"&gt;0"),IF(AU39&gt;0,$AV$45*AU39/SUMIF($AU$9:$AU$40,"&gt;0"),IF(AS39&gt;0,$AT$45*AS39/SUMIF($AS$9:$AS$40,"&gt;0"),""))),IF(SUMIF(AJ40:$AJ$40,"=" &amp; AJ39,AI40:$AI$40)=0,"",SUMIF(AJ40:$AJ$40,"=" &amp; AJ39,AI40:$AI$40)))</f>
        <v>#N/A</v>
      </c>
      <c r="AJ39" s="770" t="e">
        <f t="shared" si="34"/>
        <v>#N/A</v>
      </c>
      <c r="AK39" s="768" t="str">
        <f t="shared" si="27"/>
        <v/>
      </c>
      <c r="AL39" s="777" t="str">
        <f t="shared" si="28"/>
        <v/>
      </c>
      <c r="AM39" s="777" t="str">
        <f t="shared" si="35"/>
        <v/>
      </c>
      <c r="AN39" s="777" t="str">
        <f>IF(ISNUMBER(AH39),IF(AND(AB39=0,ISNUMBER(AC39),ISNUMBER(AL39)),1,""),"")</f>
        <v/>
      </c>
      <c r="AO39" s="777" t="e">
        <f t="shared" si="6"/>
        <v>#N/A</v>
      </c>
      <c r="AP39" s="768" t="str">
        <f t="shared" si="7"/>
        <v/>
      </c>
      <c r="AQ39" s="771">
        <f t="shared" si="29"/>
        <v>0</v>
      </c>
      <c r="AR39" s="772" t="str">
        <f t="shared" si="8"/>
        <v/>
      </c>
      <c r="AS39" s="773">
        <f t="shared" si="30"/>
        <v>0</v>
      </c>
      <c r="AT39" s="772" t="str">
        <f t="shared" si="9"/>
        <v/>
      </c>
      <c r="AU39" s="774">
        <f t="shared" si="10"/>
        <v>0</v>
      </c>
      <c r="AV39" s="775" t="str">
        <f t="shared" si="11"/>
        <v/>
      </c>
      <c r="AW39" s="774" t="b">
        <f t="shared" si="12"/>
        <v>0</v>
      </c>
      <c r="AX39" s="776" t="b">
        <f t="shared" si="13"/>
        <v>0</v>
      </c>
      <c r="AY39" s="774" t="b">
        <f t="shared" si="14"/>
        <v>0</v>
      </c>
      <c r="AZ39" s="776" t="b">
        <f t="shared" si="15"/>
        <v>0</v>
      </c>
      <c r="BA39" s="768" t="b">
        <f t="shared" si="16"/>
        <v>0</v>
      </c>
      <c r="BB39" s="768" t="b">
        <f t="shared" si="17"/>
        <v>0</v>
      </c>
      <c r="BC39" s="774" t="b">
        <f t="shared" si="18"/>
        <v>0</v>
      </c>
      <c r="BD39" s="777" t="b">
        <f t="shared" si="31"/>
        <v>0</v>
      </c>
      <c r="BE39" s="776" t="b">
        <f t="shared" si="37"/>
        <v>0</v>
      </c>
      <c r="BF39" s="778" t="b">
        <f t="shared" si="39"/>
        <v>0</v>
      </c>
      <c r="BG39" s="779" t="str">
        <f t="shared" si="38"/>
        <v>NA</v>
      </c>
      <c r="BH39" s="779" t="str">
        <f t="shared" si="32"/>
        <v/>
      </c>
      <c r="BI39" s="779" t="str">
        <f t="shared" si="22"/>
        <v/>
      </c>
      <c r="BJ39" s="779" t="str">
        <f t="shared" si="23"/>
        <v/>
      </c>
      <c r="BK39" s="779" t="str">
        <f t="shared" si="24"/>
        <v/>
      </c>
      <c r="BL39" s="780" t="str">
        <f t="shared" si="33"/>
        <v/>
      </c>
      <c r="BM39" s="779" t="str">
        <f t="shared" si="25"/>
        <v/>
      </c>
      <c r="BN39" s="779" t="str">
        <f t="shared" si="26"/>
        <v/>
      </c>
      <c r="BO39" s="782" t="s">
        <v>373</v>
      </c>
      <c r="BP39" s="782"/>
      <c r="BQ39" s="782"/>
      <c r="BR39" s="782"/>
      <c r="BS39" s="782"/>
      <c r="BT39" s="782"/>
      <c r="BU39" s="782"/>
      <c r="BW39" s="807" t="s">
        <v>982</v>
      </c>
    </row>
    <row r="40" spans="2:75 1271:1271" s="731" customFormat="1" ht="12.95" customHeight="1" thickBot="1" x14ac:dyDescent="0.3">
      <c r="B40" s="783" t="str">
        <f>IF(ISNA(Z40),"",IF(OR(Z40=1,Z40=2),"    ",MAX($B$9:B39)+1))</f>
        <v/>
      </c>
      <c r="C40" s="1116" t="str">
        <f t="shared" si="40"/>
        <v/>
      </c>
      <c r="D40" s="1116"/>
      <c r="E40" s="1116"/>
      <c r="F40" s="1117"/>
      <c r="G40" s="808" t="str">
        <f t="shared" si="1"/>
        <v/>
      </c>
      <c r="H40" s="764" t="str">
        <f t="shared" si="2"/>
        <v/>
      </c>
      <c r="I40" s="809" t="str">
        <f t="shared" si="2"/>
        <v/>
      </c>
      <c r="J40" s="810"/>
      <c r="K40" s="811"/>
      <c r="L40" s="1137"/>
      <c r="M40" s="1138"/>
      <c r="N40" s="1138"/>
      <c r="O40" s="1138"/>
      <c r="P40" s="1138"/>
      <c r="Q40" s="1138"/>
      <c r="R40" s="1139"/>
      <c r="T40" s="727">
        <v>32</v>
      </c>
      <c r="U40" s="716" t="e">
        <v>#N/A</v>
      </c>
      <c r="V40" s="768" t="e">
        <v>#N/A</v>
      </c>
      <c r="W40" s="768" t="e">
        <v>#N/A</v>
      </c>
      <c r="X40" s="768" t="e">
        <v>#N/A</v>
      </c>
      <c r="Y40" s="768" t="e">
        <v>#N/A</v>
      </c>
      <c r="Z40" s="777" t="e">
        <v>#N/A</v>
      </c>
      <c r="AA40" s="777" t="e">
        <v>#N/A</v>
      </c>
      <c r="AB40" s="777" t="e">
        <v>#N/A</v>
      </c>
      <c r="AC40" s="768" t="e">
        <v>#N/A</v>
      </c>
      <c r="AD40" s="768" t="e">
        <v>#N/A</v>
      </c>
      <c r="AE40" s="768" t="e">
        <v>#N/A</v>
      </c>
      <c r="AF40" s="768" t="e">
        <v>#N/A</v>
      </c>
      <c r="AG40" s="768" t="e">
        <f t="shared" si="3"/>
        <v>#N/A</v>
      </c>
      <c r="AH40" s="768" t="str">
        <f t="shared" si="4"/>
        <v/>
      </c>
      <c r="AI40" s="769" t="e">
        <f>IF(NOT(OR(Z40=1,Z40=2)),IF(AQ40&gt;0,$AR$45*AQ40/SUMIF($AQ$9:$AQ$40,"&gt;0"),IF(AU40&gt;0,$AV$45*AU40/SUMIF($AU$9:$AU$40,"&gt;0"),IF(AS40&gt;0,$AT$45*AS40/SUMIF($AS$9:$AS$40,"&gt;0"),""))),IF(SUMIF(AJ$40:$AJ41,"=" &amp; AJ40,AI$40:$AI41)=0,"",SUMIF(AJ$40:$AJ41,"=" &amp; AJ40,AI$40:$AI41)))</f>
        <v>#N/A</v>
      </c>
      <c r="AJ40" s="770" t="e">
        <f t="shared" si="34"/>
        <v>#N/A</v>
      </c>
      <c r="AK40" s="768" t="str">
        <f t="shared" si="27"/>
        <v/>
      </c>
      <c r="AL40" s="777" t="str">
        <f t="shared" si="28"/>
        <v/>
      </c>
      <c r="AM40" s="777" t="str">
        <f t="shared" si="35"/>
        <v/>
      </c>
      <c r="AN40" s="777" t="str">
        <f>IF(ISNUMBER(AH40),IF(AND(AB40=0,ISNUMBER(AC40),ISNUMBER(AL40)),1,""),"")</f>
        <v/>
      </c>
      <c r="AO40" s="777" t="e">
        <f t="shared" si="6"/>
        <v>#N/A</v>
      </c>
      <c r="AP40" s="768" t="str">
        <f t="shared" si="7"/>
        <v/>
      </c>
      <c r="AQ40" s="771">
        <f t="shared" si="29"/>
        <v>0</v>
      </c>
      <c r="AR40" s="772" t="str">
        <f t="shared" si="8"/>
        <v/>
      </c>
      <c r="AS40" s="773">
        <f t="shared" si="30"/>
        <v>0</v>
      </c>
      <c r="AT40" s="772" t="str">
        <f t="shared" si="9"/>
        <v/>
      </c>
      <c r="AU40" s="774">
        <f t="shared" si="10"/>
        <v>0</v>
      </c>
      <c r="AV40" s="775" t="str">
        <f t="shared" si="11"/>
        <v/>
      </c>
      <c r="AW40" s="774" t="b">
        <f t="shared" si="12"/>
        <v>0</v>
      </c>
      <c r="AX40" s="776" t="b">
        <f t="shared" si="13"/>
        <v>0</v>
      </c>
      <c r="AY40" s="774" t="b">
        <f t="shared" si="14"/>
        <v>0</v>
      </c>
      <c r="AZ40" s="776" t="b">
        <f t="shared" si="15"/>
        <v>0</v>
      </c>
      <c r="BA40" s="768" t="b">
        <f t="shared" si="16"/>
        <v>0</v>
      </c>
      <c r="BB40" s="768" t="b">
        <f t="shared" si="17"/>
        <v>0</v>
      </c>
      <c r="BC40" s="774" t="b">
        <f t="shared" si="18"/>
        <v>0</v>
      </c>
      <c r="BD40" s="777" t="b">
        <f t="shared" si="31"/>
        <v>0</v>
      </c>
      <c r="BE40" s="776" t="b">
        <f t="shared" si="37"/>
        <v>0</v>
      </c>
      <c r="BF40" s="778" t="b">
        <f t="shared" si="39"/>
        <v>0</v>
      </c>
      <c r="BG40" s="779" t="str">
        <f t="shared" si="38"/>
        <v>NA</v>
      </c>
      <c r="BH40" s="779" t="str">
        <f t="shared" si="32"/>
        <v/>
      </c>
      <c r="BI40" s="779" t="str">
        <f t="shared" si="22"/>
        <v/>
      </c>
      <c r="BJ40" s="779" t="str">
        <f t="shared" si="23"/>
        <v/>
      </c>
      <c r="BK40" s="779" t="str">
        <f t="shared" si="24"/>
        <v/>
      </c>
      <c r="BL40" s="779" t="str">
        <f t="shared" si="33"/>
        <v/>
      </c>
      <c r="BM40" s="779" t="str">
        <f t="shared" si="25"/>
        <v/>
      </c>
      <c r="BN40" s="779" t="str">
        <f t="shared" si="26"/>
        <v/>
      </c>
      <c r="BO40" s="1142"/>
      <c r="BP40" s="1143"/>
      <c r="BQ40" s="1143"/>
      <c r="BR40" s="1143"/>
      <c r="BS40" s="1143"/>
      <c r="BT40" s="1143"/>
      <c r="BU40" s="1144"/>
    </row>
    <row r="41" spans="2:75 1271:1271" s="720" customFormat="1" ht="8.25" customHeight="1" x14ac:dyDescent="0.25">
      <c r="B41" s="1151" t="s">
        <v>374</v>
      </c>
      <c r="C41" s="1152"/>
      <c r="D41" s="1153"/>
      <c r="E41" s="812" t="s">
        <v>375</v>
      </c>
      <c r="F41" s="1154" t="s">
        <v>376</v>
      </c>
      <c r="G41" s="1155"/>
      <c r="H41" s="1155" t="s">
        <v>377</v>
      </c>
      <c r="I41" s="1155"/>
      <c r="J41" s="1156" t="s">
        <v>378</v>
      </c>
      <c r="K41" s="1157"/>
      <c r="L41" s="813" t="s">
        <v>379</v>
      </c>
      <c r="M41" s="1158" t="s">
        <v>380</v>
      </c>
      <c r="N41" s="1158"/>
      <c r="O41" s="1159" t="str">
        <f>IF(U45,"DO REVIEW","DO REV N/A")</f>
        <v>DO REV N/A</v>
      </c>
      <c r="P41" s="1160"/>
      <c r="Q41" s="814" t="str">
        <f>IF(U46,"ED REVIEW","ED REV N/A")</f>
        <v>ED REVIEW</v>
      </c>
      <c r="R41" s="815"/>
      <c r="S41" s="816">
        <v>0</v>
      </c>
      <c r="AI41" s="817"/>
      <c r="AJ41" s="721"/>
      <c r="AK41" s="721"/>
      <c r="AL41" s="721"/>
      <c r="AM41" s="721"/>
      <c r="AN41" s="721"/>
      <c r="AO41" s="718"/>
      <c r="AP41" s="721"/>
      <c r="AQ41" s="818"/>
      <c r="AR41" s="721"/>
      <c r="AS41" s="818"/>
      <c r="AT41" s="721"/>
      <c r="AU41" s="818"/>
      <c r="AV41" s="819"/>
      <c r="AW41" s="721"/>
      <c r="AX41" s="721"/>
      <c r="AY41" s="721"/>
      <c r="AZ41" s="721"/>
      <c r="BA41" s="721"/>
      <c r="BB41" s="721"/>
      <c r="BC41" s="721"/>
      <c r="BD41" s="721"/>
      <c r="BE41" s="721"/>
      <c r="BF41" s="721"/>
      <c r="BG41" s="721"/>
      <c r="BH41" s="718"/>
      <c r="BI41" s="718"/>
      <c r="BJ41" s="718"/>
      <c r="BK41" s="718"/>
      <c r="BL41" s="718"/>
      <c r="BM41" s="718"/>
      <c r="BN41" s="718"/>
      <c r="BO41" s="1145"/>
      <c r="BP41" s="1146"/>
      <c r="BQ41" s="1146"/>
      <c r="BR41" s="1146"/>
      <c r="BS41" s="1146"/>
      <c r="BT41" s="1146"/>
      <c r="BU41" s="1147"/>
    </row>
    <row r="42" spans="2:75 1271:1271" ht="18.75" customHeight="1" thickBot="1" x14ac:dyDescent="0.3">
      <c r="B42" s="1161" t="str">
        <f>IF(ISERROR(AR47),"",TEXT(AR46,"0.0%"))</f>
        <v>0.0%</v>
      </c>
      <c r="C42" s="1162"/>
      <c r="D42" s="1163"/>
      <c r="E42" s="820" t="str">
        <f>IF(AU42=0,"N/A",CONCATENATE(TEXT(AV46,"0.0%")," of ",TEXT(AV45,"0.0%")))</f>
        <v>N/A</v>
      </c>
      <c r="F42" s="1165" t="str">
        <f>IF((graded_aca_events+graded_amn_events)&lt;1,"---",IF(AND(AW5,AX5),"INCOMPLETE",IF(AND(NOT(AW5),AX5),"ACA INC",IF(AND(AW5,NOT(AX5)),"AMN INC","COMPLETE"))))</f>
        <v>---</v>
      </c>
      <c r="G42" s="1165"/>
      <c r="H42" s="1165" t="str">
        <f>IF(AU5,IF(OR(AY5="UNK",NOT(AN7)),"---",IF(AY5,"UNSAT",IF(AVERAGEIFS(AT9:AT40,AS9:AS40,"&gt;0")&lt;0.9,"MARG","SAT"))),"N/A")</f>
        <v>N/A</v>
      </c>
      <c r="I42" s="1165"/>
      <c r="J42" s="1166" t="str">
        <f>IF(OR(AZ5="UNK",NOT(AM7)),"---",IF(OR(AZ5,AR46&lt;0.7),"FAIL","PASS"))</f>
        <v>---</v>
      </c>
      <c r="K42" s="1167"/>
      <c r="L42" s="821"/>
      <c r="M42" s="1168"/>
      <c r="N42" s="1168"/>
      <c r="O42" s="1169" t="s">
        <v>265</v>
      </c>
      <c r="P42" s="1169"/>
      <c r="Q42" s="1169" t="s">
        <v>265</v>
      </c>
      <c r="R42" s="1170"/>
      <c r="S42" s="802"/>
      <c r="T42" s="727" t="s">
        <v>381</v>
      </c>
      <c r="U42" s="777" t="s">
        <v>382</v>
      </c>
      <c r="V42" s="822"/>
      <c r="W42" s="822"/>
      <c r="X42" s="822"/>
      <c r="Y42" s="822"/>
      <c r="Z42" s="822"/>
      <c r="AA42" s="822"/>
      <c r="AB42" s="822"/>
      <c r="AC42" s="822"/>
      <c r="AD42" s="822"/>
      <c r="AE42" s="822"/>
      <c r="AF42" s="822"/>
      <c r="AG42" s="822"/>
      <c r="AH42" s="822"/>
      <c r="AI42" s="713"/>
      <c r="AJ42" s="712"/>
      <c r="AK42" s="822"/>
      <c r="AL42" s="822"/>
      <c r="AM42" s="822">
        <f>SUM(AM9:AM40)</f>
        <v>0</v>
      </c>
      <c r="AN42" s="822">
        <f>SUM(AN9:AN40)</f>
        <v>0</v>
      </c>
      <c r="AO42" s="727"/>
      <c r="AP42" s="712"/>
      <c r="AQ42" s="823">
        <f>SUMIF(AQ9:AQ40,"&gt;0")</f>
        <v>16.6666496</v>
      </c>
      <c r="AR42" s="824">
        <f>IF(AQ42=0,0,SUMPRODUCT($AQ$9:$AQ$40,AR9:AR40)/SUM($AQ$9:$AQ$40))</f>
        <v>0</v>
      </c>
      <c r="AS42" s="825">
        <f>SUMIF(AS9:AS40,"&gt;0")</f>
        <v>0</v>
      </c>
      <c r="AT42" s="824">
        <f>IF(AS42=0,0,SUMPRODUCT($AS$9:$AS$40,AT9:AT40)/SUM($AS$9:$AS$40))</f>
        <v>0</v>
      </c>
      <c r="AU42" s="825">
        <f>SUM(AU10:AU40)</f>
        <v>0</v>
      </c>
      <c r="AV42" s="824">
        <f>IF(AU42=0,0,SUMPRODUCT($AU$9:$AU$40,AV9:AV40)/SUM($AU$9:$AU$40))</f>
        <v>0</v>
      </c>
      <c r="AW42" s="826"/>
      <c r="AX42" s="826"/>
      <c r="AY42" s="826"/>
      <c r="AZ42" s="826"/>
      <c r="BA42" s="826"/>
      <c r="BB42" s="826"/>
      <c r="BC42" s="716" t="s">
        <v>383</v>
      </c>
      <c r="BD42" s="716" t="s">
        <v>384</v>
      </c>
      <c r="BE42" s="716" t="s">
        <v>385</v>
      </c>
      <c r="BF42" s="716"/>
      <c r="BG42" s="718"/>
      <c r="BO42" s="1145"/>
      <c r="BP42" s="1146"/>
      <c r="BQ42" s="1146"/>
      <c r="BR42" s="1146"/>
      <c r="BS42" s="1146"/>
      <c r="BT42" s="1146"/>
      <c r="BU42" s="1147"/>
      <c r="AVW42" s="827"/>
    </row>
    <row r="43" spans="2:75 1271:1271" ht="7.5" customHeight="1" thickTop="1" x14ac:dyDescent="0.25">
      <c r="L43" s="1164" t="s">
        <v>889</v>
      </c>
      <c r="M43" s="1164"/>
      <c r="N43" s="1164"/>
      <c r="O43" s="1164"/>
      <c r="P43" s="1164"/>
      <c r="Q43" s="1164"/>
      <c r="R43" s="1164"/>
      <c r="AP43" s="822"/>
      <c r="AQ43" s="712"/>
      <c r="AR43" s="712"/>
      <c r="AT43" s="824"/>
      <c r="AU43" s="824"/>
      <c r="AV43" s="824"/>
      <c r="AW43" s="712"/>
      <c r="AX43" s="824"/>
      <c r="BE43" s="716"/>
      <c r="BF43" s="716"/>
      <c r="BO43" s="1148"/>
      <c r="BP43" s="1149"/>
      <c r="BQ43" s="1149"/>
      <c r="BR43" s="1149"/>
      <c r="BS43" s="1149"/>
      <c r="BT43" s="1149"/>
      <c r="BU43" s="1150"/>
    </row>
    <row r="44" spans="2:75 1271:1271" ht="30.75" customHeight="1" x14ac:dyDescent="0.25">
      <c r="T44" s="828" t="s">
        <v>386</v>
      </c>
      <c r="U44" s="777" t="b">
        <v>0</v>
      </c>
      <c r="AI44" s="717">
        <f ca="1">SUMIF(AJ9:$AJ$40,"=" &amp; AJ9,AI10:$AI$40)</f>
        <v>0.84000086016088071</v>
      </c>
      <c r="AK44" s="718"/>
      <c r="AL44" s="718"/>
      <c r="AM44" s="718"/>
      <c r="AN44" s="718"/>
      <c r="AO44" s="829"/>
      <c r="AQ44" s="718"/>
      <c r="AR44" s="718"/>
      <c r="AS44" s="748" t="s">
        <v>387</v>
      </c>
      <c r="AT44" s="830">
        <f>SUMIF(X9:X40,"&gt;0")/SUMIF(W9:W40,"&gt;0")</f>
        <v>0</v>
      </c>
      <c r="AU44" s="748" t="s">
        <v>388</v>
      </c>
      <c r="AV44" s="831">
        <f>SUMIF(AU9:AU40,"&gt;0")/SUMIF(AQ9:AQ40,"&gt;0")</f>
        <v>0</v>
      </c>
      <c r="AW44" s="832"/>
      <c r="AY44" s="718"/>
      <c r="AZ44" s="718"/>
      <c r="BE44" s="716" t="b">
        <f>AND(ISBLANK($K31),J31&gt;0)</f>
        <v>0</v>
      </c>
      <c r="BF44" s="716"/>
      <c r="BH44" s="716"/>
      <c r="BO44" s="718"/>
      <c r="BP44" s="718"/>
      <c r="BQ44" s="719"/>
    </row>
    <row r="45" spans="2:75 1271:1271" ht="30.75" customHeight="1" x14ac:dyDescent="0.25">
      <c r="J45" s="833"/>
      <c r="T45" s="834" t="s">
        <v>389</v>
      </c>
      <c r="U45" s="716" t="b">
        <f>IF(AND(Flight?,OR(AW5,AY5,BA5,AZ5,AR46&lt;0.7,H42="MARG")),TRUE,FALSE)</f>
        <v>0</v>
      </c>
      <c r="AK45" s="718"/>
      <c r="AL45" s="718"/>
      <c r="AM45" s="718"/>
      <c r="AN45" s="718"/>
      <c r="AO45" s="835"/>
      <c r="AP45" s="718"/>
      <c r="AQ45" s="748" t="s">
        <v>390</v>
      </c>
      <c r="AR45" s="836">
        <f>1-AT45</f>
        <v>1</v>
      </c>
      <c r="AS45" s="748" t="s">
        <v>391</v>
      </c>
      <c r="AT45" s="830">
        <f>MIN(AT44,AT7)</f>
        <v>0</v>
      </c>
      <c r="AU45" s="748" t="s">
        <v>392</v>
      </c>
      <c r="AV45" s="837">
        <f>MIN(AV44,AV7)</f>
        <v>0</v>
      </c>
      <c r="AZ45" s="718"/>
      <c r="BE45" s="716"/>
      <c r="BF45" s="716"/>
      <c r="BH45" s="716"/>
      <c r="BO45" s="718"/>
      <c r="BP45" s="718"/>
      <c r="BQ45" s="719"/>
    </row>
    <row r="46" spans="2:75 1271:1271" ht="26.25" x14ac:dyDescent="0.25">
      <c r="T46" s="834" t="s">
        <v>393</v>
      </c>
      <c r="U46" s="716" t="b">
        <f>IF(OR(AX5,AY5,AZ5,BB5,AR46&lt;0.7),TRUE,FALSE)</f>
        <v>1</v>
      </c>
      <c r="AK46" s="718"/>
      <c r="AL46" s="718"/>
      <c r="AM46" s="718"/>
      <c r="AN46" s="718"/>
      <c r="AO46" s="838"/>
      <c r="AP46" s="718"/>
      <c r="AQ46" s="748" t="s">
        <v>394</v>
      </c>
      <c r="AR46" s="717">
        <f>AR42*(1-AT45)+(AT42*AT45)</f>
        <v>0</v>
      </c>
      <c r="AU46" s="718" t="s">
        <v>324</v>
      </c>
      <c r="AV46" s="837">
        <f>AV42*AV45</f>
        <v>0</v>
      </c>
      <c r="AY46" s="718"/>
      <c r="AZ46" s="718"/>
      <c r="BE46" s="716"/>
      <c r="BF46" s="716"/>
      <c r="BH46" s="716"/>
      <c r="BO46" s="718"/>
      <c r="BP46" s="718"/>
      <c r="BQ46" s="719"/>
    </row>
    <row r="47" spans="2:75 1271:1271" ht="26.25" x14ac:dyDescent="0.25">
      <c r="T47" s="834" t="s">
        <v>395</v>
      </c>
      <c r="U47" s="716" t="b">
        <v>0</v>
      </c>
      <c r="AK47" s="718"/>
      <c r="AL47" s="718"/>
      <c r="AM47" s="718"/>
      <c r="AN47" s="718"/>
      <c r="AO47" s="838"/>
      <c r="AP47" s="718"/>
      <c r="AQ47" s="748" t="s">
        <v>396</v>
      </c>
      <c r="AR47" s="837">
        <f>MIN(1,IF(NOT(OR(AY5,AZ5)),AR46+AV46,MIN(0.69,AR46+AV46)))</f>
        <v>0</v>
      </c>
      <c r="AY47" s="718"/>
      <c r="BE47" s="716"/>
      <c r="BF47" s="716"/>
      <c r="BI47" s="716"/>
      <c r="BO47" s="718"/>
      <c r="BP47" s="718"/>
      <c r="BQ47" s="719"/>
    </row>
    <row r="48" spans="2:75 1271:1271" x14ac:dyDescent="0.25">
      <c r="T48" s="834" t="s">
        <v>397</v>
      </c>
      <c r="U48" s="716" t="b">
        <f>IF(NOT(Flight?),TRUE,NOT(OR(ISBLANK(comments),ISBLANK(hdr_class),ISBLANK(hdr_date),ISBLANK(hdr_stud),ISBLANK(hdr_instr),ISBLANK(hdr_acft),ISBLANK(hdr_time),F42="---")))</f>
        <v>1</v>
      </c>
      <c r="AK48" s="718"/>
      <c r="AL48" s="718"/>
      <c r="AM48" s="718"/>
      <c r="AN48" s="718"/>
      <c r="AO48" s="838"/>
      <c r="AP48" s="718"/>
      <c r="AQ48" s="718"/>
      <c r="AR48" s="839"/>
      <c r="AS48" s="837"/>
      <c r="AU48" s="718"/>
      <c r="AV48" s="718"/>
      <c r="AW48" s="718"/>
    </row>
    <row r="49" spans="20:56" x14ac:dyDescent="0.25">
      <c r="T49" s="834" t="s">
        <v>398</v>
      </c>
      <c r="U49" s="716" t="b">
        <f>IF(Flight?,TRUE,NOT(OR(ISBLANK(comments),ISBLANK(hdr_class),ISBLANK(hdr_date),ISBLANK(hdr_stud),ISBLANK(hdr_instr),F42="---")))</f>
        <v>0</v>
      </c>
      <c r="AK49" s="718"/>
      <c r="AL49" s="718"/>
      <c r="AM49" s="718"/>
      <c r="AN49" s="718"/>
      <c r="AO49" s="835"/>
      <c r="AP49" s="712" t="s">
        <v>399</v>
      </c>
      <c r="AQ49" s="712"/>
      <c r="AR49" s="712"/>
      <c r="AS49" s="712"/>
      <c r="AT49" s="712"/>
      <c r="AU49" s="718"/>
      <c r="AV49" s="718"/>
      <c r="AW49" s="718"/>
    </row>
    <row r="50" spans="20:56" x14ac:dyDescent="0.25">
      <c r="T50" s="834" t="s">
        <v>400</v>
      </c>
      <c r="U50" s="716" t="b">
        <f>AND(U48:U49)</f>
        <v>0</v>
      </c>
      <c r="AK50" s="718"/>
      <c r="AL50" s="718"/>
      <c r="AM50" s="718"/>
      <c r="AN50" s="718"/>
      <c r="AO50" s="835"/>
      <c r="AP50" s="712"/>
      <c r="AQ50" s="712"/>
      <c r="AR50" s="712">
        <v>0</v>
      </c>
      <c r="AS50" s="712">
        <v>1</v>
      </c>
      <c r="AT50" s="712">
        <v>2</v>
      </c>
      <c r="AU50" s="712">
        <v>3</v>
      </c>
      <c r="AV50" s="712">
        <v>4</v>
      </c>
      <c r="AW50" s="718"/>
    </row>
    <row r="51" spans="20:56" x14ac:dyDescent="0.25">
      <c r="AK51" s="718"/>
      <c r="AL51" s="718"/>
      <c r="AM51" s="718"/>
      <c r="AN51" s="718"/>
      <c r="AO51" s="835"/>
      <c r="AP51" s="712" t="s">
        <v>359</v>
      </c>
      <c r="AQ51" s="712">
        <v>1</v>
      </c>
      <c r="AR51" s="840">
        <v>0.7</v>
      </c>
      <c r="AS51" s="840">
        <v>0.9</v>
      </c>
      <c r="AT51" s="840">
        <v>0.93330000000000002</v>
      </c>
      <c r="AU51" s="840">
        <v>0.9667</v>
      </c>
      <c r="AV51" s="840">
        <v>1</v>
      </c>
      <c r="AW51" s="718"/>
    </row>
    <row r="52" spans="20:56" x14ac:dyDescent="0.25">
      <c r="AK52" s="718"/>
      <c r="AL52" s="718"/>
      <c r="AM52" s="718"/>
      <c r="AN52" s="718"/>
      <c r="AO52" s="835"/>
      <c r="AP52" s="712" t="s">
        <v>360</v>
      </c>
      <c r="AQ52" s="712">
        <v>2</v>
      </c>
      <c r="AR52" s="840">
        <v>0.7</v>
      </c>
      <c r="AS52" s="840">
        <v>0.8</v>
      </c>
      <c r="AT52" s="840">
        <v>0.9</v>
      </c>
      <c r="AU52" s="840">
        <v>0.95</v>
      </c>
      <c r="AV52" s="840">
        <v>1</v>
      </c>
      <c r="AW52" s="718"/>
    </row>
    <row r="53" spans="20:56" x14ac:dyDescent="0.25">
      <c r="AK53" s="718"/>
      <c r="AL53" s="718"/>
      <c r="AM53" s="718"/>
      <c r="AN53" s="718"/>
      <c r="AO53" s="835"/>
      <c r="AP53" s="712" t="s">
        <v>361</v>
      </c>
      <c r="AQ53" s="712">
        <v>3</v>
      </c>
      <c r="AR53" s="840">
        <v>0.7</v>
      </c>
      <c r="AS53" s="840">
        <v>0.76670000000000005</v>
      </c>
      <c r="AT53" s="840">
        <v>0.83330000000000004</v>
      </c>
      <c r="AU53" s="840">
        <v>0.9</v>
      </c>
      <c r="AV53" s="840">
        <v>1</v>
      </c>
      <c r="AW53" s="718"/>
    </row>
    <row r="54" spans="20:56" x14ac:dyDescent="0.25">
      <c r="AP54" s="841" t="s">
        <v>362</v>
      </c>
      <c r="AQ54" s="712">
        <v>11</v>
      </c>
      <c r="AR54" s="840">
        <v>0.6</v>
      </c>
      <c r="AS54" s="840">
        <v>0.9</v>
      </c>
      <c r="AT54" s="840">
        <v>0.93330000000000002</v>
      </c>
      <c r="AU54" s="840">
        <v>0.9667</v>
      </c>
      <c r="AV54" s="840">
        <v>1</v>
      </c>
      <c r="AW54" s="718"/>
    </row>
    <row r="55" spans="20:56" x14ac:dyDescent="0.25">
      <c r="AP55" s="841" t="s">
        <v>363</v>
      </c>
      <c r="AQ55" s="712">
        <v>12</v>
      </c>
      <c r="AR55" s="840">
        <v>0.6</v>
      </c>
      <c r="AS55" s="840">
        <v>0.7</v>
      </c>
      <c r="AT55" s="840">
        <v>0.9</v>
      </c>
      <c r="AU55" s="840">
        <v>0.95</v>
      </c>
      <c r="AV55" s="840">
        <v>1</v>
      </c>
      <c r="AW55" s="718"/>
    </row>
    <row r="56" spans="20:56" x14ac:dyDescent="0.25">
      <c r="AP56" s="841" t="s">
        <v>364</v>
      </c>
      <c r="AQ56" s="712">
        <v>13</v>
      </c>
      <c r="AR56" s="840">
        <v>0.6</v>
      </c>
      <c r="AS56" s="840">
        <v>0.7</v>
      </c>
      <c r="AT56" s="840">
        <v>0.8</v>
      </c>
      <c r="AU56" s="840">
        <v>0.9</v>
      </c>
      <c r="AV56" s="840">
        <v>1</v>
      </c>
      <c r="AW56" s="718"/>
    </row>
    <row r="57" spans="20:56" x14ac:dyDescent="0.25">
      <c r="AP57" s="841" t="s">
        <v>365</v>
      </c>
      <c r="AQ57" s="712">
        <v>22</v>
      </c>
      <c r="AR57" s="840">
        <v>0.3</v>
      </c>
      <c r="AS57" s="840">
        <v>0.6</v>
      </c>
      <c r="AT57" s="840">
        <v>0.9</v>
      </c>
      <c r="AU57" s="840">
        <v>0.95</v>
      </c>
      <c r="AV57" s="840">
        <v>1</v>
      </c>
      <c r="AW57" s="718"/>
    </row>
    <row r="58" spans="20:56" x14ac:dyDescent="0.25">
      <c r="AP58" s="841" t="s">
        <v>366</v>
      </c>
      <c r="AQ58" s="712">
        <v>23</v>
      </c>
      <c r="AR58" s="840">
        <v>0.3</v>
      </c>
      <c r="AS58" s="840">
        <v>0.6</v>
      </c>
      <c r="AT58" s="840">
        <v>0.7</v>
      </c>
      <c r="AU58" s="840">
        <v>0.9</v>
      </c>
      <c r="AV58" s="840">
        <v>1</v>
      </c>
      <c r="AW58" s="718"/>
    </row>
    <row r="59" spans="20:56" x14ac:dyDescent="0.25">
      <c r="AP59" s="841" t="s">
        <v>367</v>
      </c>
      <c r="AQ59" s="712">
        <v>33</v>
      </c>
      <c r="AR59" s="840">
        <v>0</v>
      </c>
      <c r="AS59" s="840">
        <v>0.3</v>
      </c>
      <c r="AT59" s="840">
        <v>0.6</v>
      </c>
      <c r="AU59" s="840">
        <v>0.9</v>
      </c>
      <c r="AV59" s="840">
        <v>1</v>
      </c>
      <c r="AW59" s="85"/>
      <c r="AX59" s="88"/>
      <c r="BC59" s="88"/>
      <c r="BD59" s="88"/>
    </row>
    <row r="60" spans="20:56" x14ac:dyDescent="0.25">
      <c r="AP60" s="718"/>
      <c r="AQ60" s="718"/>
      <c r="AR60" s="718"/>
      <c r="AS60" s="718"/>
      <c r="AT60" s="718"/>
      <c r="AU60" s="718"/>
      <c r="AV60" s="718"/>
      <c r="AW60" s="88"/>
      <c r="AX60" s="88"/>
      <c r="BC60" s="88"/>
      <c r="BD60" s="88"/>
    </row>
    <row r="61" spans="20:56" x14ac:dyDescent="0.25">
      <c r="AP61" s="88"/>
      <c r="AQ61" s="85"/>
      <c r="AR61" s="88"/>
      <c r="AS61" s="88"/>
      <c r="AT61" s="88"/>
      <c r="AU61" s="88"/>
      <c r="AV61" s="88"/>
      <c r="AW61" s="85"/>
      <c r="AX61" s="85"/>
      <c r="BC61" s="88"/>
      <c r="BD61" s="88"/>
    </row>
    <row r="62" spans="20:56" x14ac:dyDescent="0.25">
      <c r="AP62" s="200"/>
      <c r="AQ62" s="85"/>
      <c r="AR62" s="88"/>
      <c r="AS62" s="88"/>
      <c r="AT62" s="88"/>
      <c r="AU62" s="88"/>
      <c r="AV62" s="88"/>
      <c r="AW62" s="85"/>
      <c r="AX62" s="85"/>
      <c r="BC62" s="88"/>
      <c r="BD62" s="88"/>
    </row>
    <row r="63" spans="20:56" x14ac:dyDescent="0.25">
      <c r="AP63" s="85"/>
      <c r="AQ63" s="85"/>
      <c r="AR63" s="88"/>
      <c r="AS63" s="88"/>
      <c r="AT63" s="88"/>
      <c r="AU63" s="88"/>
      <c r="AV63" s="88"/>
      <c r="AW63" s="85"/>
      <c r="AX63" s="85"/>
      <c r="BC63" s="88"/>
      <c r="BD63" s="88"/>
    </row>
    <row r="64" spans="20:56" x14ac:dyDescent="0.25">
      <c r="AP64" s="85"/>
      <c r="AQ64" s="85"/>
      <c r="AR64" s="88"/>
      <c r="AS64" s="88"/>
      <c r="AT64" s="88"/>
      <c r="AU64" s="88"/>
      <c r="AV64" s="88"/>
      <c r="AW64" s="85"/>
      <c r="AX64" s="88"/>
      <c r="BC64" s="88"/>
      <c r="BD64" s="88"/>
    </row>
    <row r="65" spans="42:56" x14ac:dyDescent="0.25">
      <c r="AP65" s="85"/>
      <c r="AQ65" s="85"/>
      <c r="AR65" s="88"/>
      <c r="AS65" s="88"/>
      <c r="AT65" s="88"/>
      <c r="AU65" s="88"/>
      <c r="AV65" s="88"/>
      <c r="AW65" s="85"/>
      <c r="AX65" s="88"/>
      <c r="BC65" s="88"/>
      <c r="BD65" s="88"/>
    </row>
    <row r="66" spans="42:56" x14ac:dyDescent="0.25">
      <c r="AP66" s="85"/>
      <c r="AQ66" s="85"/>
      <c r="AR66" s="88"/>
      <c r="AS66" s="88"/>
      <c r="AT66" s="88"/>
      <c r="AU66" s="88"/>
      <c r="AV66" s="88"/>
    </row>
    <row r="67" spans="42:56" x14ac:dyDescent="0.25">
      <c r="AP67" s="85"/>
      <c r="AQ67" s="85"/>
      <c r="AR67" s="88"/>
      <c r="AS67" s="88"/>
      <c r="AT67" s="88"/>
      <c r="AU67" s="88"/>
      <c r="AV67" s="88"/>
    </row>
  </sheetData>
  <sheetProtection algorithmName="SHA-512" hashValue="lIcMia7D7Or0/3gC7rcTKsYs5UXfyLia39A79fv3pN5uZXAWK3hlpNoVQZHAQFdGZ1DX+V500JeRB8ta3UO74A==" saltValue="nt0rJm+dMiIoPMdM7VLzig==" spinCount="100000" sheet="1"/>
  <mergeCells count="76">
    <mergeCell ref="C40:F40"/>
    <mergeCell ref="BO40:BU43"/>
    <mergeCell ref="B41:D41"/>
    <mergeCell ref="F41:G41"/>
    <mergeCell ref="H41:I41"/>
    <mergeCell ref="J41:K41"/>
    <mergeCell ref="M41:N41"/>
    <mergeCell ref="O41:P41"/>
    <mergeCell ref="B42:D42"/>
    <mergeCell ref="L43:R43"/>
    <mergeCell ref="F42:G42"/>
    <mergeCell ref="H42:I42"/>
    <mergeCell ref="J42:K42"/>
    <mergeCell ref="M42:N42"/>
    <mergeCell ref="O42:P42"/>
    <mergeCell ref="Q42:R42"/>
    <mergeCell ref="BO35:BU38"/>
    <mergeCell ref="C36:F36"/>
    <mergeCell ref="C37:F37"/>
    <mergeCell ref="C38:F38"/>
    <mergeCell ref="C39:F39"/>
    <mergeCell ref="BQ20:BU20"/>
    <mergeCell ref="C21:F21"/>
    <mergeCell ref="C22:F22"/>
    <mergeCell ref="BO22:BO30"/>
    <mergeCell ref="C23:F23"/>
    <mergeCell ref="C24:F24"/>
    <mergeCell ref="C25:F25"/>
    <mergeCell ref="C26:F26"/>
    <mergeCell ref="C27:F27"/>
    <mergeCell ref="C28:F28"/>
    <mergeCell ref="C29:F29"/>
    <mergeCell ref="C30:F30"/>
    <mergeCell ref="C33:F33"/>
    <mergeCell ref="C34:F34"/>
    <mergeCell ref="C35:F35"/>
    <mergeCell ref="C14:F14"/>
    <mergeCell ref="C15:F15"/>
    <mergeCell ref="C16:F16"/>
    <mergeCell ref="C17:F17"/>
    <mergeCell ref="C32:F32"/>
    <mergeCell ref="C19:F19"/>
    <mergeCell ref="C20:F20"/>
    <mergeCell ref="C31:F31"/>
    <mergeCell ref="Q6:R6"/>
    <mergeCell ref="B7:E7"/>
    <mergeCell ref="F7:G7"/>
    <mergeCell ref="H7:L7"/>
    <mergeCell ref="C18:F18"/>
    <mergeCell ref="M7:N7"/>
    <mergeCell ref="O7:P7"/>
    <mergeCell ref="Q7:R7"/>
    <mergeCell ref="B8:F8"/>
    <mergeCell ref="L8:R8"/>
    <mergeCell ref="C9:F9"/>
    <mergeCell ref="L9:R40"/>
    <mergeCell ref="C10:F10"/>
    <mergeCell ref="C11:F11"/>
    <mergeCell ref="C12:F12"/>
    <mergeCell ref="C13:F13"/>
    <mergeCell ref="B4:G4"/>
    <mergeCell ref="H4:N4"/>
    <mergeCell ref="O4:P4"/>
    <mergeCell ref="Q4:R4"/>
    <mergeCell ref="BP4:BU5"/>
    <mergeCell ref="B5:G5"/>
    <mergeCell ref="H5:N5"/>
    <mergeCell ref="O5:P5"/>
    <mergeCell ref="Q5:R5"/>
    <mergeCell ref="BH5:BK7"/>
    <mergeCell ref="BL5:BN7"/>
    <mergeCell ref="B6:E6"/>
    <mergeCell ref="F6:G6"/>
    <mergeCell ref="H6:L6"/>
    <mergeCell ref="M6:N6"/>
    <mergeCell ref="O6:P6"/>
  </mergeCells>
  <conditionalFormatting sqref="B9:F40">
    <cfRule type="expression" dxfId="334" priority="9" stopIfTrue="1">
      <formula>IF($Z9=1,TRUE,FALSE)</formula>
    </cfRule>
    <cfRule type="expression" dxfId="333" priority="10">
      <formula>IF($Z9=2,TRUE,FALSE)</formula>
    </cfRule>
  </conditionalFormatting>
  <conditionalFormatting sqref="C9:F40">
    <cfRule type="expression" dxfId="332" priority="2" stopIfTrue="1">
      <formula>IF($AF9=FALSE,TRUE,FALSE)</formula>
    </cfRule>
  </conditionalFormatting>
  <conditionalFormatting sqref="F6:G7 M6:P7">
    <cfRule type="expression" dxfId="331" priority="5" stopIfTrue="1">
      <formula>NOT($AU$5)</formula>
    </cfRule>
  </conditionalFormatting>
  <conditionalFormatting sqref="F7:G7">
    <cfRule type="cellIs" dxfId="330" priority="4" operator="equal">
      <formula>""</formula>
    </cfRule>
  </conditionalFormatting>
  <conditionalFormatting sqref="G9:K40">
    <cfRule type="expression" dxfId="329" priority="7" stopIfTrue="1">
      <formula>IF($Z9=1,TRUE,FALSE)</formula>
    </cfRule>
    <cfRule type="expression" dxfId="328" priority="8" stopIfTrue="1">
      <formula>IF($Z9=2,TRUE,FALSE)</formula>
    </cfRule>
  </conditionalFormatting>
  <conditionalFormatting sqref="H9:H40">
    <cfRule type="expression" dxfId="327" priority="11" stopIfTrue="1">
      <formula>IF($AB9=0,TRUE,FALSE)</formula>
    </cfRule>
  </conditionalFormatting>
  <conditionalFormatting sqref="H41:I42">
    <cfRule type="expression" dxfId="326" priority="3" stopIfTrue="1">
      <formula>IF($H$42="N/A",TRUE,FALSE)</formula>
    </cfRule>
  </conditionalFormatting>
  <conditionalFormatting sqref="H7:P7 O5:R5 B7 L9">
    <cfRule type="containsBlanks" dxfId="325" priority="6">
      <formula>LEN(TRIM(B5))=0</formula>
    </cfRule>
  </conditionalFormatting>
  <conditionalFormatting sqref="J9:J40">
    <cfRule type="expression" dxfId="324" priority="15">
      <formula>IF($Z9=1,FALSE,OR($BE9,$BD9))</formula>
    </cfRule>
  </conditionalFormatting>
  <conditionalFormatting sqref="J9:K40 C9:F40">
    <cfRule type="expression" dxfId="323" priority="14">
      <formula>IF($Z9=1,FALSE,OR($AW9,$AX9,$AY9,$AZ9))</formula>
    </cfRule>
  </conditionalFormatting>
  <conditionalFormatting sqref="J9:K40">
    <cfRule type="expression" dxfId="322" priority="12" stopIfTrue="1">
      <formula>IF(ISNA($Z9),TRUE,FALSE)</formula>
    </cfRule>
  </conditionalFormatting>
  <conditionalFormatting sqref="K9:K40">
    <cfRule type="expression" dxfId="321" priority="13">
      <formula>IF(OR($Z9=1,$Z9=2),FALSE,OR($BC9,$BE9,$BF9))</formula>
    </cfRule>
  </conditionalFormatting>
  <conditionalFormatting sqref="L42">
    <cfRule type="expression" dxfId="320" priority="1">
      <formula>NOT($U$50)</formula>
    </cfRule>
  </conditionalFormatting>
  <dataValidations count="6">
    <dataValidation type="list" allowBlank="1" showInputMessage="1" showErrorMessage="1" sqref="F7:G7" xr:uid="{18BC88BC-4216-404F-905C-A5CDC4353C92}">
      <formula1>"No,Yes"</formula1>
    </dataValidation>
    <dataValidation type="list" allowBlank="1" showInputMessage="1" showErrorMessage="1" sqref="J9:J40" xr:uid="{A90DEC02-B3A9-418E-9C13-1D664789D399}">
      <formula1>"NA,0,1,2,3,4,5,6,7,8,9,10,11,12,13,14,15"</formula1>
    </dataValidation>
    <dataValidation type="list" allowBlank="1" showInputMessage="1" showErrorMessage="1" sqref="K9:K40" xr:uid="{08D3E331-5B01-492F-85FE-08F2161ABEC7}">
      <formula1>"D,0,1,2,3,4"</formula1>
    </dataValidation>
    <dataValidation showInputMessage="1" showErrorMessage="1" sqref="O42:R42" xr:uid="{135776F9-426D-4F44-9F7C-65366BEFBF8C}"/>
    <dataValidation type="decimal" allowBlank="1" showInputMessage="1" showErrorMessage="1" sqref="O7:P7" xr:uid="{3870521D-3A34-48B7-98E4-94BFFBF00C66}">
      <formula1>0</formula1>
      <formula2>10</formula2>
    </dataValidation>
    <dataValidation type="date" allowBlank="1" showInputMessage="1" showErrorMessage="1" sqref="Q5:R5" xr:uid="{2CBFA068-400C-41C0-A19E-EBCC8D8A717E}">
      <formula1>41151</formula1>
      <formula2>77433</formula2>
    </dataValidation>
  </dataValidations>
  <hyperlinks>
    <hyperlink ref="BP4" location="PF!A1" display="PF phase Summary Page" xr:uid="{17026A9C-6CD0-4C37-AE76-3940AEA71C35}"/>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02" r:id="rId3" name="IP_Signature">
              <controlPr defaultSize="0" print="0" autoFill="0" autoPict="0" macro="[0]!IP_signature">
                <anchor moveWithCells="1" sizeWithCells="1">
                  <from>
                    <xdr:col>11</xdr:col>
                    <xdr:colOff>0</xdr:colOff>
                    <xdr:row>41</xdr:row>
                    <xdr:rowOff>0</xdr:rowOff>
                  </from>
                  <to>
                    <xdr:col>12</xdr:col>
                    <xdr:colOff>0</xdr:colOff>
                    <xdr:row>42</xdr:row>
                    <xdr:rowOff>0</xdr:rowOff>
                  </to>
                </anchor>
              </controlPr>
            </control>
          </mc:Choice>
        </mc:AlternateContent>
        <mc:AlternateContent xmlns:mc="http://schemas.openxmlformats.org/markup-compatibility/2006">
          <mc:Choice Requires="x14">
            <control shapeId="307203" r:id="rId4" name="CCG_Click">
              <controlPr defaultSize="0" print="0" autoFill="0" autoPict="0" macro="[0]!CCG_Click">
                <anchor moveWithCells="1" sizeWithCells="1">
                  <from>
                    <xdr:col>4</xdr:col>
                    <xdr:colOff>0</xdr:colOff>
                    <xdr:row>42</xdr:row>
                    <xdr:rowOff>38100</xdr:rowOff>
                  </from>
                  <to>
                    <xdr:col>6</xdr:col>
                    <xdr:colOff>123825</xdr:colOff>
                    <xdr:row>43</xdr:row>
                    <xdr:rowOff>190500</xdr:rowOff>
                  </to>
                </anchor>
              </controlPr>
            </control>
          </mc:Choice>
        </mc:AlternateContent>
        <mc:AlternateContent xmlns:mc="http://schemas.openxmlformats.org/markup-compatibility/2006">
          <mc:Choice Requires="x14">
            <control shapeId="307204" r:id="rId5" name="MCG_Click">
              <controlPr defaultSize="0" print="0" autoFill="0" autoPict="0" macro="[0]!MCG_Click">
                <anchor moveWithCells="1" sizeWithCells="1">
                  <from>
                    <xdr:col>6</xdr:col>
                    <xdr:colOff>190500</xdr:colOff>
                    <xdr:row>42</xdr:row>
                    <xdr:rowOff>38100</xdr:rowOff>
                  </from>
                  <to>
                    <xdr:col>11</xdr:col>
                    <xdr:colOff>66675</xdr:colOff>
                    <xdr:row>43</xdr:row>
                    <xdr:rowOff>190500</xdr:rowOff>
                  </to>
                </anchor>
              </controlPr>
            </control>
          </mc:Choice>
        </mc:AlternateContent>
        <mc:AlternateContent xmlns:mc="http://schemas.openxmlformats.org/markup-compatibility/2006">
          <mc:Choice Requires="x14">
            <control shapeId="307205" r:id="rId6" name="DCG_Click">
              <controlPr defaultSize="0" print="0" autoFill="0" autoPict="0" macro="[0]!DCG_Click">
                <anchor moveWithCells="1" sizeWithCells="1">
                  <from>
                    <xdr:col>11</xdr:col>
                    <xdr:colOff>123825</xdr:colOff>
                    <xdr:row>42</xdr:row>
                    <xdr:rowOff>38100</xdr:rowOff>
                  </from>
                  <to>
                    <xdr:col>12</xdr:col>
                    <xdr:colOff>276225</xdr:colOff>
                    <xdr:row>43</xdr:row>
                    <xdr:rowOff>190500</xdr:rowOff>
                  </to>
                </anchor>
              </controlPr>
            </control>
          </mc:Choice>
        </mc:AlternateContent>
        <mc:AlternateContent xmlns:mc="http://schemas.openxmlformats.org/markup-compatibility/2006">
          <mc:Choice Requires="x14">
            <control shapeId="307206" r:id="rId7" name="PMC_Click">
              <controlPr defaultSize="0" print="0" autoFill="0" autoPict="0" macro="[0]!PMC_Click">
                <anchor moveWithCells="1" sizeWithCells="1">
                  <from>
                    <xdr:col>12</xdr:col>
                    <xdr:colOff>342900</xdr:colOff>
                    <xdr:row>42</xdr:row>
                    <xdr:rowOff>38100</xdr:rowOff>
                  </from>
                  <to>
                    <xdr:col>17</xdr:col>
                    <xdr:colOff>257175</xdr:colOff>
                    <xdr:row>43</xdr:row>
                    <xdr:rowOff>190500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A8EBC-A6DA-472D-9DBC-76A0BB7740F1}">
  <sheetPr codeName="Sheet2">
    <tabColor rgb="FF00B0F0"/>
    <pageSetUpPr fitToPage="1"/>
  </sheetPr>
  <dimension ref="A1:V67"/>
  <sheetViews>
    <sheetView topLeftCell="A19" workbookViewId="0">
      <selection activeCell="E37" sqref="E37:J37"/>
    </sheetView>
  </sheetViews>
  <sheetFormatPr defaultColWidth="9.140625" defaultRowHeight="12.75" x14ac:dyDescent="0.2"/>
  <cols>
    <col min="1" max="2" width="2.7109375" style="272" customWidth="1"/>
    <col min="3" max="3" width="9.7109375" style="272" customWidth="1"/>
    <col min="4" max="4" width="4.7109375" style="272" customWidth="1"/>
    <col min="5" max="10" width="9.7109375" style="272" customWidth="1"/>
    <col min="11" max="11" width="20.85546875" style="272" customWidth="1"/>
    <col min="12" max="12" width="2.7109375" style="272" customWidth="1"/>
    <col min="13" max="16384" width="9.140625" style="272"/>
  </cols>
  <sheetData>
    <row r="1" spans="1:22" x14ac:dyDescent="0.2">
      <c r="A1" s="270"/>
      <c r="B1" s="270"/>
      <c r="C1" s="270"/>
      <c r="D1" s="270"/>
      <c r="E1" s="270"/>
      <c r="F1" s="270"/>
      <c r="G1" s="270"/>
      <c r="H1" s="270"/>
      <c r="I1" s="270"/>
      <c r="J1" s="270"/>
      <c r="K1" s="270"/>
      <c r="L1" s="270"/>
      <c r="M1" s="87"/>
      <c r="N1" s="87"/>
      <c r="O1" s="87"/>
      <c r="P1" s="87"/>
      <c r="Q1" s="87"/>
      <c r="R1" s="87"/>
      <c r="S1" s="87"/>
      <c r="T1" s="87"/>
      <c r="U1" s="87"/>
      <c r="V1" s="87"/>
    </row>
    <row r="2" spans="1:22" ht="18.75" x14ac:dyDescent="0.3">
      <c r="A2" s="273"/>
      <c r="B2" s="87"/>
      <c r="C2" s="275" t="s">
        <v>470</v>
      </c>
      <c r="D2" s="279"/>
      <c r="E2" s="275"/>
      <c r="F2" s="431"/>
      <c r="G2" s="277"/>
      <c r="H2" s="277"/>
      <c r="I2" s="277"/>
      <c r="J2" s="277"/>
      <c r="K2" s="277"/>
      <c r="L2" s="432"/>
      <c r="M2" s="274"/>
      <c r="N2" s="483"/>
      <c r="O2" s="483"/>
      <c r="P2" s="483"/>
      <c r="Q2" s="87"/>
      <c r="R2" s="87"/>
      <c r="S2" s="87"/>
      <c r="T2" s="87"/>
      <c r="U2" s="87"/>
      <c r="V2" s="87"/>
    </row>
    <row r="3" spans="1:22" ht="20.25" x14ac:dyDescent="0.2">
      <c r="A3" s="270"/>
      <c r="B3" s="87"/>
      <c r="C3" s="87"/>
      <c r="D3" s="87"/>
      <c r="E3" s="433"/>
      <c r="F3" s="294"/>
      <c r="G3" s="279"/>
      <c r="H3" s="279"/>
      <c r="I3" s="279"/>
      <c r="J3" s="279"/>
      <c r="K3" s="279"/>
      <c r="L3" s="434"/>
      <c r="M3" s="87"/>
      <c r="N3" s="1033" t="s">
        <v>842</v>
      </c>
      <c r="O3" s="1033"/>
      <c r="P3" s="1033"/>
      <c r="Q3" s="1033"/>
      <c r="R3" s="1033"/>
      <c r="S3" s="1033"/>
      <c r="T3" s="87"/>
      <c r="U3" s="87"/>
      <c r="V3" s="87"/>
    </row>
    <row r="4" spans="1:22" ht="18" x14ac:dyDescent="0.2">
      <c r="A4" s="435"/>
      <c r="B4" s="305"/>
      <c r="C4" s="1048" t="s">
        <v>403</v>
      </c>
      <c r="D4" s="1049"/>
      <c r="E4" s="1172"/>
      <c r="F4" s="1172"/>
      <c r="G4" s="1172"/>
      <c r="H4" s="208"/>
      <c r="I4" s="213" t="s">
        <v>404</v>
      </c>
      <c r="J4" s="1053"/>
      <c r="K4" s="1054"/>
      <c r="L4" s="434"/>
      <c r="M4" s="87"/>
      <c r="N4" s="1033"/>
      <c r="O4" s="1033"/>
      <c r="P4" s="1033"/>
      <c r="Q4" s="1033"/>
      <c r="R4" s="1033"/>
      <c r="S4" s="1033"/>
      <c r="T4" s="87"/>
      <c r="U4" s="87"/>
      <c r="V4" s="87"/>
    </row>
    <row r="5" spans="1:22" ht="18" x14ac:dyDescent="0.2">
      <c r="A5" s="435"/>
      <c r="B5" s="305"/>
      <c r="C5" s="208"/>
      <c r="D5" s="208"/>
      <c r="E5" s="208"/>
      <c r="F5" s="209"/>
      <c r="G5" s="208"/>
      <c r="H5" s="208"/>
      <c r="I5" s="208"/>
      <c r="J5" s="208"/>
      <c r="K5" s="208"/>
      <c r="L5" s="434"/>
      <c r="M5" s="87"/>
      <c r="N5" s="87"/>
      <c r="O5" s="87"/>
      <c r="P5" s="87"/>
      <c r="Q5" s="87"/>
      <c r="R5" s="87"/>
      <c r="S5" s="87"/>
      <c r="T5" s="87"/>
      <c r="U5" s="87"/>
      <c r="V5" s="87"/>
    </row>
    <row r="6" spans="1:22" ht="18" x14ac:dyDescent="0.2">
      <c r="A6" s="435"/>
      <c r="B6" s="305"/>
      <c r="C6" s="214" t="s">
        <v>405</v>
      </c>
      <c r="D6" s="215"/>
      <c r="E6" s="208"/>
      <c r="F6" s="209"/>
      <c r="G6" s="1050"/>
      <c r="H6" s="1051"/>
      <c r="I6" s="1052"/>
      <c r="J6" s="208"/>
      <c r="K6" s="208"/>
      <c r="L6" s="434"/>
      <c r="M6" s="87"/>
      <c r="N6" s="87"/>
      <c r="O6" s="87"/>
      <c r="P6" s="87"/>
      <c r="Q6" s="87"/>
      <c r="R6" s="87"/>
      <c r="S6" s="87"/>
      <c r="T6" s="87"/>
      <c r="U6" s="87"/>
      <c r="V6" s="87"/>
    </row>
    <row r="7" spans="1:22" x14ac:dyDescent="0.2">
      <c r="A7" s="270"/>
      <c r="B7" s="87"/>
      <c r="C7" s="87"/>
      <c r="D7" s="87"/>
      <c r="E7" s="314"/>
      <c r="F7" s="436"/>
      <c r="G7" s="87"/>
      <c r="H7" s="87"/>
      <c r="I7" s="87"/>
      <c r="J7" s="87"/>
      <c r="K7" s="87"/>
      <c r="L7" s="270"/>
      <c r="M7" s="87"/>
      <c r="N7" s="87"/>
      <c r="O7" s="87"/>
      <c r="P7" s="87"/>
      <c r="Q7" s="87"/>
      <c r="R7" s="87"/>
      <c r="S7" s="87"/>
      <c r="T7" s="87"/>
      <c r="U7" s="87"/>
      <c r="V7" s="87"/>
    </row>
    <row r="8" spans="1:22" ht="15" x14ac:dyDescent="0.2">
      <c r="A8" s="270"/>
      <c r="B8" s="87"/>
      <c r="C8" s="300" t="s">
        <v>406</v>
      </c>
      <c r="D8" s="300"/>
      <c r="E8" s="300" t="s">
        <v>407</v>
      </c>
      <c r="F8" s="294"/>
      <c r="G8" s="87"/>
      <c r="H8" s="87"/>
      <c r="I8" s="87"/>
      <c r="J8" s="87"/>
      <c r="K8" s="87"/>
      <c r="L8" s="270"/>
      <c r="M8" s="87"/>
      <c r="N8" s="87"/>
      <c r="O8" s="87"/>
      <c r="P8" s="87"/>
      <c r="Q8" s="87"/>
      <c r="R8" s="87"/>
      <c r="S8" s="87"/>
      <c r="T8" s="87"/>
      <c r="U8" s="87"/>
      <c r="V8" s="87"/>
    </row>
    <row r="9" spans="1:22" ht="13.5" thickBot="1" x14ac:dyDescent="0.25">
      <c r="A9" s="270"/>
      <c r="B9" s="87"/>
      <c r="C9" s="87"/>
      <c r="D9" s="87"/>
      <c r="E9" s="87"/>
      <c r="F9" s="87"/>
      <c r="G9" s="87"/>
      <c r="H9" s="87"/>
      <c r="I9" s="87"/>
      <c r="J9" s="87"/>
      <c r="K9" s="87"/>
      <c r="L9" s="270"/>
      <c r="M9" s="87"/>
      <c r="N9" s="87"/>
      <c r="O9" s="87"/>
      <c r="P9" s="87"/>
      <c r="Q9" s="87"/>
      <c r="R9" s="87"/>
      <c r="S9" s="87"/>
      <c r="T9" s="87"/>
      <c r="U9" s="87"/>
      <c r="V9" s="87"/>
    </row>
    <row r="10" spans="1:22" ht="16.5" thickBot="1" x14ac:dyDescent="0.25">
      <c r="A10" s="270"/>
      <c r="B10" s="87"/>
      <c r="C10" s="437">
        <f>SUM(C11:C16)</f>
        <v>0.1</v>
      </c>
      <c r="D10" s="87"/>
      <c r="E10" s="705">
        <f>SUM($C11*E11,$C12*E12,$C13*E13,$C14*E14,$C15*E15,$C16*E16)/$C10</f>
        <v>0</v>
      </c>
      <c r="F10" s="293" t="s">
        <v>431</v>
      </c>
      <c r="G10" s="87"/>
      <c r="H10" s="87"/>
      <c r="I10" s="87"/>
      <c r="J10" s="87"/>
      <c r="K10" s="87"/>
      <c r="L10" s="270"/>
      <c r="M10" s="87"/>
      <c r="N10" s="87"/>
      <c r="O10" s="87"/>
      <c r="P10" s="87"/>
      <c r="Q10" s="87"/>
      <c r="R10" s="87"/>
      <c r="S10" s="87"/>
      <c r="T10" s="87"/>
      <c r="U10" s="87"/>
      <c r="V10" s="87"/>
    </row>
    <row r="11" spans="1:22" x14ac:dyDescent="0.2">
      <c r="A11" s="270"/>
      <c r="B11" s="87"/>
      <c r="C11" s="438">
        <v>0.02</v>
      </c>
      <c r="D11" s="87"/>
      <c r="E11" s="706"/>
      <c r="F11" s="299" t="s">
        <v>471</v>
      </c>
      <c r="G11" s="87"/>
      <c r="H11" s="87"/>
      <c r="I11" s="87"/>
      <c r="J11" s="87"/>
      <c r="K11" s="87"/>
      <c r="L11" s="270"/>
      <c r="M11" s="87"/>
      <c r="N11" s="87"/>
      <c r="O11" s="87"/>
      <c r="P11" s="87"/>
      <c r="Q11" s="87"/>
      <c r="R11" s="87"/>
      <c r="S11" s="87"/>
      <c r="T11" s="87"/>
      <c r="U11" s="87"/>
      <c r="V11" s="87"/>
    </row>
    <row r="12" spans="1:22" x14ac:dyDescent="0.2">
      <c r="A12" s="270"/>
      <c r="B12" s="87"/>
      <c r="C12" s="439">
        <v>0.01</v>
      </c>
      <c r="D12" s="87"/>
      <c r="E12" s="707"/>
      <c r="F12" s="299" t="s">
        <v>472</v>
      </c>
      <c r="G12" s="87"/>
      <c r="H12" s="285"/>
      <c r="I12" s="282"/>
      <c r="J12" s="87"/>
      <c r="K12" s="87"/>
      <c r="L12" s="270"/>
      <c r="M12" s="87"/>
      <c r="N12" s="87"/>
      <c r="O12" s="87"/>
      <c r="P12" s="87"/>
      <c r="Q12" s="87"/>
      <c r="R12" s="87"/>
      <c r="S12" s="87"/>
      <c r="T12" s="87"/>
      <c r="U12" s="87"/>
      <c r="V12" s="87"/>
    </row>
    <row r="13" spans="1:22" x14ac:dyDescent="0.2">
      <c r="A13" s="270"/>
      <c r="B13" s="87"/>
      <c r="C13" s="439">
        <v>0.02</v>
      </c>
      <c r="D13" s="87"/>
      <c r="E13" s="707"/>
      <c r="F13" s="299" t="s">
        <v>473</v>
      </c>
      <c r="G13" s="87"/>
      <c r="H13" s="285"/>
      <c r="I13" s="282"/>
      <c r="J13" s="87"/>
      <c r="K13" s="87"/>
      <c r="L13" s="270"/>
      <c r="M13" s="87"/>
      <c r="N13" s="87"/>
      <c r="O13" s="87"/>
      <c r="P13" s="87"/>
      <c r="Q13" s="87"/>
      <c r="R13" s="87"/>
      <c r="S13" s="87"/>
      <c r="T13" s="87"/>
      <c r="U13" s="87"/>
      <c r="V13" s="87"/>
    </row>
    <row r="14" spans="1:22" x14ac:dyDescent="0.2">
      <c r="A14" s="270"/>
      <c r="B14" s="87"/>
      <c r="C14" s="439">
        <v>0.02</v>
      </c>
      <c r="D14" s="87"/>
      <c r="E14" s="707"/>
      <c r="F14" s="299" t="s">
        <v>474</v>
      </c>
      <c r="G14" s="87"/>
      <c r="H14" s="285"/>
      <c r="I14" s="282"/>
      <c r="J14" s="87"/>
      <c r="K14" s="87"/>
      <c r="L14" s="270"/>
      <c r="M14" s="87"/>
      <c r="N14" s="87"/>
      <c r="O14" s="87"/>
      <c r="P14" s="87"/>
      <c r="Q14" s="87"/>
      <c r="R14" s="87"/>
      <c r="S14" s="87"/>
      <c r="T14" s="87"/>
      <c r="U14" s="87"/>
      <c r="V14" s="87"/>
    </row>
    <row r="15" spans="1:22" x14ac:dyDescent="0.2">
      <c r="A15" s="270"/>
      <c r="B15" s="87"/>
      <c r="C15" s="439">
        <v>0.01</v>
      </c>
      <c r="D15" s="87"/>
      <c r="E15" s="707"/>
      <c r="F15" s="299" t="s">
        <v>475</v>
      </c>
      <c r="G15" s="87"/>
      <c r="H15" s="285"/>
      <c r="I15" s="282"/>
      <c r="J15" s="87"/>
      <c r="K15" s="87"/>
      <c r="L15" s="270"/>
      <c r="M15" s="87"/>
      <c r="N15" s="87"/>
      <c r="O15" s="87"/>
      <c r="P15" s="87"/>
      <c r="Q15" s="87"/>
      <c r="R15" s="87"/>
      <c r="S15" s="87"/>
      <c r="T15" s="87"/>
      <c r="U15" s="87"/>
      <c r="V15" s="87"/>
    </row>
    <row r="16" spans="1:22" x14ac:dyDescent="0.2">
      <c r="A16" s="270"/>
      <c r="B16" s="87"/>
      <c r="C16" s="439">
        <v>0.02</v>
      </c>
      <c r="D16" s="87"/>
      <c r="E16" s="707"/>
      <c r="F16" s="299" t="s">
        <v>476</v>
      </c>
      <c r="G16" s="87"/>
      <c r="H16" s="87"/>
      <c r="I16" s="87"/>
      <c r="J16" s="87"/>
      <c r="K16" s="87"/>
      <c r="L16" s="270"/>
      <c r="M16" s="87"/>
      <c r="N16" s="87"/>
      <c r="O16" s="87"/>
      <c r="P16" s="87"/>
      <c r="Q16" s="87"/>
      <c r="R16" s="87"/>
      <c r="S16" s="87"/>
      <c r="T16" s="87"/>
      <c r="U16" s="87"/>
      <c r="V16" s="87"/>
    </row>
    <row r="17" spans="1:22" ht="13.5" thickBot="1" x14ac:dyDescent="0.25">
      <c r="A17" s="270"/>
      <c r="B17" s="87"/>
      <c r="C17" s="87"/>
      <c r="D17" s="87"/>
      <c r="E17" s="90"/>
      <c r="F17" s="94"/>
      <c r="G17" s="87"/>
      <c r="H17" s="87"/>
      <c r="I17" s="87"/>
      <c r="J17" s="87"/>
      <c r="K17" s="87"/>
      <c r="L17" s="270"/>
      <c r="M17" s="87"/>
      <c r="N17" s="87"/>
      <c r="O17" s="87"/>
      <c r="P17" s="87"/>
      <c r="Q17" s="87"/>
      <c r="R17" s="87"/>
      <c r="S17" s="87"/>
      <c r="T17" s="87"/>
      <c r="U17" s="87"/>
      <c r="V17" s="87"/>
    </row>
    <row r="18" spans="1:22" ht="16.5" thickBot="1" x14ac:dyDescent="0.25">
      <c r="A18" s="270"/>
      <c r="B18" s="87"/>
      <c r="C18" s="437">
        <f>SUM(C19:C23)</f>
        <v>0.39999999999999997</v>
      </c>
      <c r="D18" s="87"/>
      <c r="E18" s="705">
        <f>SUM($C19*E19,$C20*E20,$C21*E21,$C22*E22,$C23*E23)/$C18</f>
        <v>0</v>
      </c>
      <c r="F18" s="293" t="s">
        <v>408</v>
      </c>
      <c r="G18" s="87"/>
      <c r="H18" s="87"/>
      <c r="I18" s="87"/>
      <c r="J18" s="87"/>
      <c r="K18" s="87"/>
      <c r="L18" s="270"/>
      <c r="M18" s="87"/>
      <c r="N18" s="87"/>
      <c r="O18" s="87"/>
      <c r="P18" s="87"/>
      <c r="Q18" s="87"/>
      <c r="R18" s="87"/>
      <c r="S18" s="87"/>
      <c r="T18" s="87"/>
      <c r="U18" s="87"/>
      <c r="V18" s="87"/>
    </row>
    <row r="19" spans="1:22" x14ac:dyDescent="0.2">
      <c r="A19" s="270"/>
      <c r="B19" s="87"/>
      <c r="C19" s="438">
        <v>0.05</v>
      </c>
      <c r="D19" s="87"/>
      <c r="E19" s="706"/>
      <c r="F19" s="299" t="s">
        <v>477</v>
      </c>
      <c r="G19" s="87"/>
      <c r="H19" s="87"/>
      <c r="I19" s="87"/>
      <c r="J19" s="87"/>
      <c r="K19" s="87"/>
      <c r="L19" s="270"/>
      <c r="M19" s="87"/>
      <c r="N19" s="87"/>
      <c r="O19" s="87"/>
      <c r="P19" s="87"/>
      <c r="Q19" s="87"/>
      <c r="R19" s="87"/>
      <c r="S19" s="87"/>
      <c r="T19" s="87"/>
      <c r="U19" s="87"/>
      <c r="V19" s="87"/>
    </row>
    <row r="20" spans="1:22" x14ac:dyDescent="0.2">
      <c r="A20" s="270"/>
      <c r="B20" s="87"/>
      <c r="C20" s="439">
        <v>0.15</v>
      </c>
      <c r="D20" s="87"/>
      <c r="E20" s="707"/>
      <c r="F20" s="299" t="s">
        <v>478</v>
      </c>
      <c r="G20" s="87"/>
      <c r="H20" s="87"/>
      <c r="I20" s="87"/>
      <c r="J20" s="87"/>
      <c r="K20" s="87"/>
      <c r="L20" s="270"/>
      <c r="M20" s="87"/>
      <c r="N20" s="87"/>
      <c r="O20" s="87"/>
      <c r="P20" s="87"/>
      <c r="Q20" s="87"/>
      <c r="R20" s="87"/>
      <c r="S20" s="87"/>
      <c r="T20" s="87"/>
      <c r="U20" s="87"/>
      <c r="V20" s="87"/>
    </row>
    <row r="21" spans="1:22" x14ac:dyDescent="0.2">
      <c r="A21" s="270"/>
      <c r="B21" s="87"/>
      <c r="C21" s="439">
        <v>0.05</v>
      </c>
      <c r="D21" s="87"/>
      <c r="E21" s="707"/>
      <c r="F21" s="299" t="s">
        <v>479</v>
      </c>
      <c r="G21" s="87"/>
      <c r="H21" s="87"/>
      <c r="I21" s="87"/>
      <c r="J21" s="87"/>
      <c r="K21" s="87"/>
      <c r="L21" s="270"/>
      <c r="M21" s="87"/>
      <c r="N21" s="87"/>
      <c r="O21" s="87"/>
      <c r="P21" s="87"/>
      <c r="Q21" s="87"/>
      <c r="R21" s="87"/>
      <c r="S21" s="87"/>
      <c r="T21" s="87"/>
      <c r="U21" s="87"/>
      <c r="V21" s="87"/>
    </row>
    <row r="22" spans="1:22" x14ac:dyDescent="0.2">
      <c r="A22" s="270"/>
      <c r="B22" s="87"/>
      <c r="C22" s="439">
        <v>0.1</v>
      </c>
      <c r="D22" s="87"/>
      <c r="E22" s="707"/>
      <c r="F22" s="299" t="s">
        <v>480</v>
      </c>
      <c r="G22" s="87"/>
      <c r="H22" s="87"/>
      <c r="I22" s="87"/>
      <c r="J22" s="87"/>
      <c r="K22" s="87"/>
      <c r="L22" s="270"/>
      <c r="M22" s="87"/>
      <c r="N22" s="87"/>
      <c r="O22" s="87"/>
      <c r="P22" s="87"/>
      <c r="Q22" s="87"/>
      <c r="R22" s="87"/>
      <c r="S22" s="87"/>
      <c r="T22" s="87"/>
      <c r="U22" s="87"/>
      <c r="V22" s="87"/>
    </row>
    <row r="23" spans="1:22" x14ac:dyDescent="0.2">
      <c r="A23" s="270"/>
      <c r="B23" s="87"/>
      <c r="C23" s="439">
        <v>0.05</v>
      </c>
      <c r="D23" s="87"/>
      <c r="E23" s="706"/>
      <c r="F23" s="299" t="s">
        <v>481</v>
      </c>
      <c r="G23" s="87"/>
      <c r="H23" s="87"/>
      <c r="I23" s="87"/>
      <c r="J23" s="87"/>
      <c r="K23" s="87"/>
      <c r="L23" s="270"/>
      <c r="M23" s="87"/>
      <c r="N23" s="87"/>
      <c r="O23" s="87"/>
      <c r="P23" s="87"/>
      <c r="Q23" s="87"/>
      <c r="R23" s="87"/>
      <c r="S23" s="87"/>
      <c r="T23" s="87"/>
      <c r="U23" s="87"/>
      <c r="V23" s="87"/>
    </row>
    <row r="24" spans="1:22" ht="13.5" thickBot="1" x14ac:dyDescent="0.25">
      <c r="A24" s="270"/>
      <c r="B24" s="87"/>
      <c r="C24" s="87"/>
      <c r="D24" s="87"/>
      <c r="E24" s="90"/>
      <c r="F24" s="94"/>
      <c r="G24" s="87"/>
      <c r="H24" s="87"/>
      <c r="I24" s="87"/>
      <c r="J24" s="87"/>
      <c r="K24" s="87"/>
      <c r="L24" s="270"/>
      <c r="M24" s="87"/>
      <c r="N24" s="87"/>
      <c r="O24" s="87"/>
      <c r="P24" s="87"/>
      <c r="Q24" s="87"/>
      <c r="R24" s="87"/>
      <c r="S24" s="87"/>
      <c r="T24" s="87"/>
      <c r="U24" s="87"/>
      <c r="V24" s="87"/>
    </row>
    <row r="25" spans="1:22" ht="16.5" thickBot="1" x14ac:dyDescent="0.25">
      <c r="A25" s="270"/>
      <c r="B25" s="87"/>
      <c r="C25" s="437">
        <f>SUM(C26:C28)</f>
        <v>0.15000000000000002</v>
      </c>
      <c r="D25" s="87"/>
      <c r="E25" s="705">
        <f>SUM($C26*E26,$C27*E27,$C28*E28)/$C25</f>
        <v>0</v>
      </c>
      <c r="F25" s="293" t="s">
        <v>482</v>
      </c>
      <c r="G25" s="87"/>
      <c r="H25" s="87"/>
      <c r="I25" s="87"/>
      <c r="J25" s="87"/>
      <c r="K25" s="87"/>
      <c r="L25" s="270"/>
      <c r="M25" s="87"/>
      <c r="N25" s="87"/>
      <c r="O25" s="87"/>
      <c r="P25" s="87"/>
      <c r="Q25" s="87"/>
      <c r="R25" s="87"/>
      <c r="S25" s="87"/>
      <c r="T25" s="87"/>
      <c r="U25" s="87"/>
      <c r="V25" s="87"/>
    </row>
    <row r="26" spans="1:22" x14ac:dyDescent="0.2">
      <c r="A26" s="270"/>
      <c r="B26" s="87"/>
      <c r="C26" s="438">
        <v>0.05</v>
      </c>
      <c r="D26" s="87"/>
      <c r="E26" s="706"/>
      <c r="F26" s="299" t="s">
        <v>483</v>
      </c>
      <c r="G26" s="87"/>
      <c r="H26" s="87"/>
      <c r="I26" s="87"/>
      <c r="J26" s="87"/>
      <c r="K26" s="87"/>
      <c r="L26" s="270"/>
      <c r="M26" s="87"/>
      <c r="N26" s="87"/>
      <c r="O26" s="87"/>
      <c r="P26" s="87"/>
      <c r="Q26" s="87"/>
      <c r="R26" s="87"/>
      <c r="S26" s="87"/>
      <c r="T26" s="87"/>
      <c r="U26" s="87"/>
      <c r="V26" s="87"/>
    </row>
    <row r="27" spans="1:22" x14ac:dyDescent="0.2">
      <c r="A27" s="270"/>
      <c r="B27" s="87"/>
      <c r="C27" s="439">
        <v>0.05</v>
      </c>
      <c r="D27" s="87"/>
      <c r="E27" s="707"/>
      <c r="F27" s="299" t="s">
        <v>484</v>
      </c>
      <c r="G27" s="87"/>
      <c r="H27" s="87"/>
      <c r="I27" s="87"/>
      <c r="J27" s="87"/>
      <c r="K27" s="87"/>
      <c r="L27" s="270"/>
      <c r="M27" s="87"/>
      <c r="N27" s="87"/>
      <c r="O27" s="87"/>
      <c r="P27" s="87"/>
      <c r="Q27" s="87"/>
      <c r="R27" s="87"/>
      <c r="S27" s="87"/>
      <c r="T27" s="87"/>
      <c r="U27" s="87"/>
      <c r="V27" s="87"/>
    </row>
    <row r="28" spans="1:22" x14ac:dyDescent="0.2">
      <c r="A28" s="270"/>
      <c r="B28" s="87"/>
      <c r="C28" s="439">
        <v>0.05</v>
      </c>
      <c r="D28" s="87"/>
      <c r="E28" s="707"/>
      <c r="F28" s="299" t="s">
        <v>485</v>
      </c>
      <c r="G28" s="87"/>
      <c r="H28" s="87"/>
      <c r="I28" s="87"/>
      <c r="J28" s="87"/>
      <c r="K28" s="87"/>
      <c r="L28" s="270"/>
      <c r="M28" s="87"/>
      <c r="N28" s="87"/>
      <c r="O28" s="87"/>
      <c r="P28" s="87"/>
      <c r="Q28" s="87"/>
      <c r="R28" s="87"/>
      <c r="S28" s="87"/>
      <c r="T28" s="87"/>
      <c r="U28" s="87"/>
      <c r="V28" s="87"/>
    </row>
    <row r="29" spans="1:22" ht="13.5" thickBot="1" x14ac:dyDescent="0.25">
      <c r="A29" s="270"/>
      <c r="B29" s="87"/>
      <c r="C29" s="87"/>
      <c r="D29" s="87"/>
      <c r="E29" s="90"/>
      <c r="F29" s="94"/>
      <c r="G29" s="87"/>
      <c r="H29" s="87"/>
      <c r="I29" s="87"/>
      <c r="J29" s="87"/>
      <c r="K29" s="87"/>
      <c r="L29" s="270"/>
      <c r="M29" s="87"/>
      <c r="N29" s="87"/>
      <c r="O29" s="87"/>
      <c r="P29" s="87"/>
      <c r="Q29" s="87"/>
      <c r="R29" s="87"/>
      <c r="S29" s="87"/>
      <c r="T29" s="87"/>
      <c r="U29" s="87"/>
      <c r="V29" s="87"/>
    </row>
    <row r="30" spans="1:22" ht="16.5" thickBot="1" x14ac:dyDescent="0.3">
      <c r="A30" s="270"/>
      <c r="B30" s="87"/>
      <c r="C30" s="437">
        <f>SUM(C31:C33)</f>
        <v>0.35000000000000003</v>
      </c>
      <c r="D30" s="87"/>
      <c r="E30" s="708">
        <f>SUM($C$31*E$31,$C$32*$E$32,$C$33*$E$33)/$C$30</f>
        <v>0</v>
      </c>
      <c r="F30" s="708"/>
      <c r="G30" s="708"/>
      <c r="H30" s="708"/>
      <c r="I30" s="708"/>
      <c r="J30" s="708"/>
      <c r="K30" s="326" t="s">
        <v>454</v>
      </c>
      <c r="L30" s="270"/>
      <c r="M30" s="87"/>
      <c r="N30" s="87"/>
      <c r="O30" s="87"/>
      <c r="P30" s="87"/>
      <c r="Q30" s="87"/>
      <c r="R30" s="87"/>
      <c r="S30" s="87"/>
      <c r="T30" s="87"/>
      <c r="U30" s="87"/>
      <c r="V30" s="87"/>
    </row>
    <row r="31" spans="1:22" x14ac:dyDescent="0.2">
      <c r="A31" s="270"/>
      <c r="B31" s="87"/>
      <c r="C31" s="439">
        <v>0.2</v>
      </c>
      <c r="D31" s="87"/>
      <c r="E31" s="707"/>
      <c r="F31" s="707"/>
      <c r="G31" s="707"/>
      <c r="H31" s="707"/>
      <c r="I31" s="707"/>
      <c r="J31" s="707"/>
      <c r="K31" s="440" t="s">
        <v>486</v>
      </c>
      <c r="L31" s="270"/>
      <c r="M31" s="87"/>
      <c r="N31" s="87"/>
      <c r="O31" s="87"/>
      <c r="P31" s="87"/>
      <c r="Q31" s="87"/>
      <c r="R31" s="87"/>
      <c r="S31" s="87"/>
      <c r="T31" s="87"/>
      <c r="U31" s="87"/>
      <c r="V31" s="87"/>
    </row>
    <row r="32" spans="1:22" x14ac:dyDescent="0.2">
      <c r="A32" s="270"/>
      <c r="B32" s="87"/>
      <c r="C32" s="439">
        <v>0.1</v>
      </c>
      <c r="D32" s="87"/>
      <c r="E32" s="707"/>
      <c r="F32" s="299" t="s">
        <v>487</v>
      </c>
      <c r="G32" s="87"/>
      <c r="H32" s="87"/>
      <c r="I32" s="87"/>
      <c r="J32" s="87"/>
      <c r="K32" s="87"/>
      <c r="L32" s="270"/>
      <c r="M32" s="87"/>
      <c r="N32" s="87"/>
      <c r="O32" s="87"/>
      <c r="P32" s="87"/>
      <c r="Q32" s="87"/>
      <c r="R32" s="87"/>
      <c r="S32" s="87"/>
      <c r="T32" s="87"/>
      <c r="U32" s="87"/>
      <c r="V32" s="87"/>
    </row>
    <row r="33" spans="1:22" x14ac:dyDescent="0.2">
      <c r="A33" s="270"/>
      <c r="B33" s="87"/>
      <c r="C33" s="439">
        <v>0.05</v>
      </c>
      <c r="D33" s="87"/>
      <c r="E33" s="707"/>
      <c r="F33" s="299" t="s">
        <v>488</v>
      </c>
      <c r="G33" s="87"/>
      <c r="H33" s="87"/>
      <c r="I33" s="87"/>
      <c r="J33" s="87"/>
      <c r="K33" s="87"/>
      <c r="L33" s="270"/>
      <c r="M33" s="87"/>
      <c r="N33" s="87"/>
      <c r="O33" s="87"/>
      <c r="P33" s="87"/>
      <c r="Q33" s="87"/>
      <c r="R33" s="87"/>
      <c r="S33" s="87"/>
      <c r="T33" s="87"/>
      <c r="U33" s="87"/>
      <c r="V33" s="87"/>
    </row>
    <row r="34" spans="1:22" ht="13.5" thickBot="1" x14ac:dyDescent="0.25">
      <c r="A34" s="270"/>
      <c r="B34" s="87"/>
      <c r="C34" s="87"/>
      <c r="D34" s="87"/>
      <c r="E34" s="87"/>
      <c r="F34" s="87"/>
      <c r="G34" s="87"/>
      <c r="H34" s="87"/>
      <c r="I34" s="87"/>
      <c r="J34" s="87"/>
      <c r="K34" s="87"/>
      <c r="L34" s="270"/>
      <c r="M34" s="87"/>
      <c r="N34" s="87"/>
      <c r="O34" s="87"/>
      <c r="P34" s="87"/>
      <c r="Q34" s="87"/>
      <c r="R34" s="87"/>
      <c r="S34" s="87"/>
      <c r="T34" s="87"/>
      <c r="U34" s="87"/>
      <c r="V34" s="87"/>
    </row>
    <row r="35" spans="1:22" ht="17.25" thickTop="1" thickBot="1" x14ac:dyDescent="0.25">
      <c r="A35" s="270"/>
      <c r="B35" s="87"/>
      <c r="C35" s="437">
        <f>C10+C18+C25+C30</f>
        <v>1</v>
      </c>
      <c r="D35" s="288"/>
      <c r="E35" s="709">
        <f>SUM($C10*E10,$C18*E18,$C25*E25,C30*E30)</f>
        <v>0</v>
      </c>
      <c r="F35" s="709"/>
      <c r="G35" s="709"/>
      <c r="H35" s="709"/>
      <c r="I35" s="709"/>
      <c r="J35" s="709"/>
      <c r="K35" s="293" t="s">
        <v>489</v>
      </c>
      <c r="L35" s="270"/>
      <c r="M35" s="87"/>
      <c r="N35" s="87"/>
      <c r="O35" s="87"/>
      <c r="P35" s="87"/>
      <c r="Q35" s="87"/>
      <c r="R35" s="87"/>
      <c r="S35" s="87"/>
      <c r="T35" s="87"/>
      <c r="U35" s="87"/>
      <c r="V35" s="87"/>
    </row>
    <row r="36" spans="1:22" x14ac:dyDescent="0.2">
      <c r="A36" s="270"/>
      <c r="B36" s="87"/>
      <c r="C36" s="87"/>
      <c r="D36" s="87"/>
      <c r="E36" s="441" t="s">
        <v>490</v>
      </c>
      <c r="F36" s="441" t="s">
        <v>491</v>
      </c>
      <c r="G36" s="441" t="s">
        <v>492</v>
      </c>
      <c r="H36" s="441" t="s">
        <v>493</v>
      </c>
      <c r="I36" s="441" t="s">
        <v>494</v>
      </c>
      <c r="J36" s="441" t="s">
        <v>495</v>
      </c>
      <c r="K36" s="87"/>
      <c r="L36" s="270"/>
      <c r="M36" s="87"/>
      <c r="N36" s="87"/>
      <c r="O36" s="87"/>
      <c r="P36" s="87"/>
      <c r="Q36" s="87"/>
      <c r="R36" s="87"/>
      <c r="S36" s="87"/>
      <c r="T36" s="87"/>
      <c r="U36" s="87"/>
      <c r="V36" s="87"/>
    </row>
    <row r="37" spans="1:22" x14ac:dyDescent="0.2">
      <c r="A37" s="270"/>
      <c r="B37" s="87"/>
      <c r="C37" s="87"/>
      <c r="D37" s="87"/>
      <c r="E37" s="706"/>
      <c r="F37" s="706"/>
      <c r="G37" s="706"/>
      <c r="H37" s="706"/>
      <c r="I37" s="706"/>
      <c r="J37" s="706"/>
      <c r="K37" s="440" t="s">
        <v>496</v>
      </c>
      <c r="L37" s="270"/>
      <c r="M37" s="87"/>
      <c r="N37" s="87"/>
      <c r="O37" s="87"/>
      <c r="P37" s="87"/>
      <c r="Q37" s="87"/>
      <c r="R37" s="87"/>
      <c r="S37" s="87"/>
      <c r="T37" s="87"/>
      <c r="U37" s="87"/>
      <c r="V37" s="87"/>
    </row>
    <row r="38" spans="1:22" x14ac:dyDescent="0.2">
      <c r="A38" s="270"/>
      <c r="B38" s="87"/>
      <c r="C38" s="87"/>
      <c r="D38" s="87"/>
      <c r="E38" s="87"/>
      <c r="F38" s="87"/>
      <c r="G38" s="87"/>
      <c r="H38" s="87"/>
      <c r="I38" s="87"/>
      <c r="J38" s="87"/>
      <c r="K38" s="87"/>
      <c r="L38" s="270"/>
      <c r="M38" s="87"/>
      <c r="N38" s="87"/>
      <c r="O38" s="87"/>
      <c r="P38" s="87"/>
      <c r="Q38" s="87"/>
      <c r="R38" s="87"/>
      <c r="S38" s="87"/>
      <c r="T38" s="87"/>
      <c r="U38" s="87"/>
      <c r="V38" s="87"/>
    </row>
    <row r="39" spans="1:22" ht="15" x14ac:dyDescent="0.2">
      <c r="A39" s="270"/>
      <c r="B39" s="87"/>
      <c r="C39" s="442"/>
      <c r="D39" s="87"/>
      <c r="E39" s="443"/>
      <c r="F39" s="299"/>
      <c r="G39" s="87"/>
      <c r="H39" s="87"/>
      <c r="I39" s="1043" t="s">
        <v>428</v>
      </c>
      <c r="J39" s="1043"/>
      <c r="K39" s="1043"/>
      <c r="L39" s="270"/>
      <c r="M39" s="87"/>
      <c r="N39" s="87"/>
      <c r="O39" s="87"/>
      <c r="P39" s="87"/>
      <c r="Q39" s="87"/>
      <c r="R39" s="87"/>
      <c r="S39" s="87"/>
      <c r="T39" s="87"/>
      <c r="U39" s="87"/>
      <c r="V39" s="87"/>
    </row>
    <row r="40" spans="1:22" ht="15" x14ac:dyDescent="0.2">
      <c r="A40" s="270"/>
      <c r="B40" s="87"/>
      <c r="C40" s="444" t="s">
        <v>427</v>
      </c>
      <c r="D40" s="87"/>
      <c r="E40" s="1171"/>
      <c r="F40" s="1171"/>
      <c r="G40" s="1171"/>
      <c r="H40" s="1171"/>
      <c r="I40" s="1044"/>
      <c r="J40" s="1044"/>
      <c r="K40" s="1045"/>
      <c r="L40" s="270"/>
      <c r="M40" s="87"/>
      <c r="N40" s="87"/>
      <c r="O40" s="87"/>
      <c r="P40" s="87"/>
      <c r="Q40" s="87"/>
      <c r="R40" s="87"/>
      <c r="S40" s="87"/>
      <c r="T40" s="87"/>
      <c r="U40" s="87"/>
      <c r="V40" s="87"/>
    </row>
    <row r="41" spans="1:22" ht="15.75" x14ac:dyDescent="0.2">
      <c r="A41" s="270"/>
      <c r="B41" s="87"/>
      <c r="C41" s="293"/>
      <c r="D41" s="87"/>
      <c r="E41" s="1171"/>
      <c r="F41" s="1171"/>
      <c r="G41" s="1171"/>
      <c r="H41" s="1171"/>
      <c r="I41" s="1046"/>
      <c r="J41" s="1046"/>
      <c r="K41" s="1047"/>
      <c r="L41" s="270"/>
      <c r="M41" s="87"/>
      <c r="N41" s="87"/>
      <c r="O41" s="87"/>
      <c r="P41" s="87"/>
      <c r="Q41" s="87"/>
      <c r="R41" s="87"/>
      <c r="S41" s="87"/>
      <c r="T41" s="87"/>
      <c r="U41" s="87"/>
      <c r="V41" s="87"/>
    </row>
    <row r="42" spans="1:22" s="295" customFormat="1" ht="16.5" customHeight="1" x14ac:dyDescent="0.2">
      <c r="A42" s="287"/>
      <c r="B42" s="288"/>
      <c r="C42" s="87"/>
      <c r="D42" s="87"/>
      <c r="E42" s="1171"/>
      <c r="F42" s="1171"/>
      <c r="G42" s="1171"/>
      <c r="H42" s="1171"/>
      <c r="I42" s="87"/>
      <c r="J42" s="87"/>
      <c r="K42" s="87"/>
      <c r="L42" s="435"/>
      <c r="M42" s="288"/>
      <c r="N42" s="288"/>
      <c r="O42" s="288"/>
      <c r="P42" s="288"/>
      <c r="Q42" s="288"/>
      <c r="R42" s="288"/>
      <c r="S42" s="288"/>
      <c r="T42" s="288"/>
      <c r="U42" s="288"/>
      <c r="V42" s="288"/>
    </row>
    <row r="43" spans="1:22" x14ac:dyDescent="0.2">
      <c r="A43" s="270"/>
      <c r="B43" s="87"/>
      <c r="C43" s="87"/>
      <c r="D43" s="87"/>
      <c r="E43" s="1171"/>
      <c r="F43" s="1171"/>
      <c r="G43" s="1171"/>
      <c r="H43" s="1171"/>
      <c r="I43" s="87"/>
      <c r="J43" s="87"/>
      <c r="K43" s="87"/>
      <c r="L43" s="270"/>
      <c r="M43" s="87"/>
      <c r="N43" s="87"/>
      <c r="O43" s="87"/>
      <c r="P43" s="87"/>
      <c r="Q43" s="87"/>
      <c r="R43" s="87"/>
      <c r="S43" s="87"/>
      <c r="T43" s="87"/>
      <c r="U43" s="87"/>
      <c r="V43" s="87"/>
    </row>
    <row r="44" spans="1:22" x14ac:dyDescent="0.2">
      <c r="A44" s="270"/>
      <c r="B44" s="87"/>
      <c r="C44" s="87"/>
      <c r="D44" s="87"/>
      <c r="E44" s="1171"/>
      <c r="F44" s="1171"/>
      <c r="G44" s="1171"/>
      <c r="H44" s="1171"/>
      <c r="I44" s="87"/>
      <c r="J44" s="87"/>
      <c r="K44" s="87"/>
      <c r="L44" s="270"/>
      <c r="M44" s="87"/>
      <c r="N44" s="87"/>
      <c r="O44" s="87"/>
      <c r="P44" s="87"/>
      <c r="Q44" s="87"/>
      <c r="R44" s="87"/>
      <c r="S44" s="87"/>
      <c r="T44" s="87"/>
      <c r="U44" s="87"/>
      <c r="V44" s="87"/>
    </row>
    <row r="45" spans="1:22" x14ac:dyDescent="0.2">
      <c r="A45" s="270"/>
      <c r="B45" s="87"/>
      <c r="C45" s="87"/>
      <c r="D45" s="87"/>
      <c r="E45" s="1171"/>
      <c r="F45" s="1171"/>
      <c r="G45" s="1171"/>
      <c r="H45" s="1171"/>
      <c r="I45" s="87"/>
      <c r="J45" s="87"/>
      <c r="K45" s="87"/>
      <c r="L45" s="270"/>
      <c r="M45" s="87"/>
      <c r="N45" s="87"/>
      <c r="O45" s="87"/>
      <c r="P45" s="87"/>
      <c r="Q45" s="87"/>
      <c r="R45" s="87"/>
      <c r="S45" s="87"/>
      <c r="T45" s="87"/>
      <c r="U45" s="87"/>
      <c r="V45" s="87"/>
    </row>
    <row r="46" spans="1:22" x14ac:dyDescent="0.2">
      <c r="A46" s="270"/>
      <c r="B46" s="87"/>
      <c r="C46" s="87"/>
      <c r="D46" s="87"/>
      <c r="E46" s="1171"/>
      <c r="F46" s="1171"/>
      <c r="G46" s="1171"/>
      <c r="H46" s="1171"/>
      <c r="I46" s="87"/>
      <c r="J46" s="87"/>
      <c r="K46" s="87"/>
      <c r="L46" s="270"/>
      <c r="M46" s="87"/>
      <c r="N46" s="87"/>
      <c r="O46" s="87"/>
      <c r="P46" s="87"/>
      <c r="Q46" s="87"/>
      <c r="R46" s="87"/>
      <c r="S46" s="87"/>
      <c r="T46" s="87"/>
      <c r="U46" s="87"/>
      <c r="V46" s="87"/>
    </row>
    <row r="47" spans="1:22" x14ac:dyDescent="0.2">
      <c r="A47" s="270"/>
      <c r="B47" s="87"/>
      <c r="C47" s="87"/>
      <c r="D47" s="87"/>
      <c r="E47" s="87"/>
      <c r="F47" s="87"/>
      <c r="G47" s="87"/>
      <c r="H47" s="87"/>
      <c r="I47" s="87"/>
      <c r="J47" s="87"/>
      <c r="K47" s="87"/>
      <c r="L47" s="270"/>
      <c r="M47" s="87"/>
      <c r="N47" s="87"/>
      <c r="O47" s="87"/>
      <c r="P47" s="87"/>
      <c r="Q47" s="87"/>
      <c r="R47" s="87"/>
      <c r="S47" s="87"/>
      <c r="T47" s="87"/>
      <c r="U47" s="87"/>
      <c r="V47" s="87"/>
    </row>
    <row r="48" spans="1:22" x14ac:dyDescent="0.2">
      <c r="A48" s="270"/>
      <c r="B48" s="87"/>
      <c r="C48" s="87"/>
      <c r="D48" s="87"/>
      <c r="E48" s="87"/>
      <c r="F48" s="87"/>
      <c r="G48" s="87"/>
      <c r="H48" s="87"/>
      <c r="I48" s="87"/>
      <c r="J48" s="87"/>
      <c r="K48" s="87"/>
      <c r="L48" s="270"/>
      <c r="M48" s="87"/>
      <c r="N48" s="87"/>
      <c r="O48" s="87"/>
      <c r="P48" s="87"/>
      <c r="Q48" s="87"/>
      <c r="R48" s="87"/>
      <c r="S48" s="87"/>
      <c r="T48" s="87"/>
      <c r="U48" s="87"/>
      <c r="V48" s="87"/>
    </row>
    <row r="49" spans="1:22" x14ac:dyDescent="0.2">
      <c r="A49" s="270"/>
      <c r="B49" s="87"/>
      <c r="C49" s="87"/>
      <c r="D49" s="87"/>
      <c r="E49" s="87"/>
      <c r="F49" s="87"/>
      <c r="G49" s="87"/>
      <c r="H49" s="87"/>
      <c r="I49" s="87"/>
      <c r="J49" s="87"/>
      <c r="K49" s="87"/>
      <c r="L49" s="270"/>
      <c r="M49" s="87"/>
      <c r="N49" s="87"/>
      <c r="O49" s="87"/>
      <c r="P49" s="87"/>
      <c r="Q49" s="87"/>
      <c r="R49" s="87"/>
      <c r="S49" s="87"/>
      <c r="T49" s="87"/>
      <c r="U49" s="87"/>
      <c r="V49" s="87"/>
    </row>
    <row r="50" spans="1:22" ht="15.75" x14ac:dyDescent="0.25">
      <c r="A50" s="270"/>
      <c r="B50" s="326" t="s">
        <v>429</v>
      </c>
      <c r="C50" s="87"/>
      <c r="D50" s="87"/>
      <c r="E50" s="87"/>
      <c r="F50" s="87"/>
      <c r="G50" s="87"/>
      <c r="H50" s="87"/>
      <c r="I50" s="87"/>
      <c r="J50" s="87"/>
      <c r="K50" s="87"/>
      <c r="L50" s="270"/>
      <c r="M50" s="87"/>
      <c r="N50" s="87"/>
      <c r="O50" s="87"/>
      <c r="P50" s="87"/>
      <c r="Q50" s="87"/>
      <c r="R50" s="87"/>
      <c r="S50" s="87"/>
      <c r="T50" s="87"/>
      <c r="U50" s="87"/>
      <c r="V50" s="87"/>
    </row>
    <row r="51" spans="1:22" x14ac:dyDescent="0.2">
      <c r="A51" s="270"/>
      <c r="B51" s="270"/>
      <c r="C51" s="270"/>
      <c r="D51" s="270"/>
      <c r="E51" s="270"/>
      <c r="F51" s="270"/>
      <c r="G51" s="270"/>
      <c r="H51" s="270"/>
      <c r="I51" s="270"/>
      <c r="J51" s="270"/>
      <c r="K51" s="270"/>
      <c r="L51" s="270"/>
      <c r="M51" s="87"/>
      <c r="N51" s="87"/>
      <c r="O51" s="87"/>
      <c r="P51" s="87"/>
      <c r="Q51" s="87"/>
      <c r="R51" s="87"/>
      <c r="S51" s="87"/>
      <c r="T51" s="87"/>
      <c r="U51" s="87"/>
      <c r="V51" s="87"/>
    </row>
    <row r="52" spans="1:22" x14ac:dyDescent="0.2">
      <c r="A52" s="87"/>
      <c r="B52" s="87"/>
      <c r="C52" s="87"/>
      <c r="D52" s="87"/>
      <c r="E52" s="87"/>
      <c r="F52" s="87"/>
      <c r="G52" s="87"/>
      <c r="H52" s="87"/>
      <c r="I52" s="87"/>
      <c r="J52" s="87"/>
      <c r="K52" s="87"/>
      <c r="L52" s="87"/>
      <c r="M52" s="87"/>
      <c r="N52" s="87"/>
      <c r="O52" s="87"/>
      <c r="P52" s="87"/>
      <c r="Q52" s="87"/>
      <c r="R52" s="87"/>
      <c r="S52" s="87"/>
      <c r="T52" s="87"/>
      <c r="U52" s="87"/>
      <c r="V52" s="87"/>
    </row>
    <row r="53" spans="1:22" x14ac:dyDescent="0.2">
      <c r="A53" s="87"/>
      <c r="B53" s="87"/>
      <c r="C53" s="87"/>
      <c r="D53" s="87"/>
      <c r="E53" s="87"/>
      <c r="F53" s="87"/>
      <c r="G53" s="87"/>
      <c r="H53" s="87"/>
      <c r="I53" s="87"/>
      <c r="J53" s="87"/>
      <c r="K53" s="87"/>
      <c r="L53" s="87"/>
      <c r="M53" s="87"/>
      <c r="N53" s="87"/>
      <c r="O53" s="87"/>
      <c r="P53" s="87"/>
      <c r="Q53" s="87"/>
      <c r="R53" s="87"/>
      <c r="S53" s="87"/>
      <c r="T53" s="87"/>
      <c r="U53" s="87"/>
      <c r="V53" s="87"/>
    </row>
    <row r="54" spans="1:22" x14ac:dyDescent="0.2">
      <c r="A54" s="87"/>
      <c r="B54" s="87"/>
      <c r="C54" s="87"/>
      <c r="D54" s="87"/>
      <c r="E54" s="87"/>
      <c r="F54" s="87"/>
      <c r="G54" s="87"/>
      <c r="H54" s="87"/>
      <c r="I54" s="87"/>
      <c r="J54" s="87"/>
      <c r="K54" s="87"/>
      <c r="L54" s="87"/>
      <c r="M54" s="87"/>
      <c r="N54" s="87"/>
      <c r="O54" s="87"/>
      <c r="P54" s="87"/>
      <c r="Q54" s="87"/>
      <c r="R54" s="87"/>
      <c r="S54" s="87"/>
      <c r="T54" s="87"/>
      <c r="U54" s="87"/>
      <c r="V54" s="87"/>
    </row>
    <row r="55" spans="1:22" x14ac:dyDescent="0.2">
      <c r="A55" s="87"/>
      <c r="B55" s="87"/>
      <c r="C55" s="87"/>
      <c r="D55" s="87"/>
      <c r="E55" s="87"/>
      <c r="F55" s="87"/>
      <c r="G55" s="87"/>
      <c r="H55" s="87"/>
      <c r="I55" s="87"/>
      <c r="J55" s="87"/>
      <c r="K55" s="87"/>
      <c r="L55" s="87"/>
      <c r="M55" s="87"/>
      <c r="N55" s="87"/>
      <c r="O55" s="87"/>
      <c r="P55" s="87"/>
      <c r="Q55" s="87"/>
      <c r="R55" s="87"/>
      <c r="S55" s="87"/>
      <c r="T55" s="87"/>
      <c r="U55" s="87"/>
      <c r="V55" s="87"/>
    </row>
    <row r="56" spans="1:22" x14ac:dyDescent="0.2">
      <c r="A56" s="87"/>
      <c r="B56" s="87"/>
      <c r="C56" s="87"/>
      <c r="D56" s="87"/>
      <c r="E56" s="87"/>
      <c r="F56" s="87"/>
      <c r="G56" s="87"/>
      <c r="H56" s="87"/>
      <c r="I56" s="87"/>
      <c r="J56" s="87"/>
      <c r="K56" s="87"/>
      <c r="L56" s="87"/>
      <c r="M56" s="87"/>
      <c r="N56" s="87"/>
      <c r="O56" s="87"/>
      <c r="P56" s="87"/>
      <c r="Q56" s="87"/>
      <c r="R56" s="87"/>
      <c r="S56" s="87"/>
      <c r="T56" s="87"/>
      <c r="U56" s="87"/>
      <c r="V56" s="87"/>
    </row>
    <row r="57" spans="1:22" x14ac:dyDescent="0.2">
      <c r="A57" s="87"/>
      <c r="B57" s="87"/>
      <c r="C57" s="87"/>
      <c r="D57" s="87"/>
      <c r="E57" s="87"/>
      <c r="F57" s="87"/>
      <c r="G57" s="87"/>
      <c r="H57" s="87"/>
      <c r="I57" s="87"/>
      <c r="J57" s="87"/>
      <c r="K57" s="87"/>
      <c r="L57" s="87"/>
      <c r="M57" s="87"/>
      <c r="N57" s="87"/>
      <c r="O57" s="87"/>
      <c r="P57" s="87"/>
      <c r="Q57" s="87"/>
      <c r="R57" s="87"/>
      <c r="S57" s="87"/>
      <c r="T57" s="87"/>
      <c r="U57" s="87"/>
      <c r="V57" s="87"/>
    </row>
    <row r="58" spans="1:22" x14ac:dyDescent="0.2">
      <c r="A58" s="87"/>
      <c r="B58" s="87"/>
      <c r="C58" s="87"/>
      <c r="D58" s="87"/>
      <c r="E58" s="87"/>
      <c r="F58" s="87"/>
      <c r="G58" s="87"/>
      <c r="H58" s="87"/>
      <c r="I58" s="87"/>
      <c r="J58" s="87"/>
      <c r="K58" s="87"/>
      <c r="L58" s="87"/>
      <c r="M58" s="87"/>
      <c r="N58" s="87"/>
      <c r="O58" s="87"/>
      <c r="P58" s="87"/>
      <c r="Q58" s="87"/>
      <c r="R58" s="87"/>
      <c r="S58" s="87"/>
      <c r="T58" s="87"/>
      <c r="U58" s="87"/>
      <c r="V58" s="87"/>
    </row>
    <row r="59" spans="1:22" x14ac:dyDescent="0.2">
      <c r="A59" s="87"/>
      <c r="B59" s="87"/>
      <c r="C59" s="87"/>
      <c r="D59" s="87"/>
      <c r="E59" s="87"/>
      <c r="F59" s="87"/>
      <c r="G59" s="87"/>
      <c r="H59" s="87"/>
      <c r="I59" s="87"/>
      <c r="J59" s="87"/>
      <c r="K59" s="87"/>
      <c r="L59" s="87"/>
      <c r="M59" s="87"/>
      <c r="N59" s="87"/>
      <c r="O59" s="87"/>
      <c r="P59" s="87"/>
      <c r="Q59" s="87"/>
      <c r="R59" s="87"/>
      <c r="S59" s="87"/>
      <c r="T59" s="87"/>
      <c r="U59" s="87"/>
      <c r="V59" s="87"/>
    </row>
    <row r="60" spans="1:22" x14ac:dyDescent="0.2">
      <c r="A60" s="87"/>
      <c r="B60" s="87"/>
      <c r="C60" s="87"/>
      <c r="D60" s="87"/>
      <c r="E60" s="87"/>
      <c r="F60" s="87"/>
      <c r="G60" s="87"/>
      <c r="H60" s="87"/>
      <c r="I60" s="87"/>
      <c r="J60" s="87"/>
      <c r="K60" s="87"/>
      <c r="L60" s="87"/>
      <c r="M60" s="87"/>
      <c r="N60" s="87"/>
      <c r="O60" s="87"/>
      <c r="P60" s="87"/>
      <c r="Q60" s="87"/>
      <c r="R60" s="87"/>
      <c r="S60" s="87"/>
      <c r="T60" s="87"/>
      <c r="U60" s="87"/>
      <c r="V60" s="87"/>
    </row>
    <row r="61" spans="1:22" x14ac:dyDescent="0.2">
      <c r="A61" s="87"/>
      <c r="B61" s="87"/>
      <c r="C61" s="87"/>
      <c r="D61" s="87"/>
      <c r="E61" s="87"/>
      <c r="F61" s="87"/>
      <c r="G61" s="87"/>
      <c r="H61" s="87"/>
      <c r="I61" s="87"/>
      <c r="J61" s="87"/>
      <c r="K61" s="87"/>
      <c r="L61" s="87"/>
      <c r="M61" s="87"/>
      <c r="N61" s="87"/>
      <c r="O61" s="87"/>
      <c r="P61" s="87"/>
      <c r="Q61" s="87"/>
      <c r="R61" s="87"/>
      <c r="S61" s="87"/>
      <c r="T61" s="87"/>
      <c r="U61" s="87"/>
      <c r="V61" s="87"/>
    </row>
    <row r="62" spans="1:22" x14ac:dyDescent="0.2">
      <c r="A62" s="87"/>
      <c r="B62" s="87"/>
      <c r="C62" s="87"/>
      <c r="D62" s="87"/>
      <c r="E62" s="87"/>
      <c r="F62" s="87"/>
      <c r="G62" s="87"/>
      <c r="H62" s="87"/>
      <c r="I62" s="87"/>
      <c r="J62" s="87"/>
      <c r="K62" s="87"/>
      <c r="L62" s="87"/>
      <c r="M62" s="87"/>
      <c r="N62" s="87"/>
      <c r="O62" s="87"/>
      <c r="P62" s="87"/>
      <c r="Q62" s="87"/>
      <c r="R62" s="87"/>
      <c r="S62" s="87"/>
      <c r="T62" s="87"/>
      <c r="U62" s="87"/>
      <c r="V62" s="87"/>
    </row>
    <row r="63" spans="1:22" x14ac:dyDescent="0.2">
      <c r="A63" s="87"/>
      <c r="B63" s="87"/>
      <c r="C63" s="87"/>
      <c r="D63" s="87"/>
      <c r="E63" s="87"/>
      <c r="F63" s="87"/>
      <c r="G63" s="87"/>
      <c r="H63" s="87"/>
      <c r="I63" s="87"/>
      <c r="J63" s="87"/>
      <c r="K63" s="87"/>
      <c r="L63" s="87"/>
      <c r="M63" s="87"/>
      <c r="N63" s="87"/>
      <c r="O63" s="87"/>
      <c r="P63" s="87"/>
      <c r="Q63" s="87"/>
      <c r="R63" s="87"/>
      <c r="S63" s="87"/>
      <c r="T63" s="87"/>
      <c r="U63" s="87"/>
      <c r="V63" s="87"/>
    </row>
    <row r="64" spans="1:22" x14ac:dyDescent="0.2">
      <c r="A64" s="87"/>
      <c r="B64" s="87"/>
      <c r="C64" s="87"/>
      <c r="D64" s="87"/>
      <c r="E64" s="87"/>
      <c r="F64" s="87"/>
      <c r="G64" s="87"/>
      <c r="H64" s="87"/>
      <c r="I64" s="87"/>
      <c r="J64" s="87"/>
      <c r="K64" s="87"/>
      <c r="L64" s="87"/>
      <c r="M64" s="87"/>
      <c r="N64" s="87"/>
      <c r="O64" s="87"/>
      <c r="P64" s="87"/>
      <c r="Q64" s="87"/>
      <c r="R64" s="87"/>
      <c r="S64" s="87"/>
      <c r="T64" s="87"/>
      <c r="U64" s="87"/>
      <c r="V64" s="87"/>
    </row>
    <row r="65" spans="1:22" x14ac:dyDescent="0.2">
      <c r="A65" s="87"/>
      <c r="B65" s="87"/>
      <c r="C65" s="87"/>
      <c r="D65" s="87"/>
      <c r="E65" s="87"/>
      <c r="F65" s="87"/>
      <c r="G65" s="87"/>
      <c r="H65" s="87"/>
      <c r="I65" s="87"/>
      <c r="J65" s="87"/>
      <c r="K65" s="87"/>
      <c r="L65" s="87"/>
      <c r="M65" s="87"/>
      <c r="N65" s="87"/>
      <c r="O65" s="87"/>
      <c r="P65" s="87"/>
      <c r="Q65" s="87"/>
      <c r="R65" s="87"/>
      <c r="S65" s="87"/>
      <c r="T65" s="87"/>
      <c r="U65" s="87"/>
      <c r="V65" s="87"/>
    </row>
    <row r="66" spans="1:22" x14ac:dyDescent="0.2">
      <c r="A66" s="87"/>
      <c r="B66" s="87"/>
      <c r="C66" s="87"/>
      <c r="D66" s="87"/>
      <c r="E66" s="87"/>
      <c r="F66" s="87"/>
      <c r="G66" s="87"/>
      <c r="H66" s="87"/>
      <c r="I66" s="87"/>
      <c r="J66" s="87"/>
      <c r="K66" s="87"/>
      <c r="L66" s="87"/>
      <c r="M66" s="87"/>
      <c r="N66" s="87"/>
      <c r="O66" s="87"/>
      <c r="P66" s="87"/>
      <c r="Q66" s="87"/>
      <c r="R66" s="87"/>
      <c r="S66" s="87"/>
      <c r="T66" s="87"/>
      <c r="U66" s="87"/>
      <c r="V66" s="87"/>
    </row>
    <row r="67" spans="1:22" x14ac:dyDescent="0.2">
      <c r="A67" s="87"/>
      <c r="B67" s="87"/>
      <c r="C67" s="87"/>
      <c r="D67" s="87"/>
      <c r="E67" s="87"/>
      <c r="F67" s="87"/>
      <c r="G67" s="87"/>
      <c r="H67" s="87"/>
      <c r="I67" s="87"/>
      <c r="J67" s="87"/>
      <c r="K67" s="87"/>
      <c r="L67" s="87"/>
      <c r="M67" s="87"/>
      <c r="N67" s="87"/>
      <c r="O67" s="87"/>
      <c r="P67" s="87"/>
      <c r="Q67" s="87"/>
      <c r="R67" s="87"/>
      <c r="S67" s="87"/>
      <c r="T67" s="87"/>
      <c r="U67" s="87"/>
      <c r="V67" s="87"/>
    </row>
  </sheetData>
  <sheetProtection algorithmName="SHA-512" hashValue="VjPdaZ5LT5res/F82eIhvhQu2J9bcHpts+mGXY3F/P+DzhkJ8bZVkBhzBRLgQX8ZtisuMCgwRCsX55kj81G4sQ==" saltValue="In2xXZ0hoV2mnUhF/dr8FA==" spinCount="100000" sheet="1"/>
  <mergeCells count="8">
    <mergeCell ref="N3:S4"/>
    <mergeCell ref="E40:H46"/>
    <mergeCell ref="I40:K41"/>
    <mergeCell ref="C4:D4"/>
    <mergeCell ref="E4:G4"/>
    <mergeCell ref="J4:K4"/>
    <mergeCell ref="G6:I6"/>
    <mergeCell ref="I39:K39"/>
  </mergeCells>
  <conditionalFormatting sqref="E4 J4 G6">
    <cfRule type="containsBlanks" dxfId="319" priority="2">
      <formula>LEN(TRIM(E4))=0</formula>
    </cfRule>
  </conditionalFormatting>
  <conditionalFormatting sqref="I40">
    <cfRule type="containsBlanks" dxfId="318" priority="1">
      <formula>LEN(TRIM(I40))=0</formula>
    </cfRule>
  </conditionalFormatting>
  <hyperlinks>
    <hyperlink ref="N3" location="PF!A1" display="PF phase Summary Page" xr:uid="{C44FE712-C93C-4C7A-95E6-76189782C54B}"/>
  </hyperlinks>
  <printOptions horizontalCentered="1" verticalCentered="1"/>
  <pageMargins left="0.75" right="0.75" top="1" bottom="1" header="0.5" footer="0.5"/>
  <pageSetup scale="83" orientation="portrait" r:id="rId1"/>
  <headerFooter alignWithMargins="0">
    <oddFooter>&amp;L&amp;D&amp;R&amp;F</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0417" r:id="rId4" name="IP_Signature">
              <controlPr defaultSize="0" print="0" autoFill="0" autoPict="0" macro="[0]!IP_signature">
                <anchor moveWithCells="1" sizeWithCells="1">
                  <from>
                    <xdr:col>8</xdr:col>
                    <xdr:colOff>0</xdr:colOff>
                    <xdr:row>39</xdr:row>
                    <xdr:rowOff>0</xdr:rowOff>
                  </from>
                  <to>
                    <xdr:col>11</xdr:col>
                    <xdr:colOff>0</xdr:colOff>
                    <xdr:row>41</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A6FD7-068E-4DB7-903B-1BC3B9F3FB78}">
  <sheetPr codeName="Sheet23">
    <tabColor rgb="FF00B050"/>
    <pageSetUpPr autoPageBreaks="0"/>
  </sheetPr>
  <dimension ref="B1:BU66"/>
  <sheetViews>
    <sheetView showGridLines="0" showRowColHeaders="0" topLeftCell="A2" zoomScaleNormal="100" zoomScaleSheetLayoutView="100" workbookViewId="0">
      <selection activeCell="B6" sqref="B6:E6"/>
    </sheetView>
  </sheetViews>
  <sheetFormatPr defaultColWidth="9.140625" defaultRowHeight="12.75" x14ac:dyDescent="0.2"/>
  <cols>
    <col min="1" max="1" width="1.5703125" style="87" customWidth="1"/>
    <col min="2" max="2" width="3.5703125" style="87" customWidth="1"/>
    <col min="3" max="3" width="5.5703125" style="87" customWidth="1"/>
    <col min="4" max="4" width="9.140625" style="87" customWidth="1"/>
    <col min="5" max="5" width="14" style="87" customWidth="1"/>
    <col min="6" max="6" width="7.85546875" style="87" customWidth="1"/>
    <col min="7" max="11" width="5.140625" style="87" customWidth="1"/>
    <col min="12" max="12" width="21.5703125" style="87" customWidth="1"/>
    <col min="13" max="13" width="6.5703125" style="87" customWidth="1"/>
    <col min="14" max="14" width="12.5703125" style="87" customWidth="1"/>
    <col min="15" max="15" width="7.85546875" style="87" customWidth="1"/>
    <col min="16" max="16" width="2.7109375" style="87" customWidth="1"/>
    <col min="17" max="17" width="4.85546875" style="87" customWidth="1"/>
    <col min="18" max="18" width="7.28515625" style="87" customWidth="1"/>
    <col min="19" max="19" width="1.7109375" style="87" customWidth="1"/>
    <col min="20" max="20" width="19.140625" style="88" hidden="1" customWidth="1"/>
    <col min="21" max="21" width="31.140625" style="88" hidden="1" customWidth="1"/>
    <col min="22" max="22" width="5.140625" style="88" hidden="1" customWidth="1"/>
    <col min="23" max="24" width="6.28515625" style="88" hidden="1" customWidth="1"/>
    <col min="25" max="25" width="8.42578125" style="88" hidden="1" customWidth="1"/>
    <col min="26" max="26" width="7.85546875" style="88" hidden="1" customWidth="1"/>
    <col min="27" max="27" width="10.7109375" style="88" hidden="1" customWidth="1"/>
    <col min="28" max="28" width="8" style="88" hidden="1" customWidth="1"/>
    <col min="29" max="31" width="5.140625" style="88" hidden="1" customWidth="1"/>
    <col min="32" max="34" width="5.85546875" style="88" hidden="1" customWidth="1"/>
    <col min="35" max="35" width="8.5703125" style="89" hidden="1" customWidth="1"/>
    <col min="36" max="36" width="7" style="88" hidden="1" customWidth="1"/>
    <col min="37" max="38" width="5.28515625" style="88" hidden="1" customWidth="1"/>
    <col min="39" max="40" width="7" style="88" hidden="1" customWidth="1"/>
    <col min="41" max="41" width="5.140625" style="88" hidden="1" customWidth="1"/>
    <col min="42" max="42" width="11.28515625" style="88" hidden="1" customWidth="1"/>
    <col min="43" max="43" width="6.42578125" style="88" hidden="1" customWidth="1"/>
    <col min="44" max="44" width="8.28515625" style="88" hidden="1" customWidth="1"/>
    <col min="45" max="45" width="8.85546875" style="88" hidden="1" customWidth="1"/>
    <col min="46" max="46" width="10.7109375" style="88" hidden="1" customWidth="1"/>
    <col min="47" max="47" width="8.85546875" style="88" hidden="1" customWidth="1"/>
    <col min="48" max="48" width="6.28515625" style="88" hidden="1" customWidth="1"/>
    <col min="49" max="49" width="10" style="88" hidden="1" customWidth="1"/>
    <col min="50" max="50" width="7.5703125" style="88" hidden="1" customWidth="1"/>
    <col min="51" max="51" width="7" style="88" hidden="1" customWidth="1"/>
    <col min="52" max="52" width="8.140625" style="88" hidden="1" customWidth="1"/>
    <col min="53" max="53" width="12.5703125" style="88" hidden="1" customWidth="1"/>
    <col min="54" max="54" width="7.7109375" style="88" hidden="1" customWidth="1"/>
    <col min="55" max="55" width="12.7109375" style="88" hidden="1" customWidth="1"/>
    <col min="56" max="56" width="7" style="88" hidden="1" customWidth="1"/>
    <col min="57" max="57" width="15.5703125" style="88" hidden="1" customWidth="1"/>
    <col min="58" max="58" width="9.140625" style="88" hidden="1" customWidth="1"/>
    <col min="59" max="59" width="10" style="88" hidden="1" customWidth="1"/>
    <col min="60" max="60" width="5.28515625" style="88" hidden="1" customWidth="1"/>
    <col min="61" max="61" width="4" style="88" hidden="1" customWidth="1"/>
    <col min="62" max="62" width="4.7109375" style="88" hidden="1" customWidth="1"/>
    <col min="63" max="63" width="5.5703125" style="88" hidden="1" customWidth="1"/>
    <col min="64" max="64" width="5.28515625" style="88" hidden="1" customWidth="1"/>
    <col min="65" max="65" width="4" style="88" hidden="1" customWidth="1"/>
    <col min="66" max="66" width="5.5703125" style="88" hidden="1" customWidth="1"/>
    <col min="67" max="67" width="5" style="90" customWidth="1"/>
    <col min="68" max="73" width="5" style="87" customWidth="1"/>
    <col min="74" max="16384" width="9.140625" style="87"/>
  </cols>
  <sheetData>
    <row r="1" spans="2:73" s="84" customFormat="1" ht="12" hidden="1" x14ac:dyDescent="0.2">
      <c r="T1" s="85"/>
      <c r="U1" s="85"/>
      <c r="V1" s="85"/>
      <c r="W1" s="85"/>
      <c r="X1" s="85"/>
      <c r="Y1" s="85"/>
      <c r="Z1" s="85"/>
      <c r="AA1" s="85"/>
      <c r="AB1" s="85"/>
      <c r="AC1" s="85"/>
      <c r="AD1" s="85"/>
      <c r="AE1" s="85"/>
      <c r="AF1" s="85"/>
      <c r="AG1" s="85"/>
      <c r="AH1" s="85"/>
      <c r="AI1" s="86"/>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row>
    <row r="2" spans="2:73" ht="13.5" thickBot="1" x14ac:dyDescent="0.25"/>
    <row r="3" spans="2:73" ht="13.5" customHeight="1" thickTop="1" x14ac:dyDescent="0.2">
      <c r="B3" s="967" t="s">
        <v>267</v>
      </c>
      <c r="C3" s="968"/>
      <c r="D3" s="968"/>
      <c r="E3" s="968"/>
      <c r="F3" s="968"/>
      <c r="G3" s="969"/>
      <c r="H3" s="970" t="s">
        <v>497</v>
      </c>
      <c r="I3" s="971"/>
      <c r="J3" s="971"/>
      <c r="K3" s="971"/>
      <c r="L3" s="971"/>
      <c r="M3" s="971"/>
      <c r="N3" s="972"/>
      <c r="O3" s="973" t="s">
        <v>269</v>
      </c>
      <c r="P3" s="974"/>
      <c r="Q3" s="973" t="s">
        <v>270</v>
      </c>
      <c r="R3" s="975"/>
      <c r="S3" s="91"/>
      <c r="T3" s="92"/>
      <c r="U3" s="92"/>
      <c r="V3" s="92"/>
      <c r="W3" s="92"/>
      <c r="X3" s="92"/>
      <c r="Y3" s="92"/>
      <c r="Z3" s="92"/>
      <c r="AA3" s="92"/>
      <c r="AB3" s="92"/>
      <c r="AC3" s="92"/>
      <c r="AD3" s="92"/>
      <c r="AE3" s="92"/>
      <c r="AF3" s="92"/>
      <c r="AG3" s="92"/>
      <c r="AH3" s="92"/>
      <c r="AI3" s="93"/>
      <c r="AJ3" s="92"/>
      <c r="AK3" s="92"/>
      <c r="AL3" s="92"/>
      <c r="AM3" s="92"/>
      <c r="AN3" s="92"/>
      <c r="AO3" s="92"/>
      <c r="AP3" s="92"/>
      <c r="AQ3" s="85"/>
      <c r="AR3" s="85"/>
      <c r="AW3" s="88" t="s">
        <v>271</v>
      </c>
      <c r="AX3" s="88" t="s">
        <v>272</v>
      </c>
      <c r="AY3" s="88" t="s">
        <v>273</v>
      </c>
      <c r="AZ3" s="88" t="s">
        <v>274</v>
      </c>
      <c r="BA3" s="88" t="s">
        <v>275</v>
      </c>
      <c r="BB3" s="88" t="s">
        <v>276</v>
      </c>
      <c r="BP3" s="976" t="s">
        <v>843</v>
      </c>
      <c r="BQ3" s="976"/>
      <c r="BR3" s="976"/>
      <c r="BS3" s="976"/>
      <c r="BT3" s="976"/>
      <c r="BU3" s="976"/>
    </row>
    <row r="4" spans="2:73" s="94" customFormat="1" ht="15.75" customHeight="1" x14ac:dyDescent="0.2">
      <c r="B4" s="994" t="s">
        <v>277</v>
      </c>
      <c r="C4" s="995"/>
      <c r="D4" s="995"/>
      <c r="E4" s="995"/>
      <c r="F4" s="995"/>
      <c r="G4" s="996"/>
      <c r="H4" s="937" t="s">
        <v>753</v>
      </c>
      <c r="I4" s="938"/>
      <c r="J4" s="938"/>
      <c r="K4" s="938"/>
      <c r="L4" s="938"/>
      <c r="M4" s="938"/>
      <c r="N4" s="939"/>
      <c r="O4" s="940" t="s">
        <v>1029</v>
      </c>
      <c r="P4" s="941"/>
      <c r="Q4" s="942">
        <v>46171</v>
      </c>
      <c r="R4" s="943"/>
      <c r="S4" s="95"/>
      <c r="T4" s="96"/>
      <c r="U4" s="96"/>
      <c r="V4" s="96"/>
      <c r="W4" s="96"/>
      <c r="X4" s="96"/>
      <c r="Y4" s="96"/>
      <c r="Z4" s="96"/>
      <c r="AA4" s="96"/>
      <c r="AB4" s="96"/>
      <c r="AC4" s="96"/>
      <c r="AD4" s="96"/>
      <c r="AE4" s="96"/>
      <c r="AF4" s="96"/>
      <c r="AG4" s="96"/>
      <c r="AH4" s="96"/>
      <c r="AI4" s="97"/>
      <c r="AJ4" s="96"/>
      <c r="AK4" s="96"/>
      <c r="AL4" s="96"/>
      <c r="AM4" s="96"/>
      <c r="AN4" s="96"/>
      <c r="AO4" s="96"/>
      <c r="AP4" s="96"/>
      <c r="AQ4" s="98"/>
      <c r="AR4" s="98"/>
      <c r="AS4" s="99"/>
      <c r="AT4" s="100" t="s">
        <v>278</v>
      </c>
      <c r="AU4" s="101" t="b">
        <v>1</v>
      </c>
      <c r="AV4" s="99">
        <v>0</v>
      </c>
      <c r="AW4" s="99" t="b">
        <f>IF(ISERR(OR(AW8:AW39)),"UNK",IF(AND(graded_aca_events&gt;=1,input_test),FALSE,OR(AW8:AW39)))</f>
        <v>0</v>
      </c>
      <c r="AX4" s="99" t="b">
        <f>IF(ISERR(OR(AX8:AX39)),"UNK",IF(AND(graded_aca_events&gt;=1,input_test),FALSE,OR(AX8:AX39)))</f>
        <v>0</v>
      </c>
      <c r="AY4" s="99" t="b">
        <f>IF(ISERR(OR(AY8:AY39)),"UNK",OR(AY8:AY39))</f>
        <v>0</v>
      </c>
      <c r="AZ4" s="99" t="b">
        <f>IF(ISERR(OR(AZ8:AZ39)),"UNK",OR(AZ8:AZ39))</f>
        <v>0</v>
      </c>
      <c r="BA4" s="99" t="b">
        <f>IF(ISERR(OR(BA8:BA39)),"UNK",OR(BA8:BA39))</f>
        <v>0</v>
      </c>
      <c r="BB4" s="99" t="b">
        <f>IF(ISERR(OR(BB8:BB39)),"UNK",OR(BB8:BB39))</f>
        <v>0</v>
      </c>
      <c r="BC4" s="102" t="b">
        <f>OR(BC8:BC39)</f>
        <v>0</v>
      </c>
      <c r="BD4" s="102" t="b">
        <f>OR(BD8:BD39)</f>
        <v>0</v>
      </c>
      <c r="BE4" s="102" t="b">
        <f>OR(BE8:BE39)</f>
        <v>0</v>
      </c>
      <c r="BF4" s="102"/>
      <c r="BG4" s="99"/>
      <c r="BH4" s="944" t="s">
        <v>279</v>
      </c>
      <c r="BI4" s="944"/>
      <c r="BJ4" s="944"/>
      <c r="BK4" s="944"/>
      <c r="BL4" s="977" t="s">
        <v>280</v>
      </c>
      <c r="BM4" s="977"/>
      <c r="BN4" s="977"/>
      <c r="BO4" s="90"/>
      <c r="BP4" s="976"/>
      <c r="BQ4" s="976"/>
      <c r="BR4" s="976"/>
      <c r="BS4" s="976"/>
      <c r="BT4" s="976"/>
      <c r="BU4" s="976"/>
    </row>
    <row r="5" spans="2:73" s="91" customFormat="1" ht="7.5" customHeight="1" x14ac:dyDescent="0.25">
      <c r="B5" s="978" t="s">
        <v>281</v>
      </c>
      <c r="C5" s="979"/>
      <c r="D5" s="979"/>
      <c r="E5" s="980"/>
      <c r="F5" s="981" t="s">
        <v>282</v>
      </c>
      <c r="G5" s="980"/>
      <c r="H5" s="981" t="s">
        <v>283</v>
      </c>
      <c r="I5" s="979"/>
      <c r="J5" s="979"/>
      <c r="K5" s="979"/>
      <c r="L5" s="980"/>
      <c r="M5" s="982" t="s">
        <v>284</v>
      </c>
      <c r="N5" s="983"/>
      <c r="O5" s="984" t="s">
        <v>285</v>
      </c>
      <c r="P5" s="985"/>
      <c r="Q5" s="981" t="str">
        <f>IF(AU41=0,"GRADE","GRADE (inc. bonus)")</f>
        <v>GRADE</v>
      </c>
      <c r="R5" s="986"/>
      <c r="T5" s="92"/>
      <c r="U5" s="92"/>
      <c r="V5" s="92"/>
      <c r="W5" s="92"/>
      <c r="X5" s="92"/>
      <c r="Y5" s="92"/>
      <c r="Z5" s="92"/>
      <c r="AA5" s="92"/>
      <c r="AB5" s="92"/>
      <c r="AC5" s="92"/>
      <c r="AD5" s="92"/>
      <c r="AE5" s="92"/>
      <c r="AF5" s="92"/>
      <c r="AG5" s="92"/>
      <c r="AH5" s="92"/>
      <c r="AI5" s="93"/>
      <c r="AJ5" s="92"/>
      <c r="AK5" s="92"/>
      <c r="AL5" s="92"/>
      <c r="AM5" s="92"/>
      <c r="AN5" s="92"/>
      <c r="AO5" s="92"/>
      <c r="AP5" s="92"/>
      <c r="AQ5" s="92"/>
      <c r="AR5" s="92"/>
      <c r="AS5" s="92"/>
      <c r="AT5" s="92"/>
      <c r="AU5" s="92"/>
      <c r="AV5" s="92"/>
      <c r="AW5" s="92"/>
      <c r="AX5" s="92"/>
      <c r="AY5" s="92"/>
      <c r="AZ5" s="92"/>
      <c r="BA5" s="92"/>
      <c r="BB5" s="92"/>
      <c r="BC5" s="92"/>
      <c r="BD5" s="92"/>
      <c r="BE5" s="92"/>
      <c r="BF5" s="92"/>
      <c r="BG5" s="92"/>
      <c r="BH5" s="944"/>
      <c r="BI5" s="944"/>
      <c r="BJ5" s="944"/>
      <c r="BK5" s="944"/>
      <c r="BL5" s="977"/>
      <c r="BM5" s="977"/>
      <c r="BN5" s="977"/>
      <c r="BO5" s="103"/>
    </row>
    <row r="6" spans="2:73" s="94" customFormat="1" ht="15.75" customHeight="1" thickBot="1" x14ac:dyDescent="0.25">
      <c r="B6" s="987" t="s">
        <v>1026</v>
      </c>
      <c r="C6" s="988"/>
      <c r="D6" s="988"/>
      <c r="E6" s="989"/>
      <c r="F6" s="990" t="s">
        <v>457</v>
      </c>
      <c r="G6" s="991"/>
      <c r="H6" s="992" t="s">
        <v>1050</v>
      </c>
      <c r="I6" s="993"/>
      <c r="J6" s="993"/>
      <c r="K6" s="993"/>
      <c r="L6" s="991"/>
      <c r="M6" s="945" t="s">
        <v>1051</v>
      </c>
      <c r="N6" s="946"/>
      <c r="O6" s="947">
        <v>2.5</v>
      </c>
      <c r="P6" s="948"/>
      <c r="Q6" s="949">
        <f>IF((graded_aca_events+graded_amn_events)&lt;1,"0",IF(ISERROR(AR46),"",IF(F41&lt;&gt;"COMPLETE","INCOMPLETE",AR46)))</f>
        <v>0.93972727272727274</v>
      </c>
      <c r="R6" s="950"/>
      <c r="S6" s="87"/>
      <c r="T6" s="99"/>
      <c r="U6" s="99">
        <v>2</v>
      </c>
      <c r="V6" s="99">
        <v>3</v>
      </c>
      <c r="W6" s="99">
        <v>6</v>
      </c>
      <c r="X6" s="99">
        <v>7</v>
      </c>
      <c r="Y6" s="99">
        <v>11</v>
      </c>
      <c r="Z6" s="99">
        <v>8</v>
      </c>
      <c r="AA6" s="99">
        <v>9</v>
      </c>
      <c r="AB6" s="99">
        <v>10</v>
      </c>
      <c r="AC6" s="99">
        <v>5</v>
      </c>
      <c r="AD6" s="99">
        <v>4</v>
      </c>
      <c r="AE6" s="99">
        <v>12</v>
      </c>
      <c r="AF6" s="99">
        <v>13</v>
      </c>
      <c r="AG6" s="99"/>
      <c r="AH6" s="99"/>
      <c r="AI6" s="104"/>
      <c r="AJ6" s="105"/>
      <c r="AK6" s="105"/>
      <c r="AL6" s="105"/>
      <c r="AM6" s="105" t="b">
        <f>IF(COUNT(AM8:AM39)&gt;0,TRUE,FALSE)</f>
        <v>1</v>
      </c>
      <c r="AN6" s="105" t="b">
        <f>IF(COUNT(AN8:AN39)&gt;0,TRUE,FALSE)</f>
        <v>1</v>
      </c>
      <c r="AO6" s="99"/>
      <c r="AP6" s="99"/>
      <c r="AQ6" s="98"/>
      <c r="AR6" s="98"/>
      <c r="AS6" s="99"/>
      <c r="AT6" s="106">
        <v>0.1</v>
      </c>
      <c r="AU6" s="99"/>
      <c r="AV6" s="107">
        <f>0.01*input_maxb</f>
        <v>0</v>
      </c>
      <c r="AW6" s="108" t="s">
        <v>287</v>
      </c>
      <c r="AX6" s="109"/>
      <c r="AY6" s="108" t="s">
        <v>288</v>
      </c>
      <c r="AZ6" s="109"/>
      <c r="BA6" s="110" t="s">
        <v>289</v>
      </c>
      <c r="BB6" s="110"/>
      <c r="BC6" s="108" t="s">
        <v>290</v>
      </c>
      <c r="BD6" s="110"/>
      <c r="BE6" s="111"/>
      <c r="BF6" s="112"/>
      <c r="BG6" s="99" t="s">
        <v>291</v>
      </c>
      <c r="BH6" s="944"/>
      <c r="BI6" s="944"/>
      <c r="BJ6" s="944"/>
      <c r="BK6" s="944"/>
      <c r="BL6" s="977"/>
      <c r="BM6" s="977"/>
      <c r="BN6" s="977"/>
      <c r="BO6" s="90"/>
    </row>
    <row r="7" spans="2:73" ht="27" customHeight="1" thickBot="1" x14ac:dyDescent="0.25">
      <c r="B7" s="951" t="s">
        <v>292</v>
      </c>
      <c r="C7" s="952"/>
      <c r="D7" s="952"/>
      <c r="E7" s="952"/>
      <c r="F7" s="953"/>
      <c r="G7" s="113" t="s">
        <v>293</v>
      </c>
      <c r="H7" s="114" t="s">
        <v>294</v>
      </c>
      <c r="I7" s="115" t="s">
        <v>295</v>
      </c>
      <c r="J7" s="116" t="s">
        <v>296</v>
      </c>
      <c r="K7" s="117" t="s">
        <v>297</v>
      </c>
      <c r="L7" s="954" t="s">
        <v>298</v>
      </c>
      <c r="M7" s="952"/>
      <c r="N7" s="952"/>
      <c r="O7" s="952"/>
      <c r="P7" s="952"/>
      <c r="Q7" s="952"/>
      <c r="R7" s="955"/>
      <c r="T7" s="118" t="s">
        <v>299</v>
      </c>
      <c r="U7" s="118"/>
      <c r="V7" s="118" t="s">
        <v>300</v>
      </c>
      <c r="W7" s="118" t="s">
        <v>301</v>
      </c>
      <c r="X7" s="118" t="s">
        <v>302</v>
      </c>
      <c r="Y7" s="118" t="s">
        <v>303</v>
      </c>
      <c r="Z7" s="118" t="s">
        <v>304</v>
      </c>
      <c r="AA7" s="118" t="s">
        <v>305</v>
      </c>
      <c r="AB7" s="118" t="s">
        <v>306</v>
      </c>
      <c r="AC7" s="118" t="s">
        <v>307</v>
      </c>
      <c r="AD7" s="118" t="s">
        <v>308</v>
      </c>
      <c r="AE7" s="118" t="s">
        <v>309</v>
      </c>
      <c r="AF7" s="118" t="s">
        <v>310</v>
      </c>
      <c r="AG7" s="118" t="s">
        <v>311</v>
      </c>
      <c r="AH7" s="118" t="s">
        <v>312</v>
      </c>
      <c r="AI7" s="119" t="s">
        <v>313</v>
      </c>
      <c r="AJ7" s="120" t="s">
        <v>314</v>
      </c>
      <c r="AK7" s="121" t="s">
        <v>315</v>
      </c>
      <c r="AL7" s="121" t="s">
        <v>316</v>
      </c>
      <c r="AM7" s="121" t="s">
        <v>317</v>
      </c>
      <c r="AN7" s="121" t="s">
        <v>318</v>
      </c>
      <c r="AO7" s="120" t="s">
        <v>319</v>
      </c>
      <c r="AP7" s="120" t="s">
        <v>320</v>
      </c>
      <c r="AQ7" s="122" t="s">
        <v>321</v>
      </c>
      <c r="AR7" s="123" t="s">
        <v>1</v>
      </c>
      <c r="AS7" s="122" t="s">
        <v>322</v>
      </c>
      <c r="AT7" s="123" t="s">
        <v>1</v>
      </c>
      <c r="AU7" s="122" t="s">
        <v>323</v>
      </c>
      <c r="AV7" s="124" t="s">
        <v>324</v>
      </c>
      <c r="AW7" s="125" t="s">
        <v>325</v>
      </c>
      <c r="AX7" s="126" t="s">
        <v>326</v>
      </c>
      <c r="AY7" s="125" t="s">
        <v>327</v>
      </c>
      <c r="AZ7" s="126" t="s">
        <v>328</v>
      </c>
      <c r="BA7" s="127" t="s">
        <v>329</v>
      </c>
      <c r="BB7" s="127" t="s">
        <v>330</v>
      </c>
      <c r="BC7" s="128" t="s">
        <v>331</v>
      </c>
      <c r="BD7" s="129" t="s">
        <v>332</v>
      </c>
      <c r="BE7" s="130" t="s">
        <v>333</v>
      </c>
      <c r="BF7" s="131" t="s">
        <v>334</v>
      </c>
      <c r="BH7" s="88" t="s">
        <v>335</v>
      </c>
      <c r="BI7" s="88" t="s">
        <v>336</v>
      </c>
      <c r="BJ7" s="118" t="s">
        <v>337</v>
      </c>
      <c r="BK7" s="88" t="s">
        <v>338</v>
      </c>
      <c r="BL7" s="88" t="s">
        <v>335</v>
      </c>
      <c r="BM7" s="88" t="s">
        <v>336</v>
      </c>
      <c r="BN7" s="88" t="s">
        <v>338</v>
      </c>
    </row>
    <row r="8" spans="2:73" ht="12.95" customHeight="1" x14ac:dyDescent="0.2">
      <c r="B8" s="132" t="str">
        <f>IF(ISNA(Z8),"",IF(OR(Z8=1,Z8=2),"",1))</f>
        <v/>
      </c>
      <c r="C8" s="956" t="str">
        <f t="shared" ref="C8:C36" si="0">IF(ISNA(Z8),"",CONCATENATE($U8,IF(ISNUMBER(AI8),TEXT(ROUND($AI8,3)," (0.0%)"),""),IF(AU8&gt;0," Bonus","")))</f>
        <v>Airmanship Tasks (10.0%)</v>
      </c>
      <c r="D8" s="956"/>
      <c r="E8" s="956"/>
      <c r="F8" s="957"/>
      <c r="G8" s="133" t="str">
        <f t="shared" ref="G8:G39" si="1">BH8</f>
        <v/>
      </c>
      <c r="H8" s="134" t="str">
        <f t="shared" ref="H8:I39" si="2">BJ8</f>
        <v/>
      </c>
      <c r="I8" s="135" t="str">
        <f t="shared" si="2"/>
        <v/>
      </c>
      <c r="J8" s="136" t="s">
        <v>340</v>
      </c>
      <c r="K8" s="137" t="s">
        <v>340</v>
      </c>
      <c r="L8" s="958" t="s">
        <v>1054</v>
      </c>
      <c r="M8" s="959"/>
      <c r="N8" s="959"/>
      <c r="O8" s="959"/>
      <c r="P8" s="959"/>
      <c r="Q8" s="959"/>
      <c r="R8" s="960"/>
      <c r="T8" s="88">
        <v>1</v>
      </c>
      <c r="U8" s="88" t="s">
        <v>339</v>
      </c>
      <c r="V8" s="453" t="s">
        <v>340</v>
      </c>
      <c r="W8" s="453" t="s">
        <v>340</v>
      </c>
      <c r="X8" s="453" t="s">
        <v>340</v>
      </c>
      <c r="Y8" s="453" t="s">
        <v>340</v>
      </c>
      <c r="Z8" s="453">
        <v>1</v>
      </c>
      <c r="AA8" s="453">
        <v>0</v>
      </c>
      <c r="AB8" s="453">
        <v>0</v>
      </c>
      <c r="AC8" s="453" t="s">
        <v>340</v>
      </c>
      <c r="AD8" s="453" t="s">
        <v>340</v>
      </c>
      <c r="AE8" s="453">
        <v>0</v>
      </c>
      <c r="AF8" s="453" t="s">
        <v>340</v>
      </c>
      <c r="AG8" s="453" t="str">
        <f t="shared" ref="AG8:AG39" si="3">IF(CrewSoloQual="Yes",$AC8,$AD8)</f>
        <v/>
      </c>
      <c r="AH8" s="453" t="str">
        <f t="shared" ref="AH8:AH39" si="4">IF(ISNUMBER(AC8),IF(CrewSoloQual="Yes",$AC8-1,$AD8-1),"")</f>
        <v/>
      </c>
      <c r="AI8" s="138">
        <f>IF(NOT(OR(Z8=1,Z8=2)),IF(AQ8&gt;0,$AR$44*AQ8/SUMIF($AQ$8:$AQ$39,"&gt;0"),IF(AU8&gt;0,$AV$44*AU8/SUMIF($AU$8:$AU$39,"&gt;0"),IF(AS8&gt;0,$AT$44*AS8/SUMIF($AS$8:$AS$39,"&gt;0"),""))),IF(SUMIF(AJ9:$AJ$39,"=" &amp; AJ8,AI9:$AI$39)=0,"",SUMIF(AJ9:$AJ$39,"=" &amp; AJ8,AI9:$AI$39)))</f>
        <v>0.1</v>
      </c>
      <c r="AJ8" s="139">
        <f>0</f>
        <v>0</v>
      </c>
      <c r="AK8" s="453" t="str">
        <f>BI8</f>
        <v/>
      </c>
      <c r="AL8" s="453" t="str">
        <f>IF(ISBLANK(K8),"",K8)</f>
        <v/>
      </c>
      <c r="AM8" s="453" t="str">
        <f>IF(ISNUMBER(AK8),IF(ISNUMBER(AL8),1,""),"")</f>
        <v/>
      </c>
      <c r="AN8" s="453" t="str">
        <f t="shared" ref="AN8:AN36" si="5">IF(ISNUMBER(AH8),IF(AND(AB8=0,ISNUMBER(AC8),ISNUMBER(AL8)),1,""),"")</f>
        <v/>
      </c>
      <c r="AO8" s="453" t="str">
        <f t="shared" ref="AO8:AO39" si="6">IF(AB8=0,IF(CrewSoloQual="No",BI8,BK8),"")</f>
        <v/>
      </c>
      <c r="AP8" s="453" t="str">
        <f t="shared" ref="AP8:AP39" si="7">IF(ISNA(Z8),"",IF(AND(ISNUMBER(B8),G8&gt;=1,H8&lt;&gt;"NG"),IF(K8&lt;BK8,TRUE,FALSE),IF(AND(G8&gt;=1,J8="NA"),TRUE,IF(AND(AM8=1,G8=0,AL8&lt;BI8),TRUE,""))))</f>
        <v/>
      </c>
      <c r="AQ8" s="140">
        <f>IF(ISNA(Z8),0,IF(OR(J8="NA",W8="",AB8=0),0,W8))</f>
        <v>0</v>
      </c>
      <c r="AR8" s="141" t="str">
        <f t="shared" ref="AR8:AR39" si="8">IF(ISNA(Z8),"",IF(AND(NOT(OR(Z8=1,Z8=2,AK8="NG",AB8=0)),IF(ISNUMBER(AL8),AL8&gt;=0,FALSE)),VLOOKUP((10*AD8+AC8),$AQ$50:$AV$58,2+AL8,FALSE),IF(AND(input_test=TRUE,ISNUMBER(AD8),V8&lt;&gt;0),VLOOKUP((10*AD8+AC8),$AQ$50:$AV$58,2,FALSE),"")))</f>
        <v/>
      </c>
      <c r="AS8" s="142">
        <f>IF(ISNA(Z8),0,IF(OR(J8="NA",X8="",AB8=1),0,X8))</f>
        <v>0</v>
      </c>
      <c r="AT8" s="141" t="str">
        <f t="shared" ref="AT8:AT39" si="9">IF(ISNA(Z8),"",IF(AND(NOT(OR(Z8=1,Z8=2,AK8="NG",AB8=1)),IF(ISNUMBER(AL8),AL8&gt;=0,FALSE)),VLOOKUP((10*AH8+AG8),$AQ$50:$AV$58,2+AL8,FALSE),IF(AND(input_test=TRUE,ISNUMBER(AD8),V8&lt;&gt;0),VLOOKUP((10*AH8+AG8),$AQ$50:$AV$58,2,FALSE),"")))</f>
        <v/>
      </c>
      <c r="AU8" s="143">
        <f t="shared" ref="AU8:AU39" si="10">IF(ISNA(Z8),0,IF(OR(J8="NA",Y8=""),0,Y8))</f>
        <v>0</v>
      </c>
      <c r="AV8" s="144" t="str">
        <f t="shared" ref="AV8:AV39" si="11">AR8</f>
        <v/>
      </c>
      <c r="AW8" s="143" t="b">
        <f t="shared" ref="AW8:AW39" si="12">IF(ISNA(Z8),FALSE,IF(OR(AB8=1,G8=0,Z8=1,Z8=2),FALSE,IF(OR(J8="NA",J8&gt;=G8),FALSE,TRUE)))</f>
        <v>0</v>
      </c>
      <c r="AX8" s="145" t="b">
        <f t="shared" ref="AX8:AX39" si="13">IF(ISNA(Z8),FALSE,IF(OR(AB8=0,G8=0,Z8=1,Z8=2,J8="NA"),FALSE,IF(AK8="NG",IF(NOT(ISBLANK(K8)),FALSE,TRUE),IF(J8&gt;=G8,FALSE,TRUE))))</f>
        <v>0</v>
      </c>
      <c r="AY8" s="143" t="b">
        <f t="shared" ref="AY8:AY39" si="14">IF(ISNA(Z8),FALSE,IF(OR(AB8=1,G8&lt;1,Z8=1,Z8=2,AE8=0,ISBLANK(K8)),FALSE,IF(OR(J8="NA",K8&gt;=BI8),FALSE,TRUE)))</f>
        <v>0</v>
      </c>
      <c r="AZ8" s="145" t="b">
        <f t="shared" ref="AZ8:AZ39" si="15">IF(ISNA(Z8),FALSE,IF(OR(AB8=0,G8=0,Z8=1,Z8=2,AE8=0,BI8="NG",K8="",ISBLANK(K8)),FALSE,IF(OR(J8="NA",K8&gt;=AK8),FALSE,TRUE)))</f>
        <v>0</v>
      </c>
      <c r="BA8" s="453" t="b">
        <f t="shared" ref="BA8:BA39" si="16">IF(ISNA(Z8),FALSE,IF(OR(AB8=1,G8&lt;1,Z8=1,Z8=2,AE8=0),FALSE,IF(J8="NA",TRUE,FALSE)))</f>
        <v>0</v>
      </c>
      <c r="BB8" s="453" t="b">
        <f t="shared" ref="BB8:BB39" si="17">IF(ISNA(Z8),FALSE,IF(OR(AB8=0,G8=0,Z8=1,Z8=2),FALSE,IF(J8="NA",TRUE,FALSE)))</f>
        <v>0</v>
      </c>
      <c r="BC8" s="143" t="b">
        <f t="shared" ref="BC8:BC39" si="18">IF(OR(ISNA($Z8),ISNUMBER($Z8),NOT(ISNUMBER($J8)),K8="D"),FALSE,IF(AND(NOT(ISNUMBER($K8)),J8&gt;0),TRUE,FALSE))</f>
        <v>0</v>
      </c>
      <c r="BD8" s="146" t="b">
        <f>IF(OR(ISNA($Z8),ISNUMBER($Z8),NOT(ISNUMBER(K8))),FALSE,OR(NOT(ISNUMBER(J8)),J8=0,AND(J8=0,K8&lt;&gt;0)))</f>
        <v>0</v>
      </c>
      <c r="BE8" s="145" t="b">
        <f t="shared" ref="BE8:BE21" si="19">IF(OR(ISNA($Z8),K8&lt;&gt;"D"),FALSE,IF(OR(AND(H8="NG",J8=0),AND(H8&lt;&gt;"NG",NOT(OR(J8="NA",J8=0)))),TRUE,FALSE))</f>
        <v>0</v>
      </c>
      <c r="BF8" s="147" t="b">
        <f t="shared" ref="BF8:BF30" si="20">IF(OR(ISNA($Z8),H8&lt;&gt;"NG"),FALSE,IF(AND(J8="NA",K8&lt;&gt;""),TRUE,FALSE))</f>
        <v>0</v>
      </c>
      <c r="BG8" s="453" t="b">
        <f t="shared" ref="BG8:BG21" si="21">IF(ISNA($Z8),"NA",IF(OR(AZ8,AY8,AX8,AW8,AP8,BA8,BB8),TRUE,FALSE))</f>
        <v>0</v>
      </c>
      <c r="BH8" s="148" t="str">
        <f>IF(ISNA($Z8),"",IF(OR($Z8=1,$Z8=2),"",$V8))</f>
        <v/>
      </c>
      <c r="BI8" s="453" t="str">
        <f t="shared" ref="BI8:BI39" si="22">IF(ISNA($Z8),"",IF(OR($Z8=1,$Z8=2,$G8=""),"",IF(AB8=0,AH8,$AD8)))</f>
        <v/>
      </c>
      <c r="BJ8" s="453" t="str">
        <f t="shared" ref="BJ8:BJ39" si="23">IF(ISNA(AE8),"",IF(OR(Z8=1,Z8=2),"",IF(OR(AE8=0,AD8="NG"),TEXT(BI8,"0"),CONCATENATE(TEXT(BI8,"0"),"*"))))</f>
        <v/>
      </c>
      <c r="BK8" s="453" t="str">
        <f t="shared" ref="BK8:BK39" si="24">IF(ISNA($Z8),"",IF(OR($Z8=1,$Z8=2,$G8=""),"",IF(AB8=0,AG8,$AC8)))</f>
        <v/>
      </c>
      <c r="BL8" s="148" t="str">
        <f>IF(ISBLANK(BH8),"",IF(BH8=0,"",BH8))</f>
        <v/>
      </c>
      <c r="BM8" s="453" t="str">
        <f t="shared" ref="BM8:BM39" si="25">IF($BH8=0,"",IF($BI8="NG","D",$BI8))</f>
        <v/>
      </c>
      <c r="BN8" s="453" t="str">
        <f t="shared" ref="BN8:BN39" si="26">IF(ISNA(U8),"",IF($BH8=0,"",IF($BI8="NG","D",BK8)))</f>
        <v/>
      </c>
      <c r="BO8" s="149" t="s">
        <v>341</v>
      </c>
      <c r="BP8" s="150"/>
    </row>
    <row r="9" spans="2:73" s="94" customFormat="1" ht="12.95" customHeight="1" x14ac:dyDescent="0.2">
      <c r="B9" s="151">
        <f>IF(ISNA(Z9),"",IF(OR(Z9=1,Z9=2),"    ",MAX($B$8:B8)+1))</f>
        <v>1</v>
      </c>
      <c r="C9" s="904" t="str">
        <f t="shared" si="0"/>
        <v>Basic Aircraft Procedures (2.0%)</v>
      </c>
      <c r="D9" s="904"/>
      <c r="E9" s="904"/>
      <c r="F9" s="905"/>
      <c r="G9" s="133">
        <f t="shared" si="1"/>
        <v>1</v>
      </c>
      <c r="H9" s="134" t="str">
        <f t="shared" si="2"/>
        <v>1*</v>
      </c>
      <c r="I9" s="152">
        <f t="shared" si="2"/>
        <v>2</v>
      </c>
      <c r="J9" s="480">
        <v>1</v>
      </c>
      <c r="K9" s="159">
        <v>3</v>
      </c>
      <c r="L9" s="961"/>
      <c r="M9" s="962"/>
      <c r="N9" s="962"/>
      <c r="O9" s="962"/>
      <c r="P9" s="962"/>
      <c r="Q9" s="962"/>
      <c r="R9" s="963"/>
      <c r="T9" s="99">
        <v>2</v>
      </c>
      <c r="U9" s="88" t="s">
        <v>342</v>
      </c>
      <c r="V9" s="453">
        <v>1</v>
      </c>
      <c r="W9" s="453" t="s">
        <v>340</v>
      </c>
      <c r="X9" s="453">
        <v>4</v>
      </c>
      <c r="Y9" s="453" t="s">
        <v>340</v>
      </c>
      <c r="Z9" s="146" t="s">
        <v>340</v>
      </c>
      <c r="AA9" s="146">
        <v>1</v>
      </c>
      <c r="AB9" s="146">
        <v>0</v>
      </c>
      <c r="AC9" s="453">
        <v>3</v>
      </c>
      <c r="AD9" s="453">
        <v>2</v>
      </c>
      <c r="AE9" s="453">
        <v>1</v>
      </c>
      <c r="AF9" s="453" t="b">
        <v>1</v>
      </c>
      <c r="AG9" s="453">
        <f t="shared" si="3"/>
        <v>2</v>
      </c>
      <c r="AH9" s="453">
        <f t="shared" si="4"/>
        <v>1</v>
      </c>
      <c r="AI9" s="138">
        <f>IF(NOT(OR(Z9=1,Z9=2)),IF(AQ9&gt;0,$AR$44*AQ9/SUMIF($AQ$8:$AQ$39,"&gt;0"),IF(AU9&gt;0,$AV$44*AU9/SUMIF($AU$8:$AU$39,"&gt;0"),IF(AS9&gt;0,$AT$44*AS9/SUMIF($AS$8:$AS$39,"&gt;0"),""))),IF(SUMIF(AJ10:$AJ$39,"=" &amp; AJ9,AI10:$AI$39)=0,"",SUMIF(AJ10:$AJ$39,"=" &amp; AJ9,AI10:$AI$39)))</f>
        <v>0.02</v>
      </c>
      <c r="AJ9" s="139">
        <f>IF(OR(Z9=1,Z9=2,AA9&lt;AA8),AJ8+1,AJ8)</f>
        <v>0</v>
      </c>
      <c r="AK9" s="453">
        <f t="shared" ref="AK9:AK39" si="27">BI9</f>
        <v>1</v>
      </c>
      <c r="AL9" s="146">
        <f t="shared" ref="AL9:AL39" si="28">IF(ISBLANK(K9),"",K9)</f>
        <v>3</v>
      </c>
      <c r="AM9" s="146">
        <f>IF(ISNUMBER(AK9),IF(ISNUMBER(AL9),1,""),"")</f>
        <v>1</v>
      </c>
      <c r="AN9" s="146">
        <f t="shared" si="5"/>
        <v>1</v>
      </c>
      <c r="AO9" s="146">
        <f t="shared" si="6"/>
        <v>1</v>
      </c>
      <c r="AP9" s="453" t="b">
        <f>IF(ISNA(Z9),"",IF(AND(ISNUMBER(B9),G9&gt;=1,H9&lt;&gt;"NG"),IF(K9&lt;BK9,TRUE,FALSE),IF(AND(G9&gt;=1,J9="NA"),TRUE,IF(AND(AM9=1,G9=0,AL9&lt;BI9),TRUE,""))))</f>
        <v>0</v>
      </c>
      <c r="AQ9" s="140">
        <f t="shared" ref="AQ9:AQ39" si="29">IF(ISNA(Z9),0,IF(OR(J9="NA",W9="",AB9=0),0,W9))</f>
        <v>0</v>
      </c>
      <c r="AR9" s="141" t="str">
        <f>IF(ISNA(Z9),"",IF(AND(NOT(OR(Z9=1,Z9=2,AK9="NG",AB9=0)),IF(ISNUMBER(AL9),AL9&gt;=0,FALSE)),VLOOKUP((10*AD9+AC9),$AQ$50:$AV$58,2+AL9,FALSE),IF(AND(input_test=TRUE,ISNUMBER(AD9),V9&lt;&gt;0),VLOOKUP((10*AD9+AC9),$AQ$50:$AV$58,2,FALSE),"")))</f>
        <v/>
      </c>
      <c r="AS9" s="142">
        <f t="shared" ref="AS9:AS39" si="30">IF(ISNA(Z9),0,IF(OR(J9="NA",X9="",AB9=1),0,X9))</f>
        <v>4</v>
      </c>
      <c r="AT9" s="141">
        <f>IF(ISNA(Z9),"",IF(AND(NOT(OR(Z9=1,Z9=2,AK9="NG",AB9=1)),IF(ISNUMBER(AL9),AL9&gt;=0,FALSE)),VLOOKUP((10*AH9+AG9),$AQ$50:$AV$58,2+AL9,FALSE),IF(AND(input_test=TRUE,ISNUMBER(AD9),V9&lt;&gt;0),VLOOKUP((10*AH9+AG9),$AQ$50:$AV$58,2,FALSE),"")))</f>
        <v>0.95</v>
      </c>
      <c r="AU9" s="143">
        <f t="shared" si="10"/>
        <v>0</v>
      </c>
      <c r="AV9" s="144" t="str">
        <f t="shared" si="11"/>
        <v/>
      </c>
      <c r="AW9" s="143" t="b">
        <f t="shared" si="12"/>
        <v>0</v>
      </c>
      <c r="AX9" s="145" t="b">
        <f t="shared" si="13"/>
        <v>0</v>
      </c>
      <c r="AY9" s="143" t="b">
        <f t="shared" si="14"/>
        <v>0</v>
      </c>
      <c r="AZ9" s="145" t="b">
        <f t="shared" si="15"/>
        <v>0</v>
      </c>
      <c r="BA9" s="453" t="b">
        <f t="shared" si="16"/>
        <v>0</v>
      </c>
      <c r="BB9" s="453" t="b">
        <f t="shared" si="17"/>
        <v>0</v>
      </c>
      <c r="BC9" s="143" t="b">
        <f t="shared" si="18"/>
        <v>0</v>
      </c>
      <c r="BD9" s="146" t="b">
        <f t="shared" ref="BD9:BD39" si="31">IF(OR(ISNA($Z9),ISNUMBER($Z9),NOT(ISNUMBER(K9))),FALSE,OR(NOT(ISNUMBER(J9)),J9=0,AND(J9=0,K9&lt;&gt;0)))</f>
        <v>0</v>
      </c>
      <c r="BE9" s="145" t="b">
        <f t="shared" si="19"/>
        <v>0</v>
      </c>
      <c r="BF9" s="147" t="b">
        <f t="shared" si="20"/>
        <v>0</v>
      </c>
      <c r="BG9" s="453" t="b">
        <f t="shared" si="21"/>
        <v>0</v>
      </c>
      <c r="BH9" s="453">
        <f t="shared" ref="BH9:BH39" si="32">IF(ISNA($Z9),"",IF(OR($Z9=1,$Z9=2),"",$V9))</f>
        <v>1</v>
      </c>
      <c r="BI9" s="453">
        <f t="shared" si="22"/>
        <v>1</v>
      </c>
      <c r="BJ9" s="453" t="str">
        <f t="shared" si="23"/>
        <v>1*</v>
      </c>
      <c r="BK9" s="453">
        <f t="shared" si="24"/>
        <v>2</v>
      </c>
      <c r="BL9" s="148">
        <f t="shared" ref="BL9:BL39" si="33">IF(ISBLANK(BH9),"",IF(BH9=0,"",BH9))</f>
        <v>1</v>
      </c>
      <c r="BM9" s="453">
        <f t="shared" si="25"/>
        <v>1</v>
      </c>
      <c r="BN9" s="453">
        <f t="shared" si="26"/>
        <v>2</v>
      </c>
      <c r="BO9" s="155" t="s">
        <v>343</v>
      </c>
      <c r="BP9" s="156" t="s">
        <v>344</v>
      </c>
    </row>
    <row r="10" spans="2:73" s="94" customFormat="1" ht="12.95" customHeight="1" x14ac:dyDescent="0.2">
      <c r="B10" s="151">
        <f>IF(ISNA(Z10),"",IF(OR(Z10=1,Z10=2),"    ",MAX($B$8:B9)+1))</f>
        <v>2</v>
      </c>
      <c r="C10" s="904" t="str">
        <f t="shared" si="0"/>
        <v>Basic Aircraft Handling (2.0%)</v>
      </c>
      <c r="D10" s="904"/>
      <c r="E10" s="904"/>
      <c r="F10" s="905"/>
      <c r="G10" s="133">
        <f t="shared" si="1"/>
        <v>1</v>
      </c>
      <c r="H10" s="134" t="str">
        <f t="shared" si="2"/>
        <v>1*</v>
      </c>
      <c r="I10" s="152">
        <f t="shared" si="2"/>
        <v>2</v>
      </c>
      <c r="J10" s="158">
        <v>1</v>
      </c>
      <c r="K10" s="159">
        <v>4</v>
      </c>
      <c r="L10" s="961"/>
      <c r="M10" s="962"/>
      <c r="N10" s="962"/>
      <c r="O10" s="962"/>
      <c r="P10" s="962"/>
      <c r="Q10" s="962"/>
      <c r="R10" s="963"/>
      <c r="T10" s="99">
        <v>3</v>
      </c>
      <c r="U10" s="88" t="s">
        <v>551</v>
      </c>
      <c r="V10" s="453">
        <v>1</v>
      </c>
      <c r="W10" s="453" t="s">
        <v>340</v>
      </c>
      <c r="X10" s="453">
        <v>4</v>
      </c>
      <c r="Y10" s="453" t="s">
        <v>340</v>
      </c>
      <c r="Z10" s="146" t="s">
        <v>340</v>
      </c>
      <c r="AA10" s="146">
        <v>1</v>
      </c>
      <c r="AB10" s="146">
        <v>0</v>
      </c>
      <c r="AC10" s="453">
        <v>3</v>
      </c>
      <c r="AD10" s="453">
        <v>2</v>
      </c>
      <c r="AE10" s="453">
        <v>1</v>
      </c>
      <c r="AF10" s="453" t="b">
        <v>1</v>
      </c>
      <c r="AG10" s="453">
        <f t="shared" si="3"/>
        <v>2</v>
      </c>
      <c r="AH10" s="453">
        <f t="shared" si="4"/>
        <v>1</v>
      </c>
      <c r="AI10" s="138">
        <f>IF(NOT(OR(Z10=1,Z10=2)),IF(AQ10&gt;0,$AR$44*AQ10/SUMIF($AQ$8:$AQ$39,"&gt;0"),IF(AU10&gt;0,$AV$44*AU10/SUMIF($AU$8:$AU$39,"&gt;0"),IF(AS10&gt;0,$AT$44*AS10/SUMIF($AS$8:$AS$39,"&gt;0"),""))),IF(SUMIF(AJ11:$AJ$39,"=" &amp; AJ10,AI11:$AI$39)=0,"",SUMIF(AJ11:$AJ$39,"=" &amp; AJ10,AI11:$AI$39)))</f>
        <v>0.02</v>
      </c>
      <c r="AJ10" s="139">
        <f t="shared" ref="AJ10:AJ39" si="34">IF(OR(Z10=1,Z10=2,AA10&lt;AA9),AJ9+1,AJ9)</f>
        <v>0</v>
      </c>
      <c r="AK10" s="453">
        <f t="shared" si="27"/>
        <v>1</v>
      </c>
      <c r="AL10" s="146">
        <f t="shared" si="28"/>
        <v>4</v>
      </c>
      <c r="AM10" s="146">
        <f t="shared" ref="AM10:AM39" si="35">IF(ISNUMBER(AK10),IF(ISNUMBER(AL10),1,""),"")</f>
        <v>1</v>
      </c>
      <c r="AN10" s="146">
        <f t="shared" si="5"/>
        <v>1</v>
      </c>
      <c r="AO10" s="146">
        <f t="shared" si="6"/>
        <v>1</v>
      </c>
      <c r="AP10" s="453" t="b">
        <f t="shared" si="7"/>
        <v>0</v>
      </c>
      <c r="AQ10" s="140">
        <f t="shared" si="29"/>
        <v>0</v>
      </c>
      <c r="AR10" s="141" t="str">
        <f t="shared" si="8"/>
        <v/>
      </c>
      <c r="AS10" s="142">
        <f t="shared" si="30"/>
        <v>4</v>
      </c>
      <c r="AT10" s="141">
        <f t="shared" si="9"/>
        <v>1</v>
      </c>
      <c r="AU10" s="143">
        <f t="shared" si="10"/>
        <v>0</v>
      </c>
      <c r="AV10" s="144" t="str">
        <f t="shared" si="11"/>
        <v/>
      </c>
      <c r="AW10" s="143" t="b">
        <f t="shared" si="12"/>
        <v>0</v>
      </c>
      <c r="AX10" s="145" t="b">
        <f t="shared" si="13"/>
        <v>0</v>
      </c>
      <c r="AY10" s="143" t="b">
        <f t="shared" si="14"/>
        <v>0</v>
      </c>
      <c r="AZ10" s="145" t="b">
        <f t="shared" si="15"/>
        <v>0</v>
      </c>
      <c r="BA10" s="453" t="b">
        <f t="shared" si="16"/>
        <v>0</v>
      </c>
      <c r="BB10" s="453" t="b">
        <f t="shared" si="17"/>
        <v>0</v>
      </c>
      <c r="BC10" s="143" t="b">
        <f t="shared" si="18"/>
        <v>0</v>
      </c>
      <c r="BD10" s="146" t="b">
        <f t="shared" si="31"/>
        <v>0</v>
      </c>
      <c r="BE10" s="145" t="b">
        <f t="shared" si="19"/>
        <v>0</v>
      </c>
      <c r="BF10" s="147" t="b">
        <f t="shared" si="20"/>
        <v>0</v>
      </c>
      <c r="BG10" s="453" t="b">
        <f t="shared" si="21"/>
        <v>0</v>
      </c>
      <c r="BH10" s="453">
        <f t="shared" si="32"/>
        <v>1</v>
      </c>
      <c r="BI10" s="453">
        <f t="shared" si="22"/>
        <v>1</v>
      </c>
      <c r="BJ10" s="453" t="str">
        <f t="shared" si="23"/>
        <v>1*</v>
      </c>
      <c r="BK10" s="453">
        <f t="shared" si="24"/>
        <v>2</v>
      </c>
      <c r="BL10" s="148">
        <f t="shared" si="33"/>
        <v>1</v>
      </c>
      <c r="BM10" s="453">
        <f t="shared" si="25"/>
        <v>1</v>
      </c>
      <c r="BN10" s="453">
        <f t="shared" si="26"/>
        <v>2</v>
      </c>
      <c r="BO10" s="155">
        <v>0</v>
      </c>
      <c r="BP10" s="156" t="s">
        <v>346</v>
      </c>
    </row>
    <row r="11" spans="2:73" s="94" customFormat="1" ht="12.95" customHeight="1" x14ac:dyDescent="0.2">
      <c r="B11" s="151">
        <f>IF(ISNA(Z11),"",IF(OR(Z11=1,Z11=2),"    ",MAX($B$8:B10)+1))</f>
        <v>3</v>
      </c>
      <c r="C11" s="904" t="str">
        <f t="shared" si="0"/>
        <v>Local Area Proc./Orientation/Comm (2.0%)</v>
      </c>
      <c r="D11" s="904"/>
      <c r="E11" s="904"/>
      <c r="F11" s="905"/>
      <c r="G11" s="133">
        <f t="shared" si="1"/>
        <v>1</v>
      </c>
      <c r="H11" s="134" t="str">
        <f t="shared" si="2"/>
        <v>2*</v>
      </c>
      <c r="I11" s="152">
        <f t="shared" si="2"/>
        <v>3</v>
      </c>
      <c r="J11" s="158">
        <v>1</v>
      </c>
      <c r="K11" s="159">
        <v>3</v>
      </c>
      <c r="L11" s="961"/>
      <c r="M11" s="962"/>
      <c r="N11" s="962"/>
      <c r="O11" s="962"/>
      <c r="P11" s="962"/>
      <c r="Q11" s="962"/>
      <c r="R11" s="963"/>
      <c r="T11" s="99">
        <v>4</v>
      </c>
      <c r="U11" s="88" t="s">
        <v>345</v>
      </c>
      <c r="V11" s="453">
        <v>1</v>
      </c>
      <c r="W11" s="453" t="s">
        <v>340</v>
      </c>
      <c r="X11" s="453">
        <v>4</v>
      </c>
      <c r="Y11" s="453" t="s">
        <v>340</v>
      </c>
      <c r="Z11" s="146" t="s">
        <v>340</v>
      </c>
      <c r="AA11" s="146">
        <v>1</v>
      </c>
      <c r="AB11" s="146">
        <v>0</v>
      </c>
      <c r="AC11" s="453">
        <v>3</v>
      </c>
      <c r="AD11" s="453">
        <v>3</v>
      </c>
      <c r="AE11" s="453">
        <v>1</v>
      </c>
      <c r="AF11" s="453" t="b">
        <v>1</v>
      </c>
      <c r="AG11" s="453">
        <f t="shared" si="3"/>
        <v>3</v>
      </c>
      <c r="AH11" s="453">
        <f t="shared" si="4"/>
        <v>2</v>
      </c>
      <c r="AI11" s="138">
        <f>IF(NOT(OR(Z11=1,Z11=2)),IF(AQ11&gt;0,$AR$44*AQ11/SUMIF($AQ$8:$AQ$39,"&gt;0"),IF(AU11&gt;0,$AV$44*AU11/SUMIF($AU$8:$AU$39,"&gt;0"),IF(AS11&gt;0,$AT$44*AS11/SUMIF($AS$8:$AS$39,"&gt;0"),""))),IF(SUMIF(AJ12:$AJ$39,"=" &amp; AJ11,AI12:$AI$39)=0,"",SUMIF(AJ12:$AJ$39,"=" &amp; AJ11,AI12:$AI$39)))</f>
        <v>0.02</v>
      </c>
      <c r="AJ11" s="139">
        <f t="shared" si="34"/>
        <v>0</v>
      </c>
      <c r="AK11" s="453">
        <f t="shared" si="27"/>
        <v>2</v>
      </c>
      <c r="AL11" s="146">
        <f t="shared" si="28"/>
        <v>3</v>
      </c>
      <c r="AM11" s="146">
        <f t="shared" si="35"/>
        <v>1</v>
      </c>
      <c r="AN11" s="146">
        <f t="shared" si="5"/>
        <v>1</v>
      </c>
      <c r="AO11" s="146">
        <f t="shared" si="6"/>
        <v>2</v>
      </c>
      <c r="AP11" s="453" t="b">
        <f t="shared" si="7"/>
        <v>0</v>
      </c>
      <c r="AQ11" s="140">
        <f t="shared" si="29"/>
        <v>0</v>
      </c>
      <c r="AR11" s="141" t="str">
        <f t="shared" si="8"/>
        <v/>
      </c>
      <c r="AS11" s="142">
        <f t="shared" si="30"/>
        <v>4</v>
      </c>
      <c r="AT11" s="141">
        <f t="shared" si="9"/>
        <v>0.9</v>
      </c>
      <c r="AU11" s="143">
        <f t="shared" si="10"/>
        <v>0</v>
      </c>
      <c r="AV11" s="144" t="str">
        <f t="shared" si="11"/>
        <v/>
      </c>
      <c r="AW11" s="143" t="b">
        <f t="shared" si="12"/>
        <v>0</v>
      </c>
      <c r="AX11" s="145" t="b">
        <f t="shared" si="13"/>
        <v>0</v>
      </c>
      <c r="AY11" s="143" t="b">
        <f t="shared" si="14"/>
        <v>0</v>
      </c>
      <c r="AZ11" s="145" t="b">
        <f t="shared" si="15"/>
        <v>0</v>
      </c>
      <c r="BA11" s="453" t="b">
        <f t="shared" si="16"/>
        <v>0</v>
      </c>
      <c r="BB11" s="453" t="b">
        <f t="shared" si="17"/>
        <v>0</v>
      </c>
      <c r="BC11" s="143" t="b">
        <f t="shared" si="18"/>
        <v>0</v>
      </c>
      <c r="BD11" s="146" t="b">
        <f t="shared" si="31"/>
        <v>0</v>
      </c>
      <c r="BE11" s="145" t="b">
        <f t="shared" si="19"/>
        <v>0</v>
      </c>
      <c r="BF11" s="147" t="b">
        <f t="shared" si="20"/>
        <v>0</v>
      </c>
      <c r="BG11" s="453" t="b">
        <f t="shared" si="21"/>
        <v>0</v>
      </c>
      <c r="BH11" s="453">
        <f t="shared" si="32"/>
        <v>1</v>
      </c>
      <c r="BI11" s="453">
        <f t="shared" si="22"/>
        <v>2</v>
      </c>
      <c r="BJ11" s="453" t="str">
        <f t="shared" si="23"/>
        <v>2*</v>
      </c>
      <c r="BK11" s="453">
        <f t="shared" si="24"/>
        <v>3</v>
      </c>
      <c r="BL11" s="148">
        <f t="shared" si="33"/>
        <v>1</v>
      </c>
      <c r="BM11" s="453">
        <f t="shared" si="25"/>
        <v>2</v>
      </c>
      <c r="BN11" s="453">
        <f t="shared" si="26"/>
        <v>3</v>
      </c>
      <c r="BO11" s="155">
        <v>1</v>
      </c>
      <c r="BP11" s="156" t="s">
        <v>348</v>
      </c>
    </row>
    <row r="12" spans="2:73" s="94" customFormat="1" ht="12.95" customHeight="1" x14ac:dyDescent="0.2">
      <c r="B12" s="151">
        <f>IF(ISNA(Z12),"",IF(OR(Z12=1,Z12=2),"    ",MAX($B$8:B11)+1))</f>
        <v>4</v>
      </c>
      <c r="C12" s="904" t="str">
        <f t="shared" si="0"/>
        <v>Situational Awareness/Judgement (2.0%)</v>
      </c>
      <c r="D12" s="904"/>
      <c r="E12" s="904"/>
      <c r="F12" s="905"/>
      <c r="G12" s="133">
        <f t="shared" si="1"/>
        <v>1</v>
      </c>
      <c r="H12" s="134" t="str">
        <f t="shared" si="2"/>
        <v>2*</v>
      </c>
      <c r="I12" s="152">
        <f t="shared" si="2"/>
        <v>3</v>
      </c>
      <c r="J12" s="158">
        <v>1</v>
      </c>
      <c r="K12" s="159">
        <v>4</v>
      </c>
      <c r="L12" s="961"/>
      <c r="M12" s="962"/>
      <c r="N12" s="962"/>
      <c r="O12" s="962"/>
      <c r="P12" s="962"/>
      <c r="Q12" s="962"/>
      <c r="R12" s="963"/>
      <c r="T12" s="99">
        <v>5</v>
      </c>
      <c r="U12" s="88" t="s">
        <v>347</v>
      </c>
      <c r="V12" s="453">
        <v>1</v>
      </c>
      <c r="W12" s="453" t="s">
        <v>340</v>
      </c>
      <c r="X12" s="453">
        <v>4</v>
      </c>
      <c r="Y12" s="453" t="s">
        <v>340</v>
      </c>
      <c r="Z12" s="146" t="s">
        <v>340</v>
      </c>
      <c r="AA12" s="146">
        <v>1</v>
      </c>
      <c r="AB12" s="146">
        <v>0</v>
      </c>
      <c r="AC12" s="453">
        <v>3</v>
      </c>
      <c r="AD12" s="453">
        <v>3</v>
      </c>
      <c r="AE12" s="453">
        <v>1</v>
      </c>
      <c r="AF12" s="453" t="b">
        <v>1</v>
      </c>
      <c r="AG12" s="453">
        <f t="shared" si="3"/>
        <v>3</v>
      </c>
      <c r="AH12" s="453">
        <f t="shared" si="4"/>
        <v>2</v>
      </c>
      <c r="AI12" s="138">
        <f>IF(NOT(OR(Z12=1,Z12=2)),IF(AQ12&gt;0,$AR$44*AQ12/SUMIF($AQ$8:$AQ$39,"&gt;0"),IF(AU12&gt;0,$AV$44*AU12/SUMIF($AU$8:$AU$39,"&gt;0"),IF(AS12&gt;0,$AT$44*AS12/SUMIF($AS$8:$AS$39,"&gt;0"),""))),IF(SUMIF(AJ13:$AJ$39,"=" &amp; AJ12,AI13:$AI$39)=0,"",SUMIF(AJ13:$AJ$39,"=" &amp; AJ12,AI13:$AI$39)))</f>
        <v>0.02</v>
      </c>
      <c r="AJ12" s="139">
        <f t="shared" si="34"/>
        <v>0</v>
      </c>
      <c r="AK12" s="453">
        <f t="shared" si="27"/>
        <v>2</v>
      </c>
      <c r="AL12" s="146">
        <f t="shared" si="28"/>
        <v>4</v>
      </c>
      <c r="AM12" s="146">
        <f t="shared" si="35"/>
        <v>1</v>
      </c>
      <c r="AN12" s="146">
        <f t="shared" si="5"/>
        <v>1</v>
      </c>
      <c r="AO12" s="146">
        <f t="shared" si="6"/>
        <v>2</v>
      </c>
      <c r="AP12" s="453" t="b">
        <f t="shared" si="7"/>
        <v>0</v>
      </c>
      <c r="AQ12" s="140">
        <f t="shared" si="29"/>
        <v>0</v>
      </c>
      <c r="AR12" s="141" t="str">
        <f t="shared" si="8"/>
        <v/>
      </c>
      <c r="AS12" s="142">
        <f t="shared" si="30"/>
        <v>4</v>
      </c>
      <c r="AT12" s="141">
        <f t="shared" si="9"/>
        <v>1</v>
      </c>
      <c r="AU12" s="143">
        <f t="shared" si="10"/>
        <v>0</v>
      </c>
      <c r="AV12" s="144" t="str">
        <f t="shared" si="11"/>
        <v/>
      </c>
      <c r="AW12" s="143" t="b">
        <f t="shared" si="12"/>
        <v>0</v>
      </c>
      <c r="AX12" s="145" t="b">
        <f t="shared" si="13"/>
        <v>0</v>
      </c>
      <c r="AY12" s="143" t="b">
        <f t="shared" si="14"/>
        <v>0</v>
      </c>
      <c r="AZ12" s="145" t="b">
        <f t="shared" si="15"/>
        <v>0</v>
      </c>
      <c r="BA12" s="453" t="b">
        <f t="shared" si="16"/>
        <v>0</v>
      </c>
      <c r="BB12" s="453" t="b">
        <f t="shared" si="17"/>
        <v>0</v>
      </c>
      <c r="BC12" s="143" t="b">
        <f t="shared" si="18"/>
        <v>0</v>
      </c>
      <c r="BD12" s="146" t="b">
        <f t="shared" si="31"/>
        <v>0</v>
      </c>
      <c r="BE12" s="145" t="b">
        <f t="shared" si="19"/>
        <v>0</v>
      </c>
      <c r="BF12" s="147" t="b">
        <f t="shared" si="20"/>
        <v>0</v>
      </c>
      <c r="BG12" s="453" t="b">
        <f t="shared" si="21"/>
        <v>0</v>
      </c>
      <c r="BH12" s="453">
        <f t="shared" si="32"/>
        <v>1</v>
      </c>
      <c r="BI12" s="453">
        <f t="shared" si="22"/>
        <v>2</v>
      </c>
      <c r="BJ12" s="453" t="str">
        <f t="shared" si="23"/>
        <v>2*</v>
      </c>
      <c r="BK12" s="453">
        <f t="shared" si="24"/>
        <v>3</v>
      </c>
      <c r="BL12" s="148">
        <f t="shared" si="33"/>
        <v>1</v>
      </c>
      <c r="BM12" s="453">
        <f t="shared" si="25"/>
        <v>2</v>
      </c>
      <c r="BN12" s="453">
        <f t="shared" si="26"/>
        <v>3</v>
      </c>
      <c r="BO12" s="155">
        <v>2</v>
      </c>
      <c r="BP12" s="156" t="s">
        <v>350</v>
      </c>
    </row>
    <row r="13" spans="2:73" s="94" customFormat="1" ht="12.95" customHeight="1" x14ac:dyDescent="0.2">
      <c r="B13" s="151">
        <f>IF(ISNA(Z13),"",IF(OR(Z13=1,Z13=2),"    ",MAX($B$8:B12)+1))</f>
        <v>5</v>
      </c>
      <c r="C13" s="904" t="str">
        <f t="shared" si="0"/>
        <v>Clearing/Visual Lookout (2.0%)</v>
      </c>
      <c r="D13" s="904"/>
      <c r="E13" s="904"/>
      <c r="F13" s="905"/>
      <c r="G13" s="133">
        <f t="shared" si="1"/>
        <v>1</v>
      </c>
      <c r="H13" s="134" t="str">
        <f t="shared" si="2"/>
        <v>2*</v>
      </c>
      <c r="I13" s="152">
        <f t="shared" si="2"/>
        <v>3</v>
      </c>
      <c r="J13" s="158">
        <v>1</v>
      </c>
      <c r="K13" s="159">
        <v>4</v>
      </c>
      <c r="L13" s="961"/>
      <c r="M13" s="962"/>
      <c r="N13" s="962"/>
      <c r="O13" s="962"/>
      <c r="P13" s="962"/>
      <c r="Q13" s="962"/>
      <c r="R13" s="963"/>
      <c r="T13" s="99">
        <v>6</v>
      </c>
      <c r="U13" s="88" t="s">
        <v>349</v>
      </c>
      <c r="V13" s="453">
        <v>1</v>
      </c>
      <c r="W13" s="453" t="s">
        <v>340</v>
      </c>
      <c r="X13" s="453">
        <v>4</v>
      </c>
      <c r="Y13" s="453" t="s">
        <v>340</v>
      </c>
      <c r="Z13" s="146" t="s">
        <v>340</v>
      </c>
      <c r="AA13" s="146">
        <v>1</v>
      </c>
      <c r="AB13" s="146">
        <v>0</v>
      </c>
      <c r="AC13" s="453">
        <v>3</v>
      </c>
      <c r="AD13" s="453">
        <v>3</v>
      </c>
      <c r="AE13" s="453">
        <v>1</v>
      </c>
      <c r="AF13" s="453" t="b">
        <v>1</v>
      </c>
      <c r="AG13" s="453">
        <f t="shared" si="3"/>
        <v>3</v>
      </c>
      <c r="AH13" s="453">
        <f t="shared" si="4"/>
        <v>2</v>
      </c>
      <c r="AI13" s="138">
        <f>IF(NOT(OR(Z13=1,Z13=2)),IF(AQ13&gt;0,$AR$44*AQ13/SUMIF($AQ$8:$AQ$39,"&gt;0"),IF(AU13&gt;0,$AV$44*AU13/SUMIF($AU$8:$AU$39,"&gt;0"),IF(AS13&gt;0,$AT$44*AS13/SUMIF($AS$8:$AS$39,"&gt;0"),""))),IF(SUMIF(AJ14:$AJ$39,"=" &amp; AJ13,AI14:$AI$39)=0,"",SUMIF(AJ14:$AJ$39,"=" &amp; AJ13,AI14:$AI$39)))</f>
        <v>0.02</v>
      </c>
      <c r="AJ13" s="139">
        <f t="shared" si="34"/>
        <v>0</v>
      </c>
      <c r="AK13" s="453">
        <f t="shared" si="27"/>
        <v>2</v>
      </c>
      <c r="AL13" s="146">
        <f t="shared" si="28"/>
        <v>4</v>
      </c>
      <c r="AM13" s="146">
        <f t="shared" si="35"/>
        <v>1</v>
      </c>
      <c r="AN13" s="146">
        <f t="shared" si="5"/>
        <v>1</v>
      </c>
      <c r="AO13" s="146">
        <f t="shared" si="6"/>
        <v>2</v>
      </c>
      <c r="AP13" s="453" t="b">
        <f t="shared" si="7"/>
        <v>0</v>
      </c>
      <c r="AQ13" s="140">
        <f t="shared" si="29"/>
        <v>0</v>
      </c>
      <c r="AR13" s="141" t="str">
        <f t="shared" si="8"/>
        <v/>
      </c>
      <c r="AS13" s="142">
        <f t="shared" si="30"/>
        <v>4</v>
      </c>
      <c r="AT13" s="141">
        <f t="shared" si="9"/>
        <v>1</v>
      </c>
      <c r="AU13" s="143">
        <f t="shared" si="10"/>
        <v>0</v>
      </c>
      <c r="AV13" s="144" t="str">
        <f t="shared" si="11"/>
        <v/>
      </c>
      <c r="AW13" s="143" t="b">
        <f t="shared" si="12"/>
        <v>0</v>
      </c>
      <c r="AX13" s="145" t="b">
        <f t="shared" si="13"/>
        <v>0</v>
      </c>
      <c r="AY13" s="143" t="b">
        <f t="shared" si="14"/>
        <v>0</v>
      </c>
      <c r="AZ13" s="145" t="b">
        <f t="shared" si="15"/>
        <v>0</v>
      </c>
      <c r="BA13" s="453" t="b">
        <f t="shared" si="16"/>
        <v>0</v>
      </c>
      <c r="BB13" s="453" t="b">
        <f t="shared" si="17"/>
        <v>0</v>
      </c>
      <c r="BC13" s="143" t="b">
        <f t="shared" si="18"/>
        <v>0</v>
      </c>
      <c r="BD13" s="146" t="b">
        <f t="shared" si="31"/>
        <v>0</v>
      </c>
      <c r="BE13" s="145" t="b">
        <f t="shared" si="19"/>
        <v>0</v>
      </c>
      <c r="BF13" s="147" t="b">
        <f t="shared" si="20"/>
        <v>0</v>
      </c>
      <c r="BG13" s="453" t="b">
        <f t="shared" si="21"/>
        <v>0</v>
      </c>
      <c r="BH13" s="453">
        <f t="shared" si="32"/>
        <v>1</v>
      </c>
      <c r="BI13" s="453">
        <f t="shared" si="22"/>
        <v>2</v>
      </c>
      <c r="BJ13" s="453" t="str">
        <f t="shared" si="23"/>
        <v>2*</v>
      </c>
      <c r="BK13" s="453">
        <f t="shared" si="24"/>
        <v>3</v>
      </c>
      <c r="BL13" s="148">
        <f t="shared" si="33"/>
        <v>1</v>
      </c>
      <c r="BM13" s="453">
        <f t="shared" si="25"/>
        <v>2</v>
      </c>
      <c r="BN13" s="453">
        <f t="shared" si="26"/>
        <v>3</v>
      </c>
      <c r="BO13" s="155">
        <v>3</v>
      </c>
      <c r="BP13" s="156" t="s">
        <v>352</v>
      </c>
    </row>
    <row r="14" spans="2:73" s="94" customFormat="1" ht="12.95" customHeight="1" x14ac:dyDescent="0.2">
      <c r="B14" s="151" t="str">
        <f>IF(ISNA(Z14),"",IF(OR(Z14=1,Z14=2),"    ",MAX($B$8:B13)+1))</f>
        <v xml:space="preserve">    </v>
      </c>
      <c r="C14" s="904" t="str">
        <f t="shared" si="0"/>
        <v>Academic Tasks</v>
      </c>
      <c r="D14" s="904"/>
      <c r="E14" s="904"/>
      <c r="F14" s="905"/>
      <c r="G14" s="133" t="str">
        <f t="shared" si="1"/>
        <v/>
      </c>
      <c r="H14" s="134" t="str">
        <f t="shared" si="2"/>
        <v/>
      </c>
      <c r="I14" s="152" t="str">
        <f t="shared" si="2"/>
        <v/>
      </c>
      <c r="J14" s="158" t="s">
        <v>340</v>
      </c>
      <c r="K14" s="159" t="s">
        <v>340</v>
      </c>
      <c r="L14" s="961"/>
      <c r="M14" s="962"/>
      <c r="N14" s="962"/>
      <c r="O14" s="962"/>
      <c r="P14" s="962"/>
      <c r="Q14" s="962"/>
      <c r="R14" s="963"/>
      <c r="T14" s="99">
        <v>7</v>
      </c>
      <c r="U14" s="88" t="s">
        <v>351</v>
      </c>
      <c r="V14" s="453" t="s">
        <v>340</v>
      </c>
      <c r="W14" s="453" t="s">
        <v>340</v>
      </c>
      <c r="X14" s="453" t="s">
        <v>340</v>
      </c>
      <c r="Y14" s="453" t="s">
        <v>340</v>
      </c>
      <c r="Z14" s="146">
        <v>1</v>
      </c>
      <c r="AA14" s="146">
        <v>0</v>
      </c>
      <c r="AB14" s="146">
        <v>1</v>
      </c>
      <c r="AC14" s="453" t="s">
        <v>340</v>
      </c>
      <c r="AD14" s="453" t="s">
        <v>340</v>
      </c>
      <c r="AE14" s="453">
        <v>0</v>
      </c>
      <c r="AF14" s="453" t="s">
        <v>340</v>
      </c>
      <c r="AG14" s="453" t="str">
        <f t="shared" si="3"/>
        <v/>
      </c>
      <c r="AH14" s="453" t="str">
        <f t="shared" si="4"/>
        <v/>
      </c>
      <c r="AI14" s="138" t="str">
        <f>IF(NOT(OR(Z14=1,Z14=2)),IF(AQ14&gt;0,$AR$44*AQ14/SUMIF($AQ$8:$AQ$39,"&gt;0"),IF(AU14&gt;0,$AV$44*AU14/SUMIF($AU$8:$AU$39,"&gt;0"),IF(AS14&gt;0,$AT$44*AS14/SUMIF($AS$8:$AS$39,"&gt;0"),""))),IF(SUMIF(AJ15:$AJ$39,"=" &amp; AJ14,AI15:$AI$39)=0,"",SUMIF(AJ15:$AJ$39,"=" &amp; AJ14,AI15:$AI$39)))</f>
        <v/>
      </c>
      <c r="AJ14" s="139">
        <f t="shared" si="34"/>
        <v>1</v>
      </c>
      <c r="AK14" s="453" t="str">
        <f t="shared" si="27"/>
        <v/>
      </c>
      <c r="AL14" s="146" t="str">
        <f t="shared" si="28"/>
        <v/>
      </c>
      <c r="AM14" s="146" t="str">
        <f t="shared" si="35"/>
        <v/>
      </c>
      <c r="AN14" s="146" t="str">
        <f t="shared" si="5"/>
        <v/>
      </c>
      <c r="AO14" s="146" t="str">
        <f t="shared" si="6"/>
        <v/>
      </c>
      <c r="AP14" s="453" t="str">
        <f t="shared" si="7"/>
        <v/>
      </c>
      <c r="AQ14" s="140">
        <f t="shared" si="29"/>
        <v>0</v>
      </c>
      <c r="AR14" s="141" t="str">
        <f t="shared" si="8"/>
        <v/>
      </c>
      <c r="AS14" s="142">
        <f t="shared" si="30"/>
        <v>0</v>
      </c>
      <c r="AT14" s="141" t="str">
        <f t="shared" si="9"/>
        <v/>
      </c>
      <c r="AU14" s="143">
        <f t="shared" si="10"/>
        <v>0</v>
      </c>
      <c r="AV14" s="144" t="str">
        <f t="shared" si="11"/>
        <v/>
      </c>
      <c r="AW14" s="143" t="b">
        <f t="shared" si="12"/>
        <v>0</v>
      </c>
      <c r="AX14" s="145" t="b">
        <f t="shared" si="13"/>
        <v>0</v>
      </c>
      <c r="AY14" s="143" t="b">
        <f t="shared" si="14"/>
        <v>0</v>
      </c>
      <c r="AZ14" s="145" t="b">
        <f t="shared" si="15"/>
        <v>0</v>
      </c>
      <c r="BA14" s="453" t="b">
        <f t="shared" si="16"/>
        <v>0</v>
      </c>
      <c r="BB14" s="453" t="b">
        <f t="shared" si="17"/>
        <v>0</v>
      </c>
      <c r="BC14" s="143" t="b">
        <f t="shared" si="18"/>
        <v>0</v>
      </c>
      <c r="BD14" s="146" t="b">
        <f t="shared" si="31"/>
        <v>0</v>
      </c>
      <c r="BE14" s="145" t="b">
        <f t="shared" si="19"/>
        <v>0</v>
      </c>
      <c r="BF14" s="147" t="b">
        <f t="shared" si="20"/>
        <v>0</v>
      </c>
      <c r="BG14" s="453" t="b">
        <f t="shared" si="21"/>
        <v>0</v>
      </c>
      <c r="BH14" s="453" t="str">
        <f t="shared" si="32"/>
        <v/>
      </c>
      <c r="BI14" s="453" t="str">
        <f t="shared" si="22"/>
        <v/>
      </c>
      <c r="BJ14" s="453" t="str">
        <f t="shared" si="23"/>
        <v/>
      </c>
      <c r="BK14" s="453" t="str">
        <f t="shared" si="24"/>
        <v/>
      </c>
      <c r="BL14" s="148" t="str">
        <f t="shared" si="33"/>
        <v/>
      </c>
      <c r="BM14" s="453" t="str">
        <f t="shared" si="25"/>
        <v/>
      </c>
      <c r="BN14" s="453" t="str">
        <f t="shared" si="26"/>
        <v/>
      </c>
      <c r="BO14" s="155">
        <v>4</v>
      </c>
      <c r="BP14" s="156" t="s">
        <v>354</v>
      </c>
    </row>
    <row r="15" spans="2:73" s="94" customFormat="1" ht="12.95" customHeight="1" x14ac:dyDescent="0.2">
      <c r="B15" s="151" t="str">
        <f>IF(ISNA(Z15),"",IF(OR(Z15=1,Z15=2),"    ",MAX($B$8:B14)+1))</f>
        <v xml:space="preserve">    </v>
      </c>
      <c r="C15" s="904" t="str">
        <f t="shared" si="0"/>
        <v>Test Conduct (32.7%)</v>
      </c>
      <c r="D15" s="904"/>
      <c r="E15" s="904"/>
      <c r="F15" s="905"/>
      <c r="G15" s="133" t="str">
        <f t="shared" si="1"/>
        <v/>
      </c>
      <c r="H15" s="134" t="str">
        <f t="shared" si="2"/>
        <v/>
      </c>
      <c r="I15" s="152" t="str">
        <f t="shared" si="2"/>
        <v/>
      </c>
      <c r="J15" s="158" t="s">
        <v>340</v>
      </c>
      <c r="K15" s="159" t="s">
        <v>340</v>
      </c>
      <c r="L15" s="961"/>
      <c r="M15" s="962"/>
      <c r="N15" s="962"/>
      <c r="O15" s="962"/>
      <c r="P15" s="962"/>
      <c r="Q15" s="962"/>
      <c r="R15" s="963"/>
      <c r="T15" s="99">
        <v>8</v>
      </c>
      <c r="U15" s="88" t="s">
        <v>353</v>
      </c>
      <c r="V15" s="453" t="s">
        <v>340</v>
      </c>
      <c r="W15" s="453" t="s">
        <v>340</v>
      </c>
      <c r="X15" s="453" t="s">
        <v>340</v>
      </c>
      <c r="Y15" s="453" t="s">
        <v>340</v>
      </c>
      <c r="Z15" s="146">
        <v>2</v>
      </c>
      <c r="AA15" s="146">
        <v>1</v>
      </c>
      <c r="AB15" s="146">
        <v>1</v>
      </c>
      <c r="AC15" s="453" t="s">
        <v>340</v>
      </c>
      <c r="AD15" s="453" t="s">
        <v>340</v>
      </c>
      <c r="AE15" s="453" t="s">
        <v>340</v>
      </c>
      <c r="AF15" s="453" t="s">
        <v>340</v>
      </c>
      <c r="AG15" s="453" t="str">
        <f t="shared" si="3"/>
        <v/>
      </c>
      <c r="AH15" s="453" t="str">
        <f t="shared" si="4"/>
        <v/>
      </c>
      <c r="AI15" s="138">
        <f>IF(NOT(OR(Z15=1,Z15=2)),IF(AQ15&gt;0,$AR$44*AQ15/SUMIF($AQ$8:$AQ$39,"&gt;0"),IF(AU15&gt;0,$AV$44*AU15/SUMIF($AU$8:$AU$39,"&gt;0"),IF(AS15&gt;0,$AT$44*AS15/SUMIF($AS$8:$AS$39,"&gt;0"),""))),IF(SUMIF(AJ16:$AJ$39,"=" &amp; AJ15,AI16:$AI$39)=0,"",SUMIF(AJ16:$AJ$39,"=" &amp; AJ15,AI16:$AI$39)))</f>
        <v>0.32727272727272727</v>
      </c>
      <c r="AJ15" s="139">
        <f t="shared" si="34"/>
        <v>2</v>
      </c>
      <c r="AK15" s="453" t="str">
        <f t="shared" si="27"/>
        <v/>
      </c>
      <c r="AL15" s="146" t="str">
        <f t="shared" si="28"/>
        <v/>
      </c>
      <c r="AM15" s="146" t="str">
        <f t="shared" si="35"/>
        <v/>
      </c>
      <c r="AN15" s="146" t="str">
        <f t="shared" si="5"/>
        <v/>
      </c>
      <c r="AO15" s="146" t="str">
        <f t="shared" si="6"/>
        <v/>
      </c>
      <c r="AP15" s="453" t="str">
        <f t="shared" si="7"/>
        <v/>
      </c>
      <c r="AQ15" s="140">
        <f t="shared" si="29"/>
        <v>0</v>
      </c>
      <c r="AR15" s="141" t="str">
        <f t="shared" si="8"/>
        <v/>
      </c>
      <c r="AS15" s="142">
        <f t="shared" si="30"/>
        <v>0</v>
      </c>
      <c r="AT15" s="141" t="str">
        <f t="shared" si="9"/>
        <v/>
      </c>
      <c r="AU15" s="143">
        <f t="shared" si="10"/>
        <v>0</v>
      </c>
      <c r="AV15" s="144" t="str">
        <f t="shared" si="11"/>
        <v/>
      </c>
      <c r="AW15" s="143" t="b">
        <f t="shared" si="12"/>
        <v>0</v>
      </c>
      <c r="AX15" s="145" t="b">
        <f t="shared" si="13"/>
        <v>0</v>
      </c>
      <c r="AY15" s="143" t="b">
        <f t="shared" si="14"/>
        <v>0</v>
      </c>
      <c r="AZ15" s="145" t="b">
        <f t="shared" si="15"/>
        <v>0</v>
      </c>
      <c r="BA15" s="453" t="b">
        <f t="shared" si="16"/>
        <v>0</v>
      </c>
      <c r="BB15" s="453" t="b">
        <f t="shared" si="17"/>
        <v>0</v>
      </c>
      <c r="BC15" s="143" t="b">
        <f t="shared" si="18"/>
        <v>0</v>
      </c>
      <c r="BD15" s="146" t="b">
        <f t="shared" si="31"/>
        <v>0</v>
      </c>
      <c r="BE15" s="145" t="b">
        <f t="shared" si="19"/>
        <v>0</v>
      </c>
      <c r="BF15" s="147" t="b">
        <f t="shared" si="20"/>
        <v>0</v>
      </c>
      <c r="BG15" s="453" t="b">
        <f t="shared" si="21"/>
        <v>0</v>
      </c>
      <c r="BH15" s="453" t="str">
        <f t="shared" si="32"/>
        <v/>
      </c>
      <c r="BI15" s="453" t="str">
        <f t="shared" si="22"/>
        <v/>
      </c>
      <c r="BJ15" s="453" t="str">
        <f t="shared" si="23"/>
        <v/>
      </c>
      <c r="BK15" s="453" t="str">
        <f t="shared" si="24"/>
        <v/>
      </c>
      <c r="BL15" s="148" t="str">
        <f t="shared" si="33"/>
        <v/>
      </c>
      <c r="BM15" s="453" t="str">
        <f t="shared" si="25"/>
        <v/>
      </c>
      <c r="BN15" s="453" t="str">
        <f t="shared" si="26"/>
        <v/>
      </c>
      <c r="BO15" s="90"/>
    </row>
    <row r="16" spans="2:73" s="94" customFormat="1" ht="12.95" customHeight="1" x14ac:dyDescent="0.2">
      <c r="B16" s="151">
        <f>IF(ISNA(Z16),"",IF(OR(Z16=1,Z16=2),"    ",MAX($B$8:B15)+1))</f>
        <v>6</v>
      </c>
      <c r="C16" s="904" t="str">
        <f t="shared" si="0"/>
        <v xml:space="preserve">      - Mission Preparation (8.2%)</v>
      </c>
      <c r="D16" s="904"/>
      <c r="E16" s="904"/>
      <c r="F16" s="905"/>
      <c r="G16" s="133">
        <f t="shared" si="1"/>
        <v>1</v>
      </c>
      <c r="H16" s="134" t="str">
        <f t="shared" si="2"/>
        <v>2*</v>
      </c>
      <c r="I16" s="152">
        <f t="shared" si="2"/>
        <v>3</v>
      </c>
      <c r="J16" s="158">
        <v>1</v>
      </c>
      <c r="K16" s="159">
        <v>3</v>
      </c>
      <c r="L16" s="961"/>
      <c r="M16" s="962"/>
      <c r="N16" s="962"/>
      <c r="O16" s="962"/>
      <c r="P16" s="962"/>
      <c r="Q16" s="962"/>
      <c r="R16" s="963"/>
      <c r="T16" s="99">
        <v>9</v>
      </c>
      <c r="U16" s="88" t="s">
        <v>498</v>
      </c>
      <c r="V16" s="453">
        <v>1</v>
      </c>
      <c r="W16" s="453">
        <v>5</v>
      </c>
      <c r="X16" s="453" t="s">
        <v>340</v>
      </c>
      <c r="Y16" s="453" t="s">
        <v>340</v>
      </c>
      <c r="Z16" s="146" t="s">
        <v>340</v>
      </c>
      <c r="AA16" s="146">
        <v>2</v>
      </c>
      <c r="AB16" s="146">
        <v>1</v>
      </c>
      <c r="AC16" s="453">
        <v>3</v>
      </c>
      <c r="AD16" s="453">
        <v>2</v>
      </c>
      <c r="AE16" s="453">
        <v>1</v>
      </c>
      <c r="AF16" s="453" t="b">
        <v>1</v>
      </c>
      <c r="AG16" s="453">
        <f t="shared" si="3"/>
        <v>2</v>
      </c>
      <c r="AH16" s="453">
        <f t="shared" si="4"/>
        <v>1</v>
      </c>
      <c r="AI16" s="138">
        <f>IF(NOT(OR(Z16=1,Z16=2)),IF(AQ16&gt;0,$AR$44*AQ16/SUMIF($AQ$8:$AQ$39,"&gt;0"),IF(AU16&gt;0,$AV$44*AU16/SUMIF($AU$8:$AU$39,"&gt;0"),IF(AS16&gt;0,$AT$44*AS16/SUMIF($AS$8:$AS$39,"&gt;0"),""))),IF(SUMIF(AJ17:$AJ$39,"=" &amp; AJ16,AI17:$AI$39)=0,"",SUMIF(AJ17:$AJ$39,"=" &amp; AJ16,AI17:$AI$39)))</f>
        <v>8.1818181818181818E-2</v>
      </c>
      <c r="AJ16" s="139">
        <f t="shared" si="34"/>
        <v>2</v>
      </c>
      <c r="AK16" s="453">
        <f t="shared" si="27"/>
        <v>2</v>
      </c>
      <c r="AL16" s="146">
        <f t="shared" si="28"/>
        <v>3</v>
      </c>
      <c r="AM16" s="146">
        <f t="shared" si="35"/>
        <v>1</v>
      </c>
      <c r="AN16" s="146" t="str">
        <f t="shared" si="5"/>
        <v/>
      </c>
      <c r="AO16" s="146" t="str">
        <f t="shared" si="6"/>
        <v/>
      </c>
      <c r="AP16" s="453" t="b">
        <f t="shared" si="7"/>
        <v>0</v>
      </c>
      <c r="AQ16" s="140">
        <f t="shared" si="29"/>
        <v>5</v>
      </c>
      <c r="AR16" s="141">
        <f t="shared" si="8"/>
        <v>0.9</v>
      </c>
      <c r="AS16" s="142">
        <f t="shared" si="30"/>
        <v>0</v>
      </c>
      <c r="AT16" s="141" t="str">
        <f t="shared" si="9"/>
        <v/>
      </c>
      <c r="AU16" s="143">
        <f t="shared" si="10"/>
        <v>0</v>
      </c>
      <c r="AV16" s="144">
        <f t="shared" si="11"/>
        <v>0.9</v>
      </c>
      <c r="AW16" s="143" t="b">
        <f t="shared" si="12"/>
        <v>0</v>
      </c>
      <c r="AX16" s="145" t="b">
        <f t="shared" si="13"/>
        <v>0</v>
      </c>
      <c r="AY16" s="143" t="b">
        <f t="shared" si="14"/>
        <v>0</v>
      </c>
      <c r="AZ16" s="145" t="b">
        <f t="shared" si="15"/>
        <v>0</v>
      </c>
      <c r="BA16" s="453" t="b">
        <f t="shared" si="16"/>
        <v>0</v>
      </c>
      <c r="BB16" s="453" t="b">
        <f t="shared" si="17"/>
        <v>0</v>
      </c>
      <c r="BC16" s="143" t="b">
        <f t="shared" si="18"/>
        <v>0</v>
      </c>
      <c r="BD16" s="146" t="b">
        <f t="shared" si="31"/>
        <v>0</v>
      </c>
      <c r="BE16" s="145" t="b">
        <f t="shared" si="19"/>
        <v>0</v>
      </c>
      <c r="BF16" s="147" t="b">
        <f t="shared" si="20"/>
        <v>0</v>
      </c>
      <c r="BG16" s="453" t="b">
        <f t="shared" si="21"/>
        <v>0</v>
      </c>
      <c r="BH16" s="453">
        <f t="shared" si="32"/>
        <v>1</v>
      </c>
      <c r="BI16" s="453">
        <f t="shared" si="22"/>
        <v>2</v>
      </c>
      <c r="BJ16" s="453" t="str">
        <f t="shared" si="23"/>
        <v>2*</v>
      </c>
      <c r="BK16" s="453">
        <f t="shared" si="24"/>
        <v>3</v>
      </c>
      <c r="BL16" s="148">
        <f t="shared" si="33"/>
        <v>1</v>
      </c>
      <c r="BM16" s="453">
        <f t="shared" si="25"/>
        <v>2</v>
      </c>
      <c r="BN16" s="453">
        <f t="shared" si="26"/>
        <v>3</v>
      </c>
      <c r="BO16" s="155"/>
      <c r="BP16" s="160"/>
    </row>
    <row r="17" spans="2:73" s="94" customFormat="1" ht="12.95" customHeight="1" x14ac:dyDescent="0.2">
      <c r="B17" s="151">
        <f>IF(ISNA(Z17),"",IF(OR(Z17=1,Z17=2),"    ",MAX($B$8:B16)+1))</f>
        <v>7</v>
      </c>
      <c r="C17" s="904" t="str">
        <f t="shared" si="0"/>
        <v xml:space="preserve">      - Awareness/Adaptation (8.2%)</v>
      </c>
      <c r="D17" s="904"/>
      <c r="E17" s="904"/>
      <c r="F17" s="905"/>
      <c r="G17" s="133">
        <f t="shared" si="1"/>
        <v>1</v>
      </c>
      <c r="H17" s="134" t="str">
        <f t="shared" si="2"/>
        <v>2*</v>
      </c>
      <c r="I17" s="152">
        <f t="shared" si="2"/>
        <v>3</v>
      </c>
      <c r="J17" s="158">
        <v>1</v>
      </c>
      <c r="K17" s="159">
        <v>4</v>
      </c>
      <c r="L17" s="961"/>
      <c r="M17" s="962"/>
      <c r="N17" s="962"/>
      <c r="O17" s="962"/>
      <c r="P17" s="962"/>
      <c r="Q17" s="962"/>
      <c r="R17" s="963"/>
      <c r="T17" s="99">
        <v>10</v>
      </c>
      <c r="U17" s="88" t="s">
        <v>499</v>
      </c>
      <c r="V17" s="453">
        <v>1</v>
      </c>
      <c r="W17" s="453">
        <v>5</v>
      </c>
      <c r="X17" s="453" t="s">
        <v>340</v>
      </c>
      <c r="Y17" s="453" t="s">
        <v>340</v>
      </c>
      <c r="Z17" s="146" t="s">
        <v>340</v>
      </c>
      <c r="AA17" s="146">
        <v>2</v>
      </c>
      <c r="AB17" s="146">
        <v>1</v>
      </c>
      <c r="AC17" s="453">
        <v>3</v>
      </c>
      <c r="AD17" s="453">
        <v>2</v>
      </c>
      <c r="AE17" s="453">
        <v>1</v>
      </c>
      <c r="AF17" s="453" t="b">
        <v>1</v>
      </c>
      <c r="AG17" s="453">
        <f t="shared" si="3"/>
        <v>2</v>
      </c>
      <c r="AH17" s="453">
        <f t="shared" si="4"/>
        <v>1</v>
      </c>
      <c r="AI17" s="138">
        <f>IF(NOT(OR(Z17=1,Z17=2)),IF(AQ17&gt;0,$AR$44*AQ17/SUMIF($AQ$8:$AQ$39,"&gt;0"),IF(AU17&gt;0,$AV$44*AU17/SUMIF($AU$8:$AU$39,"&gt;0"),IF(AS17&gt;0,$AT$44*AS17/SUMIF($AS$8:$AS$39,"&gt;0"),""))),IF(SUMIF(AJ18:$AJ$39,"=" &amp; AJ17,AI18:$AI$39)=0,"",SUMIF(AJ18:$AJ$39,"=" &amp; AJ17,AI18:$AI$39)))</f>
        <v>8.1818181818181818E-2</v>
      </c>
      <c r="AJ17" s="139">
        <f t="shared" si="34"/>
        <v>2</v>
      </c>
      <c r="AK17" s="453">
        <f t="shared" si="27"/>
        <v>2</v>
      </c>
      <c r="AL17" s="146">
        <f t="shared" si="28"/>
        <v>4</v>
      </c>
      <c r="AM17" s="146">
        <f t="shared" si="35"/>
        <v>1</v>
      </c>
      <c r="AN17" s="146" t="str">
        <f t="shared" si="5"/>
        <v/>
      </c>
      <c r="AO17" s="146" t="str">
        <f t="shared" si="6"/>
        <v/>
      </c>
      <c r="AP17" s="453" t="b">
        <f t="shared" si="7"/>
        <v>0</v>
      </c>
      <c r="AQ17" s="140">
        <f t="shared" si="29"/>
        <v>5</v>
      </c>
      <c r="AR17" s="141">
        <f t="shared" si="8"/>
        <v>1</v>
      </c>
      <c r="AS17" s="142">
        <f t="shared" si="30"/>
        <v>0</v>
      </c>
      <c r="AT17" s="141" t="str">
        <f t="shared" si="9"/>
        <v/>
      </c>
      <c r="AU17" s="143">
        <f t="shared" si="10"/>
        <v>0</v>
      </c>
      <c r="AV17" s="144">
        <f t="shared" si="11"/>
        <v>1</v>
      </c>
      <c r="AW17" s="143" t="b">
        <f t="shared" si="12"/>
        <v>0</v>
      </c>
      <c r="AX17" s="145" t="b">
        <f t="shared" si="13"/>
        <v>0</v>
      </c>
      <c r="AY17" s="143" t="b">
        <f t="shared" si="14"/>
        <v>0</v>
      </c>
      <c r="AZ17" s="145" t="b">
        <f t="shared" si="15"/>
        <v>0</v>
      </c>
      <c r="BA17" s="453" t="b">
        <f t="shared" si="16"/>
        <v>0</v>
      </c>
      <c r="BB17" s="453" t="b">
        <f t="shared" si="17"/>
        <v>0</v>
      </c>
      <c r="BC17" s="143" t="b">
        <f t="shared" si="18"/>
        <v>0</v>
      </c>
      <c r="BD17" s="146" t="b">
        <f t="shared" si="31"/>
        <v>0</v>
      </c>
      <c r="BE17" s="145" t="b">
        <f t="shared" si="19"/>
        <v>0</v>
      </c>
      <c r="BF17" s="147" t="b">
        <f t="shared" si="20"/>
        <v>0</v>
      </c>
      <c r="BG17" s="453" t="b">
        <f t="shared" si="21"/>
        <v>0</v>
      </c>
      <c r="BH17" s="453">
        <f t="shared" si="32"/>
        <v>1</v>
      </c>
      <c r="BI17" s="453">
        <f t="shared" si="22"/>
        <v>2</v>
      </c>
      <c r="BJ17" s="453" t="str">
        <f t="shared" si="23"/>
        <v>2*</v>
      </c>
      <c r="BK17" s="453">
        <f t="shared" si="24"/>
        <v>3</v>
      </c>
      <c r="BL17" s="148">
        <f t="shared" si="33"/>
        <v>1</v>
      </c>
      <c r="BM17" s="453">
        <f t="shared" si="25"/>
        <v>2</v>
      </c>
      <c r="BN17" s="453">
        <f t="shared" si="26"/>
        <v>3</v>
      </c>
      <c r="BO17" s="90"/>
    </row>
    <row r="18" spans="2:73" s="94" customFormat="1" ht="12.95" customHeight="1" x14ac:dyDescent="0.2">
      <c r="B18" s="151">
        <f>IF(ISNA(Z18),"",IF(OR(Z18=1,Z18=2),"    ",MAX($B$8:B17)+1))</f>
        <v>8</v>
      </c>
      <c r="C18" s="904" t="str">
        <f t="shared" si="0"/>
        <v xml:space="preserve">      - Communication (8.2%)</v>
      </c>
      <c r="D18" s="904"/>
      <c r="E18" s="904"/>
      <c r="F18" s="905"/>
      <c r="G18" s="133">
        <f t="shared" si="1"/>
        <v>1</v>
      </c>
      <c r="H18" s="134" t="str">
        <f t="shared" si="2"/>
        <v>2*</v>
      </c>
      <c r="I18" s="152">
        <f t="shared" si="2"/>
        <v>3</v>
      </c>
      <c r="J18" s="158">
        <v>1</v>
      </c>
      <c r="K18" s="159">
        <v>3</v>
      </c>
      <c r="L18" s="961"/>
      <c r="M18" s="962"/>
      <c r="N18" s="962"/>
      <c r="O18" s="962"/>
      <c r="P18" s="962"/>
      <c r="Q18" s="962"/>
      <c r="R18" s="963"/>
      <c r="T18" s="99">
        <v>11</v>
      </c>
      <c r="U18" s="88" t="s">
        <v>500</v>
      </c>
      <c r="V18" s="453">
        <v>1</v>
      </c>
      <c r="W18" s="453">
        <v>5</v>
      </c>
      <c r="X18" s="453" t="s">
        <v>340</v>
      </c>
      <c r="Y18" s="453" t="s">
        <v>340</v>
      </c>
      <c r="Z18" s="146" t="s">
        <v>340</v>
      </c>
      <c r="AA18" s="146">
        <v>2</v>
      </c>
      <c r="AB18" s="146">
        <v>1</v>
      </c>
      <c r="AC18" s="453">
        <v>3</v>
      </c>
      <c r="AD18" s="453">
        <v>2</v>
      </c>
      <c r="AE18" s="453">
        <v>1</v>
      </c>
      <c r="AF18" s="453" t="b">
        <v>1</v>
      </c>
      <c r="AG18" s="453">
        <f t="shared" si="3"/>
        <v>2</v>
      </c>
      <c r="AH18" s="453">
        <f t="shared" si="4"/>
        <v>1</v>
      </c>
      <c r="AI18" s="138">
        <f>IF(NOT(OR(Z18=1,Z18=2)),IF(AQ18&gt;0,$AR$44*AQ18/SUMIF($AQ$8:$AQ$39,"&gt;0"),IF(AU18&gt;0,$AV$44*AU18/SUMIF($AU$8:$AU$39,"&gt;0"),IF(AS18&gt;0,$AT$44*AS18/SUMIF($AS$8:$AS$39,"&gt;0"),""))),IF(SUMIF(AJ19:$AJ$39,"=" &amp; AJ18,AI19:$AI$39)=0,"",SUMIF(AJ19:$AJ$39,"=" &amp; AJ18,AI19:$AI$39)))</f>
        <v>8.1818181818181818E-2</v>
      </c>
      <c r="AJ18" s="139">
        <f t="shared" si="34"/>
        <v>2</v>
      </c>
      <c r="AK18" s="453">
        <f t="shared" si="27"/>
        <v>2</v>
      </c>
      <c r="AL18" s="146">
        <f t="shared" si="28"/>
        <v>3</v>
      </c>
      <c r="AM18" s="146">
        <f t="shared" si="35"/>
        <v>1</v>
      </c>
      <c r="AN18" s="146" t="str">
        <f t="shared" si="5"/>
        <v/>
      </c>
      <c r="AO18" s="146" t="str">
        <f t="shared" si="6"/>
        <v/>
      </c>
      <c r="AP18" s="453" t="b">
        <f t="shared" si="7"/>
        <v>0</v>
      </c>
      <c r="AQ18" s="140">
        <f t="shared" si="29"/>
        <v>5</v>
      </c>
      <c r="AR18" s="141">
        <f t="shared" si="8"/>
        <v>0.9</v>
      </c>
      <c r="AS18" s="142">
        <f t="shared" si="30"/>
        <v>0</v>
      </c>
      <c r="AT18" s="141" t="str">
        <f t="shared" si="9"/>
        <v/>
      </c>
      <c r="AU18" s="143">
        <f t="shared" si="10"/>
        <v>0</v>
      </c>
      <c r="AV18" s="144">
        <f t="shared" si="11"/>
        <v>0.9</v>
      </c>
      <c r="AW18" s="143" t="b">
        <f t="shared" si="12"/>
        <v>0</v>
      </c>
      <c r="AX18" s="145" t="b">
        <f t="shared" si="13"/>
        <v>0</v>
      </c>
      <c r="AY18" s="143" t="b">
        <f t="shared" si="14"/>
        <v>0</v>
      </c>
      <c r="AZ18" s="145" t="b">
        <f t="shared" si="15"/>
        <v>0</v>
      </c>
      <c r="BA18" s="453" t="b">
        <f t="shared" si="16"/>
        <v>0</v>
      </c>
      <c r="BB18" s="453" t="b">
        <f t="shared" si="17"/>
        <v>0</v>
      </c>
      <c r="BC18" s="143" t="b">
        <f t="shared" si="18"/>
        <v>0</v>
      </c>
      <c r="BD18" s="146" t="b">
        <f t="shared" si="31"/>
        <v>0</v>
      </c>
      <c r="BE18" s="145" t="b">
        <f t="shared" si="19"/>
        <v>0</v>
      </c>
      <c r="BF18" s="147" t="b">
        <f t="shared" si="20"/>
        <v>0</v>
      </c>
      <c r="BG18" s="453" t="b">
        <f t="shared" si="21"/>
        <v>0</v>
      </c>
      <c r="BH18" s="453">
        <f t="shared" si="32"/>
        <v>1</v>
      </c>
      <c r="BI18" s="453">
        <f t="shared" si="22"/>
        <v>2</v>
      </c>
      <c r="BJ18" s="453" t="str">
        <f t="shared" si="23"/>
        <v>2*</v>
      </c>
      <c r="BK18" s="453">
        <f t="shared" si="24"/>
        <v>3</v>
      </c>
      <c r="BL18" s="148">
        <f t="shared" si="33"/>
        <v>1</v>
      </c>
      <c r="BM18" s="453">
        <f t="shared" si="25"/>
        <v>2</v>
      </c>
      <c r="BN18" s="453">
        <f t="shared" si="26"/>
        <v>3</v>
      </c>
      <c r="BO18" s="300"/>
      <c r="BP18" s="160" t="s">
        <v>355</v>
      </c>
      <c r="BQ18" s="161"/>
      <c r="BR18" s="161"/>
      <c r="BS18" s="161"/>
      <c r="BT18" s="161"/>
      <c r="BU18" s="161"/>
    </row>
    <row r="19" spans="2:73" s="94" customFormat="1" ht="12.95" customHeight="1" x14ac:dyDescent="0.2">
      <c r="B19" s="151">
        <f>IF(ISNA(Z19),"",IF(OR(Z19=1,Z19=2),"    ",MAX($B$8:B18)+1))</f>
        <v>9</v>
      </c>
      <c r="C19" s="904" t="str">
        <f t="shared" si="0"/>
        <v xml:space="preserve">      - Teamwork (8.2%)</v>
      </c>
      <c r="D19" s="904"/>
      <c r="E19" s="904"/>
      <c r="F19" s="905"/>
      <c r="G19" s="133">
        <f t="shared" si="1"/>
        <v>1</v>
      </c>
      <c r="H19" s="134" t="str">
        <f t="shared" si="2"/>
        <v>2*</v>
      </c>
      <c r="I19" s="152">
        <f t="shared" si="2"/>
        <v>3</v>
      </c>
      <c r="J19" s="158">
        <v>1</v>
      </c>
      <c r="K19" s="159">
        <v>3</v>
      </c>
      <c r="L19" s="961"/>
      <c r="M19" s="962"/>
      <c r="N19" s="962"/>
      <c r="O19" s="962"/>
      <c r="P19" s="962"/>
      <c r="Q19" s="962"/>
      <c r="R19" s="963"/>
      <c r="T19" s="99">
        <v>12</v>
      </c>
      <c r="U19" s="88" t="s">
        <v>501</v>
      </c>
      <c r="V19" s="453">
        <v>1</v>
      </c>
      <c r="W19" s="453">
        <v>5</v>
      </c>
      <c r="X19" s="453" t="s">
        <v>340</v>
      </c>
      <c r="Y19" s="453" t="s">
        <v>340</v>
      </c>
      <c r="Z19" s="146" t="s">
        <v>340</v>
      </c>
      <c r="AA19" s="146">
        <v>2</v>
      </c>
      <c r="AB19" s="146">
        <v>1</v>
      </c>
      <c r="AC19" s="453">
        <v>3</v>
      </c>
      <c r="AD19" s="453">
        <v>2</v>
      </c>
      <c r="AE19" s="453">
        <v>1</v>
      </c>
      <c r="AF19" s="453" t="b">
        <v>1</v>
      </c>
      <c r="AG19" s="453">
        <f t="shared" si="3"/>
        <v>2</v>
      </c>
      <c r="AH19" s="453">
        <f t="shared" si="4"/>
        <v>1</v>
      </c>
      <c r="AI19" s="138">
        <f>IF(NOT(OR(Z19=1,Z19=2)),IF(AQ19&gt;0,$AR$44*AQ19/SUMIF($AQ$8:$AQ$39,"&gt;0"),IF(AU19&gt;0,$AV$44*AU19/SUMIF($AU$8:$AU$39,"&gt;0"),IF(AS19&gt;0,$AT$44*AS19/SUMIF($AS$8:$AS$39,"&gt;0"),""))),IF(SUMIF(AJ20:$AJ$39,"=" &amp; AJ19,AI20:$AI$39)=0,"",SUMIF(AJ20:$AJ$39,"=" &amp; AJ19,AI20:$AI$39)))</f>
        <v>8.1818181818181818E-2</v>
      </c>
      <c r="AJ19" s="139">
        <f t="shared" si="34"/>
        <v>2</v>
      </c>
      <c r="AK19" s="453">
        <f t="shared" si="27"/>
        <v>2</v>
      </c>
      <c r="AL19" s="146">
        <f t="shared" si="28"/>
        <v>3</v>
      </c>
      <c r="AM19" s="146">
        <f t="shared" si="35"/>
        <v>1</v>
      </c>
      <c r="AN19" s="146" t="str">
        <f t="shared" si="5"/>
        <v/>
      </c>
      <c r="AO19" s="146" t="str">
        <f t="shared" si="6"/>
        <v/>
      </c>
      <c r="AP19" s="453" t="b">
        <f t="shared" si="7"/>
        <v>0</v>
      </c>
      <c r="AQ19" s="140">
        <f t="shared" si="29"/>
        <v>5</v>
      </c>
      <c r="AR19" s="141">
        <f t="shared" si="8"/>
        <v>0.9</v>
      </c>
      <c r="AS19" s="142">
        <f t="shared" si="30"/>
        <v>0</v>
      </c>
      <c r="AT19" s="141" t="str">
        <f t="shared" si="9"/>
        <v/>
      </c>
      <c r="AU19" s="143">
        <f t="shared" si="10"/>
        <v>0</v>
      </c>
      <c r="AV19" s="144">
        <f t="shared" si="11"/>
        <v>0.9</v>
      </c>
      <c r="AW19" s="143" t="b">
        <f t="shared" si="12"/>
        <v>0</v>
      </c>
      <c r="AX19" s="145" t="b">
        <f t="shared" si="13"/>
        <v>0</v>
      </c>
      <c r="AY19" s="143" t="b">
        <f t="shared" si="14"/>
        <v>0</v>
      </c>
      <c r="AZ19" s="145" t="b">
        <f t="shared" si="15"/>
        <v>0</v>
      </c>
      <c r="BA19" s="453" t="b">
        <f t="shared" si="16"/>
        <v>0</v>
      </c>
      <c r="BB19" s="453" t="b">
        <f t="shared" si="17"/>
        <v>0</v>
      </c>
      <c r="BC19" s="143" t="b">
        <f t="shared" si="18"/>
        <v>0</v>
      </c>
      <c r="BD19" s="146" t="b">
        <f t="shared" si="31"/>
        <v>0</v>
      </c>
      <c r="BE19" s="145" t="b">
        <f t="shared" si="19"/>
        <v>0</v>
      </c>
      <c r="BF19" s="147" t="b">
        <f t="shared" si="20"/>
        <v>0</v>
      </c>
      <c r="BG19" s="453" t="b">
        <f t="shared" si="21"/>
        <v>0</v>
      </c>
      <c r="BH19" s="453">
        <f t="shared" si="32"/>
        <v>1</v>
      </c>
      <c r="BI19" s="453">
        <f t="shared" si="22"/>
        <v>2</v>
      </c>
      <c r="BJ19" s="453" t="str">
        <f t="shared" si="23"/>
        <v>2*</v>
      </c>
      <c r="BK19" s="453">
        <f t="shared" si="24"/>
        <v>3</v>
      </c>
      <c r="BL19" s="148">
        <f t="shared" si="33"/>
        <v>1</v>
      </c>
      <c r="BM19" s="453">
        <f t="shared" si="25"/>
        <v>2</v>
      </c>
      <c r="BN19" s="453">
        <f t="shared" si="26"/>
        <v>3</v>
      </c>
      <c r="BO19" s="300"/>
      <c r="BP19" s="150"/>
      <c r="BQ19" s="935" t="s">
        <v>356</v>
      </c>
      <c r="BR19" s="935"/>
      <c r="BS19" s="935"/>
      <c r="BT19" s="935"/>
      <c r="BU19" s="935"/>
    </row>
    <row r="20" spans="2:73" s="94" customFormat="1" ht="12.95" customHeight="1" x14ac:dyDescent="0.2">
      <c r="B20" s="151" t="str">
        <f>IF(ISNA(Z20),"",IF(OR(Z20=1,Z20=2),"    ",MAX($B$8:B19)+1))</f>
        <v xml:space="preserve">    </v>
      </c>
      <c r="C20" s="904" t="str">
        <f t="shared" si="0"/>
        <v>Test Points/Procedures (49.1%)</v>
      </c>
      <c r="D20" s="904"/>
      <c r="E20" s="904"/>
      <c r="F20" s="905"/>
      <c r="G20" s="133" t="str">
        <f t="shared" si="1"/>
        <v/>
      </c>
      <c r="H20" s="134" t="str">
        <f t="shared" si="2"/>
        <v/>
      </c>
      <c r="I20" s="152" t="str">
        <f t="shared" si="2"/>
        <v/>
      </c>
      <c r="J20" s="158" t="s">
        <v>340</v>
      </c>
      <c r="K20" s="159" t="s">
        <v>340</v>
      </c>
      <c r="L20" s="961"/>
      <c r="M20" s="962"/>
      <c r="N20" s="962"/>
      <c r="O20" s="962"/>
      <c r="P20" s="962"/>
      <c r="Q20" s="962"/>
      <c r="R20" s="963"/>
      <c r="T20" s="99">
        <v>13</v>
      </c>
      <c r="U20" s="88" t="s">
        <v>590</v>
      </c>
      <c r="V20" s="453" t="s">
        <v>340</v>
      </c>
      <c r="W20" s="453" t="s">
        <v>340</v>
      </c>
      <c r="X20" s="453" t="s">
        <v>340</v>
      </c>
      <c r="Y20" s="453" t="s">
        <v>340</v>
      </c>
      <c r="Z20" s="146">
        <v>2</v>
      </c>
      <c r="AA20" s="146">
        <v>1</v>
      </c>
      <c r="AB20" s="146">
        <v>1</v>
      </c>
      <c r="AC20" s="453" t="s">
        <v>340</v>
      </c>
      <c r="AD20" s="453" t="s">
        <v>340</v>
      </c>
      <c r="AE20" s="453" t="s">
        <v>340</v>
      </c>
      <c r="AF20" s="453" t="s">
        <v>340</v>
      </c>
      <c r="AG20" s="453" t="str">
        <f t="shared" si="3"/>
        <v/>
      </c>
      <c r="AH20" s="453" t="str">
        <f t="shared" si="4"/>
        <v/>
      </c>
      <c r="AI20" s="138">
        <f>IF(NOT(OR(Z20=1,Z20=2)),IF(AQ20&gt;0,$AR$44*AQ20/SUMIF($AQ$8:$AQ$39,"&gt;0"),IF(AU20&gt;0,$AV$44*AU20/SUMIF($AU$8:$AU$39,"&gt;0"),IF(AS20&gt;0,$AT$44*AS20/SUMIF($AS$8:$AS$39,"&gt;0"),""))),IF(SUMIF(AJ21:$AJ$39,"=" &amp; AJ20,AI21:$AI$39)=0,"",SUMIF(AJ21:$AJ$39,"=" &amp; AJ20,AI21:$AI$39)))</f>
        <v>0.49090909090909085</v>
      </c>
      <c r="AJ20" s="139">
        <f t="shared" si="34"/>
        <v>3</v>
      </c>
      <c r="AK20" s="453" t="str">
        <f t="shared" si="27"/>
        <v/>
      </c>
      <c r="AL20" s="146" t="str">
        <f t="shared" si="28"/>
        <v/>
      </c>
      <c r="AM20" s="146" t="str">
        <f t="shared" si="35"/>
        <v/>
      </c>
      <c r="AN20" s="146" t="str">
        <f t="shared" si="5"/>
        <v/>
      </c>
      <c r="AO20" s="146" t="str">
        <f t="shared" si="6"/>
        <v/>
      </c>
      <c r="AP20" s="453" t="str">
        <f t="shared" si="7"/>
        <v/>
      </c>
      <c r="AQ20" s="140">
        <f t="shared" si="29"/>
        <v>0</v>
      </c>
      <c r="AR20" s="141" t="str">
        <f t="shared" si="8"/>
        <v/>
      </c>
      <c r="AS20" s="142">
        <f t="shared" si="30"/>
        <v>0</v>
      </c>
      <c r="AT20" s="141" t="str">
        <f t="shared" si="9"/>
        <v/>
      </c>
      <c r="AU20" s="143">
        <f t="shared" si="10"/>
        <v>0</v>
      </c>
      <c r="AV20" s="144" t="str">
        <f t="shared" si="11"/>
        <v/>
      </c>
      <c r="AW20" s="143" t="b">
        <f t="shared" si="12"/>
        <v>0</v>
      </c>
      <c r="AX20" s="145" t="b">
        <f t="shared" si="13"/>
        <v>0</v>
      </c>
      <c r="AY20" s="143" t="b">
        <f t="shared" si="14"/>
        <v>0</v>
      </c>
      <c r="AZ20" s="145" t="b">
        <f t="shared" si="15"/>
        <v>0</v>
      </c>
      <c r="BA20" s="453" t="b">
        <f t="shared" si="16"/>
        <v>0</v>
      </c>
      <c r="BB20" s="453" t="b">
        <f t="shared" si="17"/>
        <v>0</v>
      </c>
      <c r="BC20" s="143" t="b">
        <f t="shared" si="18"/>
        <v>0</v>
      </c>
      <c r="BD20" s="146" t="b">
        <f t="shared" si="31"/>
        <v>0</v>
      </c>
      <c r="BE20" s="145" t="b">
        <f t="shared" si="19"/>
        <v>0</v>
      </c>
      <c r="BF20" s="147" t="b">
        <f t="shared" si="20"/>
        <v>0</v>
      </c>
      <c r="BG20" s="453" t="b">
        <f t="shared" si="21"/>
        <v>0</v>
      </c>
      <c r="BH20" s="453" t="str">
        <f t="shared" si="32"/>
        <v/>
      </c>
      <c r="BI20" s="453" t="str">
        <f t="shared" si="22"/>
        <v/>
      </c>
      <c r="BJ20" s="453" t="str">
        <f t="shared" si="23"/>
        <v/>
      </c>
      <c r="BK20" s="453" t="str">
        <f t="shared" si="24"/>
        <v/>
      </c>
      <c r="BL20" s="148" t="str">
        <f t="shared" si="33"/>
        <v/>
      </c>
      <c r="BM20" s="453" t="str">
        <f t="shared" si="25"/>
        <v/>
      </c>
      <c r="BN20" s="453" t="str">
        <f t="shared" si="26"/>
        <v/>
      </c>
      <c r="BO20" s="300"/>
      <c r="BP20" s="300"/>
      <c r="BQ20" s="300">
        <v>0</v>
      </c>
      <c r="BR20" s="300">
        <v>1</v>
      </c>
      <c r="BS20" s="300">
        <v>2</v>
      </c>
      <c r="BT20" s="300">
        <v>3</v>
      </c>
      <c r="BU20" s="300">
        <v>4</v>
      </c>
    </row>
    <row r="21" spans="2:73" s="94" customFormat="1" ht="12.95" customHeight="1" x14ac:dyDescent="0.2">
      <c r="B21" s="151">
        <f>IF(ISNA(Z21),"",IF(OR(Z21=1,Z21=2),"    ",MAX($B$8:B20)+1))</f>
        <v>10</v>
      </c>
      <c r="C21" s="904" t="str">
        <f t="shared" si="0"/>
        <v xml:space="preserve">      - Breakout Forces/Freeplay FTT (8.2%)</v>
      </c>
      <c r="D21" s="904"/>
      <c r="E21" s="904"/>
      <c r="F21" s="905"/>
      <c r="G21" s="133">
        <f t="shared" si="1"/>
        <v>1</v>
      </c>
      <c r="H21" s="134" t="str">
        <f t="shared" si="2"/>
        <v>2*</v>
      </c>
      <c r="I21" s="152">
        <f t="shared" si="2"/>
        <v>3</v>
      </c>
      <c r="J21" s="158">
        <v>1</v>
      </c>
      <c r="K21" s="159">
        <v>4</v>
      </c>
      <c r="L21" s="961"/>
      <c r="M21" s="962"/>
      <c r="N21" s="962"/>
      <c r="O21" s="962"/>
      <c r="P21" s="962"/>
      <c r="Q21" s="962"/>
      <c r="R21" s="963"/>
      <c r="T21" s="99">
        <v>14</v>
      </c>
      <c r="U21" s="88" t="s">
        <v>754</v>
      </c>
      <c r="V21" s="453">
        <v>1</v>
      </c>
      <c r="W21" s="453">
        <v>5</v>
      </c>
      <c r="X21" s="453" t="s">
        <v>340</v>
      </c>
      <c r="Y21" s="453" t="s">
        <v>340</v>
      </c>
      <c r="Z21" s="146" t="s">
        <v>340</v>
      </c>
      <c r="AA21" s="146">
        <v>2</v>
      </c>
      <c r="AB21" s="146">
        <v>1</v>
      </c>
      <c r="AC21" s="453">
        <v>3</v>
      </c>
      <c r="AD21" s="453">
        <v>2</v>
      </c>
      <c r="AE21" s="453">
        <v>1</v>
      </c>
      <c r="AF21" s="453" t="b">
        <v>1</v>
      </c>
      <c r="AG21" s="453">
        <f t="shared" si="3"/>
        <v>2</v>
      </c>
      <c r="AH21" s="453">
        <f t="shared" si="4"/>
        <v>1</v>
      </c>
      <c r="AI21" s="138">
        <f>IF(NOT(OR(Z21=1,Z21=2)),IF(AQ21&gt;0,$AR$44*AQ21/SUMIF($AQ$8:$AQ$39,"&gt;0"),IF(AU21&gt;0,$AV$44*AU21/SUMIF($AU$8:$AU$39,"&gt;0"),IF(AS21&gt;0,$AT$44*AS21/SUMIF($AS$8:$AS$39,"&gt;0"),""))),IF(SUMIF(AJ22:$AJ$39,"=" &amp; AJ21,AI22:$AI$39)=0,"",SUMIF(AJ22:$AJ$39,"=" &amp; AJ21,AI22:$AI$39)))</f>
        <v>8.1818181818181818E-2</v>
      </c>
      <c r="AJ21" s="139">
        <f t="shared" si="34"/>
        <v>3</v>
      </c>
      <c r="AK21" s="453">
        <f t="shared" si="27"/>
        <v>2</v>
      </c>
      <c r="AL21" s="146">
        <f t="shared" si="28"/>
        <v>4</v>
      </c>
      <c r="AM21" s="146">
        <f t="shared" si="35"/>
        <v>1</v>
      </c>
      <c r="AN21" s="146" t="str">
        <f t="shared" si="5"/>
        <v/>
      </c>
      <c r="AO21" s="146" t="str">
        <f t="shared" si="6"/>
        <v/>
      </c>
      <c r="AP21" s="453" t="b">
        <f t="shared" si="7"/>
        <v>0</v>
      </c>
      <c r="AQ21" s="140">
        <f t="shared" si="29"/>
        <v>5</v>
      </c>
      <c r="AR21" s="141">
        <f t="shared" si="8"/>
        <v>1</v>
      </c>
      <c r="AS21" s="142">
        <f t="shared" si="30"/>
        <v>0</v>
      </c>
      <c r="AT21" s="141" t="str">
        <f t="shared" si="9"/>
        <v/>
      </c>
      <c r="AU21" s="143">
        <f t="shared" si="10"/>
        <v>0</v>
      </c>
      <c r="AV21" s="144">
        <f t="shared" si="11"/>
        <v>1</v>
      </c>
      <c r="AW21" s="143" t="b">
        <f t="shared" si="12"/>
        <v>0</v>
      </c>
      <c r="AX21" s="145" t="b">
        <f t="shared" si="13"/>
        <v>0</v>
      </c>
      <c r="AY21" s="143" t="b">
        <f t="shared" si="14"/>
        <v>0</v>
      </c>
      <c r="AZ21" s="145" t="b">
        <f t="shared" si="15"/>
        <v>0</v>
      </c>
      <c r="BA21" s="453" t="b">
        <f t="shared" si="16"/>
        <v>0</v>
      </c>
      <c r="BB21" s="453" t="b">
        <f t="shared" si="17"/>
        <v>0</v>
      </c>
      <c r="BC21" s="143" t="b">
        <f t="shared" si="18"/>
        <v>0</v>
      </c>
      <c r="BD21" s="146" t="b">
        <f t="shared" si="31"/>
        <v>0</v>
      </c>
      <c r="BE21" s="145" t="b">
        <f t="shared" si="19"/>
        <v>0</v>
      </c>
      <c r="BF21" s="147" t="b">
        <f t="shared" si="20"/>
        <v>0</v>
      </c>
      <c r="BG21" s="453" t="b">
        <f t="shared" si="21"/>
        <v>0</v>
      </c>
      <c r="BH21" s="453">
        <f t="shared" si="32"/>
        <v>1</v>
      </c>
      <c r="BI21" s="453">
        <f t="shared" si="22"/>
        <v>2</v>
      </c>
      <c r="BJ21" s="453" t="str">
        <f t="shared" si="23"/>
        <v>2*</v>
      </c>
      <c r="BK21" s="453">
        <f t="shared" si="24"/>
        <v>3</v>
      </c>
      <c r="BL21" s="148">
        <f t="shared" si="33"/>
        <v>1</v>
      </c>
      <c r="BM21" s="453">
        <f t="shared" si="25"/>
        <v>2</v>
      </c>
      <c r="BN21" s="453">
        <f t="shared" si="26"/>
        <v>3</v>
      </c>
      <c r="BO21" s="936" t="s">
        <v>358</v>
      </c>
      <c r="BP21" s="300" t="s">
        <v>359</v>
      </c>
      <c r="BQ21" s="162">
        <f t="shared" ref="BQ21:BU29" si="36">AR50</f>
        <v>0.7</v>
      </c>
      <c r="BR21" s="163">
        <f t="shared" si="36"/>
        <v>0.9</v>
      </c>
      <c r="BS21" s="163">
        <f t="shared" si="36"/>
        <v>0.93330000000000002</v>
      </c>
      <c r="BT21" s="163">
        <f t="shared" si="36"/>
        <v>0.9667</v>
      </c>
      <c r="BU21" s="164">
        <f t="shared" si="36"/>
        <v>1</v>
      </c>
    </row>
    <row r="22" spans="2:73" s="94" customFormat="1" ht="12.95" customHeight="1" x14ac:dyDescent="0.2">
      <c r="B22" s="151">
        <f>IF(ISNA(Z22),"",IF(OR(Z22=1,Z22=2),"    ",MAX($B$8:B21)+1))</f>
        <v>11</v>
      </c>
      <c r="C22" s="904" t="str">
        <f t="shared" si="0"/>
        <v xml:space="preserve">      - Speed Stability FTTs (8.2%)</v>
      </c>
      <c r="D22" s="904"/>
      <c r="E22" s="904"/>
      <c r="F22" s="905"/>
      <c r="G22" s="133">
        <f t="shared" si="1"/>
        <v>1</v>
      </c>
      <c r="H22" s="134" t="str">
        <f t="shared" si="2"/>
        <v>2*</v>
      </c>
      <c r="I22" s="152">
        <f t="shared" si="2"/>
        <v>3</v>
      </c>
      <c r="J22" s="158">
        <v>1</v>
      </c>
      <c r="K22" s="159">
        <v>4</v>
      </c>
      <c r="L22" s="961"/>
      <c r="M22" s="962"/>
      <c r="N22" s="962"/>
      <c r="O22" s="962"/>
      <c r="P22" s="962"/>
      <c r="Q22" s="962"/>
      <c r="R22" s="963"/>
      <c r="T22" s="99">
        <v>15</v>
      </c>
      <c r="U22" s="88" t="s">
        <v>755</v>
      </c>
      <c r="V22" s="453">
        <v>1</v>
      </c>
      <c r="W22" s="453">
        <v>5</v>
      </c>
      <c r="X22" s="453" t="s">
        <v>340</v>
      </c>
      <c r="Y22" s="453" t="s">
        <v>340</v>
      </c>
      <c r="Z22" s="146" t="s">
        <v>340</v>
      </c>
      <c r="AA22" s="146">
        <v>2</v>
      </c>
      <c r="AB22" s="146">
        <v>1</v>
      </c>
      <c r="AC22" s="453">
        <v>3</v>
      </c>
      <c r="AD22" s="453">
        <v>2</v>
      </c>
      <c r="AE22" s="453">
        <v>1</v>
      </c>
      <c r="AF22" s="453" t="b">
        <v>1</v>
      </c>
      <c r="AG22" s="453">
        <f t="shared" si="3"/>
        <v>2</v>
      </c>
      <c r="AH22" s="453">
        <f t="shared" si="4"/>
        <v>1</v>
      </c>
      <c r="AI22" s="138">
        <f>IF(NOT(OR(Z22=1,Z22=2)),IF(AQ22&gt;0,$AR$44*AQ22/SUMIF($AQ$8:$AQ$39,"&gt;0"),IF(AU22&gt;0,$AV$44*AU22/SUMIF($AU$8:$AU$39,"&gt;0"),IF(AS22&gt;0,$AT$44*AS22/SUMIF($AS$8:$AS$39,"&gt;0"),""))),IF(SUMIF(AJ23:$AJ$39,"=" &amp; AJ22,AI23:$AI$39)=0,"",SUMIF(AJ23:$AJ$39,"=" &amp; AJ22,AI23:$AI$39)))</f>
        <v>8.1818181818181818E-2</v>
      </c>
      <c r="AJ22" s="139">
        <f t="shared" si="34"/>
        <v>3</v>
      </c>
      <c r="AK22" s="453">
        <f t="shared" si="27"/>
        <v>2</v>
      </c>
      <c r="AL22" s="146">
        <f t="shared" si="28"/>
        <v>4</v>
      </c>
      <c r="AM22" s="146">
        <f t="shared" si="35"/>
        <v>1</v>
      </c>
      <c r="AN22" s="146" t="str">
        <f t="shared" si="5"/>
        <v/>
      </c>
      <c r="AO22" s="146" t="str">
        <f t="shared" si="6"/>
        <v/>
      </c>
      <c r="AP22" s="453" t="b">
        <f t="shared" si="7"/>
        <v>0</v>
      </c>
      <c r="AQ22" s="140">
        <f t="shared" si="29"/>
        <v>5</v>
      </c>
      <c r="AR22" s="141">
        <f t="shared" si="8"/>
        <v>1</v>
      </c>
      <c r="AS22" s="142">
        <f t="shared" si="30"/>
        <v>0</v>
      </c>
      <c r="AT22" s="141" t="str">
        <f t="shared" si="9"/>
        <v/>
      </c>
      <c r="AU22" s="143">
        <f t="shared" si="10"/>
        <v>0</v>
      </c>
      <c r="AV22" s="144">
        <f t="shared" si="11"/>
        <v>1</v>
      </c>
      <c r="AW22" s="143" t="b">
        <f t="shared" si="12"/>
        <v>0</v>
      </c>
      <c r="AX22" s="145" t="b">
        <f t="shared" si="13"/>
        <v>0</v>
      </c>
      <c r="AY22" s="143" t="b">
        <f t="shared" si="14"/>
        <v>0</v>
      </c>
      <c r="AZ22" s="145" t="b">
        <f t="shared" si="15"/>
        <v>0</v>
      </c>
      <c r="BA22" s="453" t="b">
        <f t="shared" si="16"/>
        <v>0</v>
      </c>
      <c r="BB22" s="453" t="b">
        <f t="shared" si="17"/>
        <v>0</v>
      </c>
      <c r="BC22" s="143" t="b">
        <f t="shared" si="18"/>
        <v>0</v>
      </c>
      <c r="BD22" s="146" t="b">
        <f t="shared" si="31"/>
        <v>0</v>
      </c>
      <c r="BE22" s="145" t="b">
        <f>IF(OR(ISNA($Z22),K22&lt;&gt;"D"),FALSE,IF(OR(AND(H22="NG",J22=0),AND(H22&lt;&gt;"NG",NOT(OR(J22="NA",J22=0)))),TRUE,FALSE))</f>
        <v>0</v>
      </c>
      <c r="BF22" s="147" t="b">
        <f t="shared" si="20"/>
        <v>0</v>
      </c>
      <c r="BG22" s="453" t="b">
        <f>IF(ISNA($Z22),"NA",IF(OR(AZ22,AY22,AX22,AW22,AP22,BA22,BB22),TRUE,FALSE))</f>
        <v>0</v>
      </c>
      <c r="BH22" s="453">
        <f t="shared" si="32"/>
        <v>1</v>
      </c>
      <c r="BI22" s="453">
        <f t="shared" si="22"/>
        <v>2</v>
      </c>
      <c r="BJ22" s="453" t="str">
        <f t="shared" si="23"/>
        <v>2*</v>
      </c>
      <c r="BK22" s="453">
        <f t="shared" si="24"/>
        <v>3</v>
      </c>
      <c r="BL22" s="148">
        <f t="shared" si="33"/>
        <v>1</v>
      </c>
      <c r="BM22" s="453">
        <f t="shared" si="25"/>
        <v>2</v>
      </c>
      <c r="BN22" s="453">
        <f t="shared" si="26"/>
        <v>3</v>
      </c>
      <c r="BO22" s="936"/>
      <c r="BP22" s="300" t="s">
        <v>360</v>
      </c>
      <c r="BQ22" s="165">
        <f t="shared" si="36"/>
        <v>0.7</v>
      </c>
      <c r="BR22" s="166">
        <f t="shared" si="36"/>
        <v>0.8</v>
      </c>
      <c r="BS22" s="166">
        <f t="shared" si="36"/>
        <v>0.9</v>
      </c>
      <c r="BT22" s="166">
        <f t="shared" si="36"/>
        <v>0.95</v>
      </c>
      <c r="BU22" s="167">
        <f t="shared" si="36"/>
        <v>1</v>
      </c>
    </row>
    <row r="23" spans="2:73" s="94" customFormat="1" ht="12.95" customHeight="1" x14ac:dyDescent="0.2">
      <c r="B23" s="151">
        <f>IF(ISNA(Z23),"",IF(OR(Z23=1,Z23=2),"    ",MAX($B$8:B22)+1))</f>
        <v>12</v>
      </c>
      <c r="C23" s="904" t="str">
        <f t="shared" si="0"/>
        <v xml:space="preserve">      - Maneuvering Flight FTTs (8.2%)</v>
      </c>
      <c r="D23" s="904"/>
      <c r="E23" s="904"/>
      <c r="F23" s="905"/>
      <c r="G23" s="133">
        <f t="shared" si="1"/>
        <v>1</v>
      </c>
      <c r="H23" s="134" t="str">
        <f t="shared" si="2"/>
        <v>2*</v>
      </c>
      <c r="I23" s="152">
        <f t="shared" si="2"/>
        <v>3</v>
      </c>
      <c r="J23" s="158">
        <v>1</v>
      </c>
      <c r="K23" s="159">
        <v>4</v>
      </c>
      <c r="L23" s="961"/>
      <c r="M23" s="962"/>
      <c r="N23" s="962"/>
      <c r="O23" s="962"/>
      <c r="P23" s="962"/>
      <c r="Q23" s="962"/>
      <c r="R23" s="963"/>
      <c r="T23" s="99">
        <v>16</v>
      </c>
      <c r="U23" s="88" t="s">
        <v>756</v>
      </c>
      <c r="V23" s="453">
        <v>1</v>
      </c>
      <c r="W23" s="453">
        <v>5</v>
      </c>
      <c r="X23" s="453" t="s">
        <v>340</v>
      </c>
      <c r="Y23" s="453" t="s">
        <v>340</v>
      </c>
      <c r="Z23" s="146" t="s">
        <v>340</v>
      </c>
      <c r="AA23" s="146">
        <v>2</v>
      </c>
      <c r="AB23" s="146">
        <v>1</v>
      </c>
      <c r="AC23" s="453">
        <v>3</v>
      </c>
      <c r="AD23" s="453">
        <v>2</v>
      </c>
      <c r="AE23" s="453">
        <v>1</v>
      </c>
      <c r="AF23" s="453" t="b">
        <v>1</v>
      </c>
      <c r="AG23" s="453">
        <f t="shared" si="3"/>
        <v>2</v>
      </c>
      <c r="AH23" s="453">
        <f t="shared" si="4"/>
        <v>1</v>
      </c>
      <c r="AI23" s="138">
        <f>IF(NOT(OR(Z23=1,Z23=2)),IF(AQ23&gt;0,$AR$44*AQ23/SUMIF($AQ$8:$AQ$39,"&gt;0"),IF(AU23&gt;0,$AV$44*AU23/SUMIF($AU$8:$AU$39,"&gt;0"),IF(AS23&gt;0,$AT$44*AS23/SUMIF($AS$8:$AS$39,"&gt;0"),""))),IF(SUMIF(AJ24:$AJ$39,"=" &amp; AJ23,AI24:$AI$39)=0,"",SUMIF(AJ24:$AJ$39,"=" &amp; AJ23,AI24:$AI$39)))</f>
        <v>8.1818181818181818E-2</v>
      </c>
      <c r="AJ23" s="139">
        <f t="shared" si="34"/>
        <v>3</v>
      </c>
      <c r="AK23" s="453">
        <f t="shared" si="27"/>
        <v>2</v>
      </c>
      <c r="AL23" s="146">
        <f t="shared" si="28"/>
        <v>4</v>
      </c>
      <c r="AM23" s="146">
        <f t="shared" si="35"/>
        <v>1</v>
      </c>
      <c r="AN23" s="146" t="str">
        <f t="shared" si="5"/>
        <v/>
      </c>
      <c r="AO23" s="146" t="str">
        <f t="shared" si="6"/>
        <v/>
      </c>
      <c r="AP23" s="453" t="b">
        <f t="shared" si="7"/>
        <v>0</v>
      </c>
      <c r="AQ23" s="140">
        <f t="shared" si="29"/>
        <v>5</v>
      </c>
      <c r="AR23" s="141">
        <f t="shared" si="8"/>
        <v>1</v>
      </c>
      <c r="AS23" s="142">
        <f t="shared" si="30"/>
        <v>0</v>
      </c>
      <c r="AT23" s="141" t="str">
        <f t="shared" si="9"/>
        <v/>
      </c>
      <c r="AU23" s="143">
        <f t="shared" si="10"/>
        <v>0</v>
      </c>
      <c r="AV23" s="144">
        <f t="shared" si="11"/>
        <v>1</v>
      </c>
      <c r="AW23" s="143" t="b">
        <f t="shared" si="12"/>
        <v>0</v>
      </c>
      <c r="AX23" s="145" t="b">
        <f t="shared" si="13"/>
        <v>0</v>
      </c>
      <c r="AY23" s="143" t="b">
        <f t="shared" si="14"/>
        <v>0</v>
      </c>
      <c r="AZ23" s="145" t="b">
        <f t="shared" si="15"/>
        <v>0</v>
      </c>
      <c r="BA23" s="453" t="b">
        <f t="shared" si="16"/>
        <v>0</v>
      </c>
      <c r="BB23" s="453" t="b">
        <f t="shared" si="17"/>
        <v>0</v>
      </c>
      <c r="BC23" s="143" t="b">
        <f t="shared" si="18"/>
        <v>0</v>
      </c>
      <c r="BD23" s="146" t="b">
        <f t="shared" si="31"/>
        <v>0</v>
      </c>
      <c r="BE23" s="145" t="b">
        <f t="shared" ref="BE23:BE39" si="37">IF(OR(ISNA($Z23),K23&lt;&gt;"D"),FALSE,IF(OR(AND(H23="NG",J23=0),AND(H23&lt;&gt;"NG",NOT(OR(J23="NA",J23=0)))),TRUE,FALSE))</f>
        <v>0</v>
      </c>
      <c r="BF23" s="147" t="b">
        <f t="shared" si="20"/>
        <v>0</v>
      </c>
      <c r="BG23" s="453" t="b">
        <f t="shared" ref="BG23:BG39" si="38">IF(ISNA($Z23),"NA",IF(OR(AZ23,AY23,AX23,AW23,AP23,BA23,BB23),TRUE,FALSE))</f>
        <v>0</v>
      </c>
      <c r="BH23" s="453">
        <f t="shared" si="32"/>
        <v>1</v>
      </c>
      <c r="BI23" s="453">
        <f t="shared" si="22"/>
        <v>2</v>
      </c>
      <c r="BJ23" s="453" t="str">
        <f t="shared" si="23"/>
        <v>2*</v>
      </c>
      <c r="BK23" s="453">
        <f t="shared" si="24"/>
        <v>3</v>
      </c>
      <c r="BL23" s="148">
        <f t="shared" si="33"/>
        <v>1</v>
      </c>
      <c r="BM23" s="453">
        <f t="shared" si="25"/>
        <v>2</v>
      </c>
      <c r="BN23" s="453">
        <f t="shared" si="26"/>
        <v>3</v>
      </c>
      <c r="BO23" s="936"/>
      <c r="BP23" s="300" t="s">
        <v>361</v>
      </c>
      <c r="BQ23" s="165">
        <f t="shared" si="36"/>
        <v>0.7</v>
      </c>
      <c r="BR23" s="166">
        <f t="shared" si="36"/>
        <v>0.76670000000000005</v>
      </c>
      <c r="BS23" s="166">
        <f t="shared" si="36"/>
        <v>0.83330000000000004</v>
      </c>
      <c r="BT23" s="166">
        <f t="shared" si="36"/>
        <v>0.9</v>
      </c>
      <c r="BU23" s="167">
        <f t="shared" si="36"/>
        <v>1</v>
      </c>
    </row>
    <row r="24" spans="2:73" s="94" customFormat="1" ht="12.95" customHeight="1" x14ac:dyDescent="0.2">
      <c r="B24" s="151">
        <f>IF(ISNA(Z24),"",IF(OR(Z24=1,Z24=2),"    ",MAX($B$8:B23)+1))</f>
        <v>13</v>
      </c>
      <c r="C24" s="904" t="str">
        <f t="shared" si="0"/>
        <v xml:space="preserve">      - SHSS FTTs (8.2%)</v>
      </c>
      <c r="D24" s="904"/>
      <c r="E24" s="904"/>
      <c r="F24" s="905"/>
      <c r="G24" s="133">
        <f t="shared" si="1"/>
        <v>1</v>
      </c>
      <c r="H24" s="134" t="str">
        <f t="shared" si="2"/>
        <v>2*</v>
      </c>
      <c r="I24" s="152">
        <f t="shared" si="2"/>
        <v>3</v>
      </c>
      <c r="J24" s="158">
        <v>1</v>
      </c>
      <c r="K24" s="159">
        <v>3</v>
      </c>
      <c r="L24" s="961"/>
      <c r="M24" s="962"/>
      <c r="N24" s="962"/>
      <c r="O24" s="962"/>
      <c r="P24" s="962"/>
      <c r="Q24" s="962"/>
      <c r="R24" s="963"/>
      <c r="T24" s="99">
        <v>17</v>
      </c>
      <c r="U24" s="88" t="s">
        <v>757</v>
      </c>
      <c r="V24" s="453">
        <v>1</v>
      </c>
      <c r="W24" s="453">
        <v>5</v>
      </c>
      <c r="X24" s="453" t="s">
        <v>340</v>
      </c>
      <c r="Y24" s="453" t="s">
        <v>340</v>
      </c>
      <c r="Z24" s="146" t="s">
        <v>340</v>
      </c>
      <c r="AA24" s="146">
        <v>2</v>
      </c>
      <c r="AB24" s="146">
        <v>1</v>
      </c>
      <c r="AC24" s="453">
        <v>3</v>
      </c>
      <c r="AD24" s="453">
        <v>2</v>
      </c>
      <c r="AE24" s="453">
        <v>1</v>
      </c>
      <c r="AF24" s="453" t="b">
        <v>1</v>
      </c>
      <c r="AG24" s="453">
        <f t="shared" si="3"/>
        <v>2</v>
      </c>
      <c r="AH24" s="453">
        <f t="shared" si="4"/>
        <v>1</v>
      </c>
      <c r="AI24" s="138">
        <f>IF(NOT(OR(Z24=1,Z24=2)),IF(AQ24&gt;0,$AR$44*AQ24/SUMIF($AQ$8:$AQ$39,"&gt;0"),IF(AU24&gt;0,$AV$44*AU24/SUMIF($AU$8:$AU$39,"&gt;0"),IF(AS24&gt;0,$AT$44*AS24/SUMIF($AS$8:$AS$39,"&gt;0"),""))),IF(SUMIF(AJ25:$AJ$39,"=" &amp; AJ24,AI25:$AI$39)=0,"",SUMIF(AJ25:$AJ$39,"=" &amp; AJ24,AI25:$AI$39)))</f>
        <v>8.1818181818181818E-2</v>
      </c>
      <c r="AJ24" s="139">
        <f t="shared" si="34"/>
        <v>3</v>
      </c>
      <c r="AK24" s="453">
        <f t="shared" si="27"/>
        <v>2</v>
      </c>
      <c r="AL24" s="146">
        <f t="shared" si="28"/>
        <v>3</v>
      </c>
      <c r="AM24" s="146">
        <f t="shared" si="35"/>
        <v>1</v>
      </c>
      <c r="AN24" s="146" t="str">
        <f t="shared" si="5"/>
        <v/>
      </c>
      <c r="AO24" s="146" t="str">
        <f t="shared" si="6"/>
        <v/>
      </c>
      <c r="AP24" s="453" t="b">
        <f t="shared" si="7"/>
        <v>0</v>
      </c>
      <c r="AQ24" s="140">
        <f t="shared" si="29"/>
        <v>5</v>
      </c>
      <c r="AR24" s="141">
        <f t="shared" si="8"/>
        <v>0.9</v>
      </c>
      <c r="AS24" s="142">
        <f t="shared" si="30"/>
        <v>0</v>
      </c>
      <c r="AT24" s="141" t="str">
        <f t="shared" si="9"/>
        <v/>
      </c>
      <c r="AU24" s="143">
        <f t="shared" si="10"/>
        <v>0</v>
      </c>
      <c r="AV24" s="144">
        <f t="shared" si="11"/>
        <v>0.9</v>
      </c>
      <c r="AW24" s="143" t="b">
        <f t="shared" si="12"/>
        <v>0</v>
      </c>
      <c r="AX24" s="145" t="b">
        <f t="shared" si="13"/>
        <v>0</v>
      </c>
      <c r="AY24" s="143" t="b">
        <f t="shared" si="14"/>
        <v>0</v>
      </c>
      <c r="AZ24" s="145" t="b">
        <f t="shared" si="15"/>
        <v>0</v>
      </c>
      <c r="BA24" s="453" t="b">
        <f t="shared" si="16"/>
        <v>0</v>
      </c>
      <c r="BB24" s="453" t="b">
        <f t="shared" si="17"/>
        <v>0</v>
      </c>
      <c r="BC24" s="143" t="b">
        <f t="shared" si="18"/>
        <v>0</v>
      </c>
      <c r="BD24" s="146" t="b">
        <f t="shared" si="31"/>
        <v>0</v>
      </c>
      <c r="BE24" s="145" t="b">
        <f t="shared" si="37"/>
        <v>0</v>
      </c>
      <c r="BF24" s="147" t="b">
        <f t="shared" si="20"/>
        <v>0</v>
      </c>
      <c r="BG24" s="453" t="b">
        <f t="shared" si="38"/>
        <v>0</v>
      </c>
      <c r="BH24" s="453">
        <f t="shared" si="32"/>
        <v>1</v>
      </c>
      <c r="BI24" s="453">
        <f t="shared" si="22"/>
        <v>2</v>
      </c>
      <c r="BJ24" s="453" t="str">
        <f t="shared" si="23"/>
        <v>2*</v>
      </c>
      <c r="BK24" s="453">
        <f t="shared" si="24"/>
        <v>3</v>
      </c>
      <c r="BL24" s="148">
        <f t="shared" si="33"/>
        <v>1</v>
      </c>
      <c r="BM24" s="453">
        <f t="shared" si="25"/>
        <v>2</v>
      </c>
      <c r="BN24" s="453">
        <f t="shared" si="26"/>
        <v>3</v>
      </c>
      <c r="BO24" s="936"/>
      <c r="BP24" s="300" t="s">
        <v>362</v>
      </c>
      <c r="BQ24" s="165">
        <f t="shared" si="36"/>
        <v>0.6</v>
      </c>
      <c r="BR24" s="166">
        <f t="shared" si="36"/>
        <v>0.9</v>
      </c>
      <c r="BS24" s="166">
        <f t="shared" si="36"/>
        <v>0.93330000000000002</v>
      </c>
      <c r="BT24" s="166">
        <f t="shared" si="36"/>
        <v>0.9667</v>
      </c>
      <c r="BU24" s="167">
        <f t="shared" si="36"/>
        <v>1</v>
      </c>
    </row>
    <row r="25" spans="2:73" s="94" customFormat="1" ht="12.95" customHeight="1" x14ac:dyDescent="0.2">
      <c r="B25" s="151">
        <f>IF(ISNA(Z25),"",IF(OR(Z25=1,Z25=2),"    ",MAX($B$8:B24)+1))</f>
        <v>14</v>
      </c>
      <c r="C25" s="904" t="str">
        <f t="shared" si="0"/>
        <v xml:space="preserve">      - Flight Path Stability FTT (8.2%)</v>
      </c>
      <c r="D25" s="904"/>
      <c r="E25" s="904"/>
      <c r="F25" s="905"/>
      <c r="G25" s="133">
        <f t="shared" si="1"/>
        <v>1</v>
      </c>
      <c r="H25" s="134" t="str">
        <f t="shared" si="2"/>
        <v>2*</v>
      </c>
      <c r="I25" s="152">
        <f t="shared" si="2"/>
        <v>3</v>
      </c>
      <c r="J25" s="158">
        <v>1</v>
      </c>
      <c r="K25" s="159">
        <v>3</v>
      </c>
      <c r="L25" s="961"/>
      <c r="M25" s="962"/>
      <c r="N25" s="962"/>
      <c r="O25" s="962"/>
      <c r="P25" s="962"/>
      <c r="Q25" s="962"/>
      <c r="R25" s="963"/>
      <c r="T25" s="99">
        <v>18</v>
      </c>
      <c r="U25" s="88" t="s">
        <v>758</v>
      </c>
      <c r="V25" s="453">
        <v>1</v>
      </c>
      <c r="W25" s="453">
        <v>5</v>
      </c>
      <c r="X25" s="453" t="s">
        <v>340</v>
      </c>
      <c r="Y25" s="453" t="s">
        <v>340</v>
      </c>
      <c r="Z25" s="146" t="s">
        <v>340</v>
      </c>
      <c r="AA25" s="146">
        <v>2</v>
      </c>
      <c r="AB25" s="146">
        <v>1</v>
      </c>
      <c r="AC25" s="453">
        <v>3</v>
      </c>
      <c r="AD25" s="453">
        <v>2</v>
      </c>
      <c r="AE25" s="453">
        <v>1</v>
      </c>
      <c r="AF25" s="453" t="b">
        <v>1</v>
      </c>
      <c r="AG25" s="453">
        <f t="shared" si="3"/>
        <v>2</v>
      </c>
      <c r="AH25" s="453">
        <f t="shared" si="4"/>
        <v>1</v>
      </c>
      <c r="AI25" s="138">
        <f>IF(NOT(OR(Z25=1,Z25=2)),IF(AQ25&gt;0,$AR$44*AQ25/SUMIF($AQ$8:$AQ$39,"&gt;0"),IF(AU25&gt;0,$AV$44*AU25/SUMIF($AU$8:$AU$39,"&gt;0"),IF(AS25&gt;0,$AT$44*AS25/SUMIF($AS$8:$AS$39,"&gt;0"),""))),IF(SUMIF(AJ26:$AJ$39,"=" &amp; AJ25,AI26:$AI$39)=0,"",SUMIF(AJ26:$AJ$39,"=" &amp; AJ25,AI26:$AI$39)))</f>
        <v>8.1818181818181818E-2</v>
      </c>
      <c r="AJ25" s="139">
        <f t="shared" si="34"/>
        <v>3</v>
      </c>
      <c r="AK25" s="453">
        <f t="shared" si="27"/>
        <v>2</v>
      </c>
      <c r="AL25" s="146">
        <f t="shared" si="28"/>
        <v>3</v>
      </c>
      <c r="AM25" s="146">
        <f t="shared" si="35"/>
        <v>1</v>
      </c>
      <c r="AN25" s="146" t="str">
        <f t="shared" si="5"/>
        <v/>
      </c>
      <c r="AO25" s="146" t="str">
        <f t="shared" si="6"/>
        <v/>
      </c>
      <c r="AP25" s="453" t="b">
        <f t="shared" si="7"/>
        <v>0</v>
      </c>
      <c r="AQ25" s="140">
        <f t="shared" si="29"/>
        <v>5</v>
      </c>
      <c r="AR25" s="141">
        <f t="shared" si="8"/>
        <v>0.9</v>
      </c>
      <c r="AS25" s="142">
        <f t="shared" si="30"/>
        <v>0</v>
      </c>
      <c r="AT25" s="141" t="str">
        <f t="shared" si="9"/>
        <v/>
      </c>
      <c r="AU25" s="143">
        <f t="shared" si="10"/>
        <v>0</v>
      </c>
      <c r="AV25" s="144">
        <f t="shared" si="11"/>
        <v>0.9</v>
      </c>
      <c r="AW25" s="143" t="b">
        <f t="shared" si="12"/>
        <v>0</v>
      </c>
      <c r="AX25" s="145" t="b">
        <f t="shared" si="13"/>
        <v>0</v>
      </c>
      <c r="AY25" s="143" t="b">
        <f t="shared" si="14"/>
        <v>0</v>
      </c>
      <c r="AZ25" s="145" t="b">
        <f t="shared" si="15"/>
        <v>0</v>
      </c>
      <c r="BA25" s="453" t="b">
        <f t="shared" si="16"/>
        <v>0</v>
      </c>
      <c r="BB25" s="453" t="b">
        <f t="shared" si="17"/>
        <v>0</v>
      </c>
      <c r="BC25" s="143" t="b">
        <f t="shared" si="18"/>
        <v>0</v>
      </c>
      <c r="BD25" s="146" t="b">
        <f t="shared" si="31"/>
        <v>0</v>
      </c>
      <c r="BE25" s="145" t="b">
        <f t="shared" si="37"/>
        <v>0</v>
      </c>
      <c r="BF25" s="147" t="b">
        <f t="shared" si="20"/>
        <v>0</v>
      </c>
      <c r="BG25" s="453" t="b">
        <f t="shared" si="38"/>
        <v>0</v>
      </c>
      <c r="BH25" s="453">
        <f t="shared" si="32"/>
        <v>1</v>
      </c>
      <c r="BI25" s="453">
        <f t="shared" si="22"/>
        <v>2</v>
      </c>
      <c r="BJ25" s="453" t="str">
        <f t="shared" si="23"/>
        <v>2*</v>
      </c>
      <c r="BK25" s="453">
        <f t="shared" si="24"/>
        <v>3</v>
      </c>
      <c r="BL25" s="148">
        <f t="shared" si="33"/>
        <v>1</v>
      </c>
      <c r="BM25" s="453">
        <f t="shared" si="25"/>
        <v>2</v>
      </c>
      <c r="BN25" s="453">
        <f t="shared" si="26"/>
        <v>3</v>
      </c>
      <c r="BO25" s="936"/>
      <c r="BP25" s="300" t="s">
        <v>363</v>
      </c>
      <c r="BQ25" s="165">
        <f t="shared" si="36"/>
        <v>0.6</v>
      </c>
      <c r="BR25" s="166">
        <f t="shared" si="36"/>
        <v>0.7</v>
      </c>
      <c r="BS25" s="166">
        <f t="shared" si="36"/>
        <v>0.9</v>
      </c>
      <c r="BT25" s="166">
        <f t="shared" si="36"/>
        <v>0.95</v>
      </c>
      <c r="BU25" s="167">
        <f t="shared" si="36"/>
        <v>1</v>
      </c>
    </row>
    <row r="26" spans="2:73" s="94" customFormat="1" ht="12.95" customHeight="1" x14ac:dyDescent="0.2">
      <c r="B26" s="151">
        <f>IF(ISNA(Z26),"",IF(OR(Z26=1,Z26=2),"    ",MAX($B$8:B25)+1))</f>
        <v>15</v>
      </c>
      <c r="C26" s="904" t="str">
        <f t="shared" si="0"/>
        <v xml:space="preserve">      - T/O &amp; Lnd Forces/Deflections (8.2%)</v>
      </c>
      <c r="D26" s="904"/>
      <c r="E26" s="904"/>
      <c r="F26" s="905"/>
      <c r="G26" s="133">
        <f t="shared" si="1"/>
        <v>1</v>
      </c>
      <c r="H26" s="134" t="str">
        <f t="shared" si="2"/>
        <v>2*</v>
      </c>
      <c r="I26" s="152">
        <f t="shared" si="2"/>
        <v>3</v>
      </c>
      <c r="J26" s="158">
        <v>1</v>
      </c>
      <c r="K26" s="159">
        <v>3</v>
      </c>
      <c r="L26" s="961"/>
      <c r="M26" s="962"/>
      <c r="N26" s="962"/>
      <c r="O26" s="962"/>
      <c r="P26" s="962"/>
      <c r="Q26" s="962"/>
      <c r="R26" s="963"/>
      <c r="T26" s="99">
        <v>19</v>
      </c>
      <c r="U26" s="88" t="s">
        <v>759</v>
      </c>
      <c r="V26" s="453">
        <v>1</v>
      </c>
      <c r="W26" s="453">
        <v>5</v>
      </c>
      <c r="X26" s="453" t="s">
        <v>340</v>
      </c>
      <c r="Y26" s="453" t="s">
        <v>340</v>
      </c>
      <c r="Z26" s="146" t="s">
        <v>340</v>
      </c>
      <c r="AA26" s="146">
        <v>2</v>
      </c>
      <c r="AB26" s="146">
        <v>1</v>
      </c>
      <c r="AC26" s="453">
        <v>3</v>
      </c>
      <c r="AD26" s="453">
        <v>2</v>
      </c>
      <c r="AE26" s="453">
        <v>1</v>
      </c>
      <c r="AF26" s="453" t="b">
        <v>1</v>
      </c>
      <c r="AG26" s="453">
        <f t="shared" si="3"/>
        <v>2</v>
      </c>
      <c r="AH26" s="453">
        <f t="shared" si="4"/>
        <v>1</v>
      </c>
      <c r="AI26" s="138">
        <f>IF(NOT(OR(Z26=1,Z26=2)),IF(AQ26&gt;0,$AR$44*AQ26/SUMIF($AQ$8:$AQ$39,"&gt;0"),IF(AU26&gt;0,$AV$44*AU26/SUMIF($AU$8:$AU$39,"&gt;0"),IF(AS26&gt;0,$AT$44*AS26/SUMIF($AS$8:$AS$39,"&gt;0"),""))),IF(SUMIF(AJ27:$AJ$39,"=" &amp; AJ26,AI27:$AI$39)=0,"",SUMIF(AJ27:$AJ$39,"=" &amp; AJ26,AI27:$AI$39)))</f>
        <v>8.1818181818181818E-2</v>
      </c>
      <c r="AJ26" s="139">
        <f t="shared" si="34"/>
        <v>3</v>
      </c>
      <c r="AK26" s="453">
        <f t="shared" si="27"/>
        <v>2</v>
      </c>
      <c r="AL26" s="146">
        <f t="shared" si="28"/>
        <v>3</v>
      </c>
      <c r="AM26" s="146">
        <f t="shared" si="35"/>
        <v>1</v>
      </c>
      <c r="AN26" s="146" t="str">
        <f t="shared" si="5"/>
        <v/>
      </c>
      <c r="AO26" s="146" t="str">
        <f t="shared" si="6"/>
        <v/>
      </c>
      <c r="AP26" s="453" t="b">
        <f t="shared" si="7"/>
        <v>0</v>
      </c>
      <c r="AQ26" s="140">
        <f t="shared" si="29"/>
        <v>5</v>
      </c>
      <c r="AR26" s="141">
        <f t="shared" si="8"/>
        <v>0.9</v>
      </c>
      <c r="AS26" s="142">
        <f t="shared" si="30"/>
        <v>0</v>
      </c>
      <c r="AT26" s="141" t="str">
        <f t="shared" si="9"/>
        <v/>
      </c>
      <c r="AU26" s="143">
        <f t="shared" si="10"/>
        <v>0</v>
      </c>
      <c r="AV26" s="144">
        <f t="shared" si="11"/>
        <v>0.9</v>
      </c>
      <c r="AW26" s="143" t="b">
        <f t="shared" si="12"/>
        <v>0</v>
      </c>
      <c r="AX26" s="145" t="b">
        <f t="shared" si="13"/>
        <v>0</v>
      </c>
      <c r="AY26" s="143" t="b">
        <f t="shared" si="14"/>
        <v>0</v>
      </c>
      <c r="AZ26" s="145" t="b">
        <f t="shared" si="15"/>
        <v>0</v>
      </c>
      <c r="BA26" s="453" t="b">
        <f t="shared" si="16"/>
        <v>0</v>
      </c>
      <c r="BB26" s="453" t="b">
        <f t="shared" si="17"/>
        <v>0</v>
      </c>
      <c r="BC26" s="143" t="b">
        <f t="shared" si="18"/>
        <v>0</v>
      </c>
      <c r="BD26" s="146" t="b">
        <f t="shared" si="31"/>
        <v>0</v>
      </c>
      <c r="BE26" s="145" t="b">
        <f t="shared" si="37"/>
        <v>0</v>
      </c>
      <c r="BF26" s="147" t="b">
        <f t="shared" si="20"/>
        <v>0</v>
      </c>
      <c r="BG26" s="453" t="b">
        <f t="shared" si="38"/>
        <v>0</v>
      </c>
      <c r="BH26" s="453">
        <f t="shared" si="32"/>
        <v>1</v>
      </c>
      <c r="BI26" s="453">
        <f t="shared" si="22"/>
        <v>2</v>
      </c>
      <c r="BJ26" s="453" t="str">
        <f t="shared" si="23"/>
        <v>2*</v>
      </c>
      <c r="BK26" s="453">
        <f t="shared" si="24"/>
        <v>3</v>
      </c>
      <c r="BL26" s="148">
        <f t="shared" si="33"/>
        <v>1</v>
      </c>
      <c r="BM26" s="453">
        <f t="shared" si="25"/>
        <v>2</v>
      </c>
      <c r="BN26" s="453">
        <f t="shared" si="26"/>
        <v>3</v>
      </c>
      <c r="BO26" s="936"/>
      <c r="BP26" s="300" t="s">
        <v>364</v>
      </c>
      <c r="BQ26" s="165">
        <f t="shared" si="36"/>
        <v>0.6</v>
      </c>
      <c r="BR26" s="166">
        <f t="shared" si="36"/>
        <v>0.7</v>
      </c>
      <c r="BS26" s="166">
        <f t="shared" si="36"/>
        <v>0.8</v>
      </c>
      <c r="BT26" s="166">
        <f t="shared" si="36"/>
        <v>0.9</v>
      </c>
      <c r="BU26" s="167">
        <f t="shared" si="36"/>
        <v>1</v>
      </c>
    </row>
    <row r="27" spans="2:73" s="94" customFormat="1" ht="12.95" customHeight="1" x14ac:dyDescent="0.2">
      <c r="B27" s="151" t="str">
        <f>IF(ISNA(Z27),"",IF(OR(Z27=1,Z27=2),"    ",MAX($B$8:B26)+1))</f>
        <v xml:space="preserve">    </v>
      </c>
      <c r="C27" s="904" t="str">
        <f t="shared" si="0"/>
        <v>Post Flight (8.2%)</v>
      </c>
      <c r="D27" s="904"/>
      <c r="E27" s="904"/>
      <c r="F27" s="905"/>
      <c r="G27" s="133" t="str">
        <f t="shared" si="1"/>
        <v/>
      </c>
      <c r="H27" s="134" t="str">
        <f t="shared" si="2"/>
        <v/>
      </c>
      <c r="I27" s="152" t="str">
        <f t="shared" si="2"/>
        <v/>
      </c>
      <c r="J27" s="158" t="s">
        <v>340</v>
      </c>
      <c r="K27" s="159" t="s">
        <v>340</v>
      </c>
      <c r="L27" s="961"/>
      <c r="M27" s="962"/>
      <c r="N27" s="962"/>
      <c r="O27" s="962"/>
      <c r="P27" s="962"/>
      <c r="Q27" s="962"/>
      <c r="R27" s="963"/>
      <c r="T27" s="99">
        <v>20</v>
      </c>
      <c r="U27" s="88" t="s">
        <v>502</v>
      </c>
      <c r="V27" s="453" t="s">
        <v>340</v>
      </c>
      <c r="W27" s="453" t="s">
        <v>340</v>
      </c>
      <c r="X27" s="453" t="s">
        <v>340</v>
      </c>
      <c r="Y27" s="453" t="s">
        <v>340</v>
      </c>
      <c r="Z27" s="146">
        <v>2</v>
      </c>
      <c r="AA27" s="146">
        <v>1</v>
      </c>
      <c r="AB27" s="146">
        <v>1</v>
      </c>
      <c r="AC27" s="453" t="s">
        <v>340</v>
      </c>
      <c r="AD27" s="453" t="s">
        <v>340</v>
      </c>
      <c r="AE27" s="453" t="s">
        <v>340</v>
      </c>
      <c r="AF27" s="453" t="s">
        <v>340</v>
      </c>
      <c r="AG27" s="453" t="str">
        <f t="shared" si="3"/>
        <v/>
      </c>
      <c r="AH27" s="453" t="str">
        <f t="shared" si="4"/>
        <v/>
      </c>
      <c r="AI27" s="138">
        <f>IF(NOT(OR(Z27=1,Z27=2)),IF(AQ27&gt;0,$AR$44*AQ27/SUMIF($AQ$8:$AQ$39,"&gt;0"),IF(AU27&gt;0,$AV$44*AU27/SUMIF($AU$8:$AU$39,"&gt;0"),IF(AS27&gt;0,$AT$44*AS27/SUMIF($AS$8:$AS$39,"&gt;0"),""))),IF(SUMIF(AJ28:$AJ$39,"=" &amp; AJ27,AI28:$AI$39)=0,"",SUMIF(AJ28:$AJ$39,"=" &amp; AJ27,AI28:$AI$39)))</f>
        <v>8.1818181818181818E-2</v>
      </c>
      <c r="AJ27" s="139">
        <f t="shared" si="34"/>
        <v>4</v>
      </c>
      <c r="AK27" s="453" t="str">
        <f t="shared" si="27"/>
        <v/>
      </c>
      <c r="AL27" s="146" t="str">
        <f t="shared" si="28"/>
        <v/>
      </c>
      <c r="AM27" s="146" t="str">
        <f t="shared" si="35"/>
        <v/>
      </c>
      <c r="AN27" s="146" t="str">
        <f t="shared" si="5"/>
        <v/>
      </c>
      <c r="AO27" s="146" t="str">
        <f t="shared" si="6"/>
        <v/>
      </c>
      <c r="AP27" s="453" t="str">
        <f t="shared" si="7"/>
        <v/>
      </c>
      <c r="AQ27" s="140">
        <f t="shared" si="29"/>
        <v>0</v>
      </c>
      <c r="AR27" s="141" t="str">
        <f t="shared" si="8"/>
        <v/>
      </c>
      <c r="AS27" s="142">
        <f t="shared" si="30"/>
        <v>0</v>
      </c>
      <c r="AT27" s="141" t="str">
        <f t="shared" si="9"/>
        <v/>
      </c>
      <c r="AU27" s="143">
        <f t="shared" si="10"/>
        <v>0</v>
      </c>
      <c r="AV27" s="144" t="str">
        <f t="shared" si="11"/>
        <v/>
      </c>
      <c r="AW27" s="143" t="b">
        <f t="shared" si="12"/>
        <v>0</v>
      </c>
      <c r="AX27" s="145" t="b">
        <f t="shared" si="13"/>
        <v>0</v>
      </c>
      <c r="AY27" s="143" t="b">
        <f t="shared" si="14"/>
        <v>0</v>
      </c>
      <c r="AZ27" s="145" t="b">
        <f t="shared" si="15"/>
        <v>0</v>
      </c>
      <c r="BA27" s="453" t="b">
        <f t="shared" si="16"/>
        <v>0</v>
      </c>
      <c r="BB27" s="453" t="b">
        <f t="shared" si="17"/>
        <v>0</v>
      </c>
      <c r="BC27" s="143" t="b">
        <f t="shared" si="18"/>
        <v>0</v>
      </c>
      <c r="BD27" s="146" t="b">
        <f t="shared" si="31"/>
        <v>0</v>
      </c>
      <c r="BE27" s="145" t="b">
        <f t="shared" si="37"/>
        <v>0</v>
      </c>
      <c r="BF27" s="147" t="b">
        <f t="shared" si="20"/>
        <v>0</v>
      </c>
      <c r="BG27" s="453" t="b">
        <f t="shared" si="38"/>
        <v>0</v>
      </c>
      <c r="BH27" s="453" t="str">
        <f t="shared" si="32"/>
        <v/>
      </c>
      <c r="BI27" s="453" t="str">
        <f t="shared" si="22"/>
        <v/>
      </c>
      <c r="BJ27" s="453" t="str">
        <f t="shared" si="23"/>
        <v/>
      </c>
      <c r="BK27" s="453" t="str">
        <f t="shared" si="24"/>
        <v/>
      </c>
      <c r="BL27" s="148" t="str">
        <f t="shared" si="33"/>
        <v/>
      </c>
      <c r="BM27" s="453" t="str">
        <f t="shared" si="25"/>
        <v/>
      </c>
      <c r="BN27" s="453" t="str">
        <f t="shared" si="26"/>
        <v/>
      </c>
      <c r="BO27" s="936"/>
      <c r="BP27" s="300" t="s">
        <v>365</v>
      </c>
      <c r="BQ27" s="165">
        <f t="shared" si="36"/>
        <v>0.3</v>
      </c>
      <c r="BR27" s="166">
        <f t="shared" si="36"/>
        <v>0.6</v>
      </c>
      <c r="BS27" s="166">
        <f t="shared" si="36"/>
        <v>0.9</v>
      </c>
      <c r="BT27" s="166">
        <f t="shared" si="36"/>
        <v>0.95</v>
      </c>
      <c r="BU27" s="167">
        <f t="shared" si="36"/>
        <v>1</v>
      </c>
    </row>
    <row r="28" spans="2:73" s="94" customFormat="1" ht="12.95" customHeight="1" x14ac:dyDescent="0.2">
      <c r="B28" s="151">
        <f>IF(ISNA(Z28),"",IF(OR(Z28=1,Z28=2),"    ",MAX($B$8:B27)+1))</f>
        <v>16</v>
      </c>
      <c r="C28" s="904" t="str">
        <f t="shared" si="0"/>
        <v xml:space="preserve">      - Data Analysis &amp; Evaluaton (8.2%)</v>
      </c>
      <c r="D28" s="904"/>
      <c r="E28" s="904"/>
      <c r="F28" s="905"/>
      <c r="G28" s="133">
        <f t="shared" si="1"/>
        <v>1</v>
      </c>
      <c r="H28" s="134" t="str">
        <f t="shared" si="2"/>
        <v>2*</v>
      </c>
      <c r="I28" s="152">
        <f t="shared" si="2"/>
        <v>3</v>
      </c>
      <c r="J28" s="158">
        <v>1</v>
      </c>
      <c r="K28" s="159">
        <v>3</v>
      </c>
      <c r="L28" s="961"/>
      <c r="M28" s="962"/>
      <c r="N28" s="962"/>
      <c r="O28" s="962"/>
      <c r="P28" s="962"/>
      <c r="Q28" s="962"/>
      <c r="R28" s="963"/>
      <c r="T28" s="99">
        <v>21</v>
      </c>
      <c r="U28" s="88" t="s">
        <v>760</v>
      </c>
      <c r="V28" s="453">
        <v>1</v>
      </c>
      <c r="W28" s="453">
        <v>5</v>
      </c>
      <c r="X28" s="453" t="s">
        <v>340</v>
      </c>
      <c r="Y28" s="453" t="s">
        <v>340</v>
      </c>
      <c r="Z28" s="146" t="s">
        <v>340</v>
      </c>
      <c r="AA28" s="146">
        <v>2</v>
      </c>
      <c r="AB28" s="146">
        <v>1</v>
      </c>
      <c r="AC28" s="453">
        <v>3</v>
      </c>
      <c r="AD28" s="453">
        <v>2</v>
      </c>
      <c r="AE28" s="453">
        <v>1</v>
      </c>
      <c r="AF28" s="453" t="b">
        <v>1</v>
      </c>
      <c r="AG28" s="453">
        <f t="shared" si="3"/>
        <v>2</v>
      </c>
      <c r="AH28" s="453">
        <f t="shared" si="4"/>
        <v>1</v>
      </c>
      <c r="AI28" s="138">
        <f>IF(NOT(OR(Z28=1,Z28=2)),IF(AQ28&gt;0,$AR$44*AQ28/SUMIF($AQ$8:$AQ$39,"&gt;0"),IF(AU28&gt;0,$AV$44*AU28/SUMIF($AU$8:$AU$39,"&gt;0"),IF(AS28&gt;0,$AT$44*AS28/SUMIF($AS$8:$AS$39,"&gt;0"),""))),IF(SUMIF(AJ29:$AJ$39,"=" &amp; AJ28,AI29:$AI$39)=0,"",SUMIF(AJ29:$AJ$39,"=" &amp; AJ28,AI29:$AI$39)))</f>
        <v>8.1818181818181818E-2</v>
      </c>
      <c r="AJ28" s="139">
        <f t="shared" si="34"/>
        <v>4</v>
      </c>
      <c r="AK28" s="453">
        <f t="shared" si="27"/>
        <v>2</v>
      </c>
      <c r="AL28" s="146">
        <f t="shared" si="28"/>
        <v>3</v>
      </c>
      <c r="AM28" s="146">
        <f t="shared" si="35"/>
        <v>1</v>
      </c>
      <c r="AN28" s="146" t="str">
        <f t="shared" si="5"/>
        <v/>
      </c>
      <c r="AO28" s="146" t="str">
        <f t="shared" si="6"/>
        <v/>
      </c>
      <c r="AP28" s="453" t="b">
        <f t="shared" si="7"/>
        <v>0</v>
      </c>
      <c r="AQ28" s="140">
        <f t="shared" si="29"/>
        <v>5</v>
      </c>
      <c r="AR28" s="141">
        <f t="shared" si="8"/>
        <v>0.9</v>
      </c>
      <c r="AS28" s="142">
        <f t="shared" si="30"/>
        <v>0</v>
      </c>
      <c r="AT28" s="141" t="str">
        <f t="shared" si="9"/>
        <v/>
      </c>
      <c r="AU28" s="143">
        <f t="shared" si="10"/>
        <v>0</v>
      </c>
      <c r="AV28" s="144">
        <f t="shared" si="11"/>
        <v>0.9</v>
      </c>
      <c r="AW28" s="143" t="b">
        <f t="shared" si="12"/>
        <v>0</v>
      </c>
      <c r="AX28" s="145" t="b">
        <f t="shared" si="13"/>
        <v>0</v>
      </c>
      <c r="AY28" s="143" t="b">
        <f t="shared" si="14"/>
        <v>0</v>
      </c>
      <c r="AZ28" s="145" t="b">
        <f t="shared" si="15"/>
        <v>0</v>
      </c>
      <c r="BA28" s="453" t="b">
        <f t="shared" si="16"/>
        <v>0</v>
      </c>
      <c r="BB28" s="453" t="b">
        <f t="shared" si="17"/>
        <v>0</v>
      </c>
      <c r="BC28" s="143" t="b">
        <f t="shared" si="18"/>
        <v>0</v>
      </c>
      <c r="BD28" s="146" t="b">
        <f t="shared" si="31"/>
        <v>0</v>
      </c>
      <c r="BE28" s="145" t="b">
        <f t="shared" si="37"/>
        <v>0</v>
      </c>
      <c r="BF28" s="147" t="b">
        <f t="shared" si="20"/>
        <v>0</v>
      </c>
      <c r="BG28" s="453" t="b">
        <f t="shared" si="38"/>
        <v>0</v>
      </c>
      <c r="BH28" s="453">
        <f t="shared" si="32"/>
        <v>1</v>
      </c>
      <c r="BI28" s="453">
        <f t="shared" si="22"/>
        <v>2</v>
      </c>
      <c r="BJ28" s="453" t="str">
        <f t="shared" si="23"/>
        <v>2*</v>
      </c>
      <c r="BK28" s="453">
        <f t="shared" si="24"/>
        <v>3</v>
      </c>
      <c r="BL28" s="148">
        <f t="shared" si="33"/>
        <v>1</v>
      </c>
      <c r="BM28" s="453">
        <f t="shared" si="25"/>
        <v>2</v>
      </c>
      <c r="BN28" s="453">
        <f t="shared" si="26"/>
        <v>3</v>
      </c>
      <c r="BO28" s="936"/>
      <c r="BP28" s="300" t="s">
        <v>366</v>
      </c>
      <c r="BQ28" s="165">
        <f t="shared" si="36"/>
        <v>0.3</v>
      </c>
      <c r="BR28" s="166">
        <f t="shared" si="36"/>
        <v>0.6</v>
      </c>
      <c r="BS28" s="166">
        <f t="shared" si="36"/>
        <v>0.7</v>
      </c>
      <c r="BT28" s="166">
        <f t="shared" si="36"/>
        <v>0.9</v>
      </c>
      <c r="BU28" s="167">
        <f t="shared" si="36"/>
        <v>1</v>
      </c>
    </row>
    <row r="29" spans="2:73" s="94" customFormat="1" ht="12.95" customHeight="1" x14ac:dyDescent="0.2">
      <c r="B29" s="151" t="str">
        <f>IF(ISNA(Z29),"",IF(OR(Z29=1,Z29=2),"    ",MAX($B$8:B28)+1))</f>
        <v/>
      </c>
      <c r="C29" s="904" t="str">
        <f t="shared" si="0"/>
        <v/>
      </c>
      <c r="D29" s="904"/>
      <c r="E29" s="904"/>
      <c r="F29" s="905"/>
      <c r="G29" s="133" t="str">
        <f t="shared" si="1"/>
        <v/>
      </c>
      <c r="H29" s="134" t="str">
        <f t="shared" si="2"/>
        <v/>
      </c>
      <c r="I29" s="152" t="str">
        <f t="shared" si="2"/>
        <v/>
      </c>
      <c r="J29" s="158" t="s">
        <v>340</v>
      </c>
      <c r="K29" s="159" t="s">
        <v>340</v>
      </c>
      <c r="L29" s="961"/>
      <c r="M29" s="962"/>
      <c r="N29" s="962"/>
      <c r="O29" s="962"/>
      <c r="P29" s="962"/>
      <c r="Q29" s="962"/>
      <c r="R29" s="963"/>
      <c r="T29" s="99">
        <v>22</v>
      </c>
      <c r="U29" s="88" t="e">
        <v>#N/A</v>
      </c>
      <c r="V29" s="453" t="e">
        <v>#N/A</v>
      </c>
      <c r="W29" s="453" t="e">
        <v>#N/A</v>
      </c>
      <c r="X29" s="453" t="e">
        <v>#N/A</v>
      </c>
      <c r="Y29" s="453" t="e">
        <v>#N/A</v>
      </c>
      <c r="Z29" s="146" t="e">
        <v>#N/A</v>
      </c>
      <c r="AA29" s="146" t="e">
        <v>#N/A</v>
      </c>
      <c r="AB29" s="146" t="e">
        <v>#N/A</v>
      </c>
      <c r="AC29" s="453" t="e">
        <v>#N/A</v>
      </c>
      <c r="AD29" s="453" t="e">
        <v>#N/A</v>
      </c>
      <c r="AE29" s="453" t="e">
        <v>#N/A</v>
      </c>
      <c r="AF29" s="453" t="e">
        <v>#N/A</v>
      </c>
      <c r="AG29" s="453" t="e">
        <f t="shared" si="3"/>
        <v>#N/A</v>
      </c>
      <c r="AH29" s="453" t="str">
        <f t="shared" si="4"/>
        <v/>
      </c>
      <c r="AI29" s="138" t="e">
        <f>IF(NOT(OR(Z29=1,Z29=2)),IF(AQ29&gt;0,$AR$44*AQ29/SUMIF($AQ$8:$AQ$39,"&gt;0"),IF(AU29&gt;0,$AV$44*AU29/SUMIF($AU$8:$AU$39,"&gt;0"),IF(AS29&gt;0,$AT$44*AS29/SUMIF($AS$8:$AS$39,"&gt;0"),""))),IF(SUMIF(AJ30:$AJ$39,"=" &amp; AJ29,AI30:$AI$39)=0,"",SUMIF(AJ30:$AJ$39,"=" &amp; AJ29,AI30:$AI$39)))</f>
        <v>#N/A</v>
      </c>
      <c r="AJ29" s="139" t="e">
        <f t="shared" si="34"/>
        <v>#N/A</v>
      </c>
      <c r="AK29" s="453" t="str">
        <f t="shared" si="27"/>
        <v/>
      </c>
      <c r="AL29" s="146" t="str">
        <f t="shared" si="28"/>
        <v/>
      </c>
      <c r="AM29" s="146" t="str">
        <f t="shared" si="35"/>
        <v/>
      </c>
      <c r="AN29" s="146" t="str">
        <f t="shared" si="5"/>
        <v/>
      </c>
      <c r="AO29" s="146" t="e">
        <f t="shared" si="6"/>
        <v>#N/A</v>
      </c>
      <c r="AP29" s="453" t="str">
        <f t="shared" si="7"/>
        <v/>
      </c>
      <c r="AQ29" s="140">
        <f t="shared" si="29"/>
        <v>0</v>
      </c>
      <c r="AR29" s="141" t="str">
        <f t="shared" si="8"/>
        <v/>
      </c>
      <c r="AS29" s="142">
        <f t="shared" si="30"/>
        <v>0</v>
      </c>
      <c r="AT29" s="141" t="str">
        <f t="shared" si="9"/>
        <v/>
      </c>
      <c r="AU29" s="143">
        <f t="shared" si="10"/>
        <v>0</v>
      </c>
      <c r="AV29" s="144" t="str">
        <f t="shared" si="11"/>
        <v/>
      </c>
      <c r="AW29" s="143" t="b">
        <f t="shared" si="12"/>
        <v>0</v>
      </c>
      <c r="AX29" s="145" t="b">
        <f t="shared" si="13"/>
        <v>0</v>
      </c>
      <c r="AY29" s="143" t="b">
        <f t="shared" si="14"/>
        <v>0</v>
      </c>
      <c r="AZ29" s="145" t="b">
        <f t="shared" si="15"/>
        <v>0</v>
      </c>
      <c r="BA29" s="453" t="b">
        <f t="shared" si="16"/>
        <v>0</v>
      </c>
      <c r="BB29" s="453" t="b">
        <f t="shared" si="17"/>
        <v>0</v>
      </c>
      <c r="BC29" s="143" t="b">
        <f t="shared" si="18"/>
        <v>0</v>
      </c>
      <c r="BD29" s="146" t="b">
        <f t="shared" si="31"/>
        <v>0</v>
      </c>
      <c r="BE29" s="145" t="b">
        <f t="shared" si="37"/>
        <v>0</v>
      </c>
      <c r="BF29" s="147" t="b">
        <f t="shared" si="20"/>
        <v>0</v>
      </c>
      <c r="BG29" s="453" t="str">
        <f t="shared" si="38"/>
        <v>NA</v>
      </c>
      <c r="BH29" s="453" t="str">
        <f t="shared" si="32"/>
        <v/>
      </c>
      <c r="BI29" s="453" t="str">
        <f t="shared" si="22"/>
        <v/>
      </c>
      <c r="BJ29" s="453" t="str">
        <f t="shared" si="23"/>
        <v/>
      </c>
      <c r="BK29" s="453" t="str">
        <f t="shared" si="24"/>
        <v/>
      </c>
      <c r="BL29" s="148" t="str">
        <f t="shared" si="33"/>
        <v/>
      </c>
      <c r="BM29" s="453" t="str">
        <f t="shared" si="25"/>
        <v/>
      </c>
      <c r="BN29" s="453" t="str">
        <f t="shared" si="26"/>
        <v/>
      </c>
      <c r="BO29" s="936"/>
      <c r="BP29" s="300" t="s">
        <v>367</v>
      </c>
      <c r="BQ29" s="168">
        <f t="shared" si="36"/>
        <v>0</v>
      </c>
      <c r="BR29" s="169">
        <f t="shared" si="36"/>
        <v>0.3</v>
      </c>
      <c r="BS29" s="169">
        <f t="shared" si="36"/>
        <v>0.6</v>
      </c>
      <c r="BT29" s="169">
        <f t="shared" si="36"/>
        <v>0.9</v>
      </c>
      <c r="BU29" s="170">
        <f t="shared" si="36"/>
        <v>1</v>
      </c>
    </row>
    <row r="30" spans="2:73" s="94" customFormat="1" ht="12.95" customHeight="1" x14ac:dyDescent="0.2">
      <c r="B30" s="151" t="str">
        <f>IF(ISNA(Z30),"",IF(OR(Z30=1,Z30=2),"    ",MAX($B$8:B29)+1))</f>
        <v/>
      </c>
      <c r="C30" s="904" t="str">
        <f t="shared" si="0"/>
        <v/>
      </c>
      <c r="D30" s="904"/>
      <c r="E30" s="904"/>
      <c r="F30" s="905"/>
      <c r="G30" s="133" t="str">
        <f t="shared" si="1"/>
        <v/>
      </c>
      <c r="H30" s="134" t="str">
        <f t="shared" si="2"/>
        <v/>
      </c>
      <c r="I30" s="152" t="str">
        <f t="shared" si="2"/>
        <v/>
      </c>
      <c r="J30" s="158" t="s">
        <v>340</v>
      </c>
      <c r="K30" s="159" t="s">
        <v>340</v>
      </c>
      <c r="L30" s="961"/>
      <c r="M30" s="962"/>
      <c r="N30" s="962"/>
      <c r="O30" s="962"/>
      <c r="P30" s="962"/>
      <c r="Q30" s="962"/>
      <c r="R30" s="963"/>
      <c r="T30" s="99">
        <v>23</v>
      </c>
      <c r="U30" s="88" t="e">
        <v>#N/A</v>
      </c>
      <c r="V30" s="453" t="e">
        <v>#N/A</v>
      </c>
      <c r="W30" s="453" t="e">
        <v>#N/A</v>
      </c>
      <c r="X30" s="453" t="e">
        <v>#N/A</v>
      </c>
      <c r="Y30" s="453" t="e">
        <v>#N/A</v>
      </c>
      <c r="Z30" s="146" t="e">
        <v>#N/A</v>
      </c>
      <c r="AA30" s="146" t="e">
        <v>#N/A</v>
      </c>
      <c r="AB30" s="146" t="e">
        <v>#N/A</v>
      </c>
      <c r="AC30" s="453" t="e">
        <v>#N/A</v>
      </c>
      <c r="AD30" s="453" t="e">
        <v>#N/A</v>
      </c>
      <c r="AE30" s="453" t="e">
        <v>#N/A</v>
      </c>
      <c r="AF30" s="453" t="e">
        <v>#N/A</v>
      </c>
      <c r="AG30" s="453" t="e">
        <f t="shared" si="3"/>
        <v>#N/A</v>
      </c>
      <c r="AH30" s="453" t="str">
        <f t="shared" si="4"/>
        <v/>
      </c>
      <c r="AI30" s="138" t="e">
        <f>IF(NOT(OR(Z30=1,Z30=2)),IF(AQ30&gt;0,$AR$44*AQ30/SUMIF($AQ$8:$AQ$39,"&gt;0"),IF(AU30&gt;0,$AV$44*AU30/SUMIF($AU$8:$AU$39,"&gt;0"),IF(AS30&gt;0,$AT$44*AS30/SUMIF($AS$8:$AS$39,"&gt;0"),""))),IF(SUMIF(AJ31:$AJ$39,"=" &amp; AJ30,AI31:$AI$39)=0,"",SUMIF(AJ31:$AJ$39,"=" &amp; AJ30,AI31:$AI$39)))</f>
        <v>#N/A</v>
      </c>
      <c r="AJ30" s="139" t="e">
        <f t="shared" si="34"/>
        <v>#N/A</v>
      </c>
      <c r="AK30" s="453" t="str">
        <f t="shared" si="27"/>
        <v/>
      </c>
      <c r="AL30" s="146" t="str">
        <f t="shared" si="28"/>
        <v/>
      </c>
      <c r="AM30" s="146" t="str">
        <f t="shared" si="35"/>
        <v/>
      </c>
      <c r="AN30" s="146" t="str">
        <f t="shared" si="5"/>
        <v/>
      </c>
      <c r="AO30" s="146" t="e">
        <f t="shared" si="6"/>
        <v>#N/A</v>
      </c>
      <c r="AP30" s="453" t="str">
        <f t="shared" si="7"/>
        <v/>
      </c>
      <c r="AQ30" s="140">
        <f t="shared" si="29"/>
        <v>0</v>
      </c>
      <c r="AR30" s="141" t="str">
        <f t="shared" si="8"/>
        <v/>
      </c>
      <c r="AS30" s="142">
        <f t="shared" si="30"/>
        <v>0</v>
      </c>
      <c r="AT30" s="141" t="str">
        <f t="shared" si="9"/>
        <v/>
      </c>
      <c r="AU30" s="143">
        <f t="shared" si="10"/>
        <v>0</v>
      </c>
      <c r="AV30" s="144" t="str">
        <f t="shared" si="11"/>
        <v/>
      </c>
      <c r="AW30" s="143" t="b">
        <f t="shared" si="12"/>
        <v>0</v>
      </c>
      <c r="AX30" s="145" t="b">
        <f t="shared" si="13"/>
        <v>0</v>
      </c>
      <c r="AY30" s="143" t="b">
        <f t="shared" si="14"/>
        <v>0</v>
      </c>
      <c r="AZ30" s="145" t="b">
        <f t="shared" si="15"/>
        <v>0</v>
      </c>
      <c r="BA30" s="453" t="b">
        <f t="shared" si="16"/>
        <v>0</v>
      </c>
      <c r="BB30" s="453" t="b">
        <f t="shared" si="17"/>
        <v>0</v>
      </c>
      <c r="BC30" s="143" t="b">
        <f t="shared" si="18"/>
        <v>0</v>
      </c>
      <c r="BD30" s="146" t="b">
        <f t="shared" si="31"/>
        <v>0</v>
      </c>
      <c r="BE30" s="145" t="b">
        <f t="shared" si="37"/>
        <v>0</v>
      </c>
      <c r="BF30" s="147" t="b">
        <f t="shared" si="20"/>
        <v>0</v>
      </c>
      <c r="BG30" s="453" t="str">
        <f t="shared" si="38"/>
        <v>NA</v>
      </c>
      <c r="BH30" s="453" t="str">
        <f t="shared" si="32"/>
        <v/>
      </c>
      <c r="BI30" s="453" t="str">
        <f t="shared" si="22"/>
        <v/>
      </c>
      <c r="BJ30" s="453" t="str">
        <f t="shared" si="23"/>
        <v/>
      </c>
      <c r="BK30" s="453" t="str">
        <f t="shared" si="24"/>
        <v/>
      </c>
      <c r="BL30" s="148" t="str">
        <f t="shared" si="33"/>
        <v/>
      </c>
      <c r="BM30" s="453" t="str">
        <f t="shared" si="25"/>
        <v/>
      </c>
      <c r="BN30" s="453" t="str">
        <f t="shared" si="26"/>
        <v/>
      </c>
      <c r="BO30" s="90"/>
    </row>
    <row r="31" spans="2:73" s="94" customFormat="1" ht="12.95" customHeight="1" x14ac:dyDescent="0.2">
      <c r="B31" s="151" t="str">
        <f>IF(ISNA(Z31),"",IF(OR(Z31=1,Z31=2),"    ",MAX($B$8:B30)+1))</f>
        <v/>
      </c>
      <c r="C31" s="904" t="str">
        <f t="shared" si="0"/>
        <v/>
      </c>
      <c r="D31" s="904"/>
      <c r="E31" s="904"/>
      <c r="F31" s="905"/>
      <c r="G31" s="133" t="str">
        <f t="shared" si="1"/>
        <v/>
      </c>
      <c r="H31" s="134" t="str">
        <f t="shared" si="2"/>
        <v/>
      </c>
      <c r="I31" s="152" t="str">
        <f t="shared" si="2"/>
        <v/>
      </c>
      <c r="J31" s="158" t="s">
        <v>340</v>
      </c>
      <c r="K31" s="159" t="s">
        <v>340</v>
      </c>
      <c r="L31" s="961"/>
      <c r="M31" s="962"/>
      <c r="N31" s="962"/>
      <c r="O31" s="962"/>
      <c r="P31" s="962"/>
      <c r="Q31" s="962"/>
      <c r="R31" s="963"/>
      <c r="T31" s="99">
        <v>24</v>
      </c>
      <c r="U31" s="88" t="e">
        <v>#N/A</v>
      </c>
      <c r="V31" s="453" t="e">
        <v>#N/A</v>
      </c>
      <c r="W31" s="453" t="e">
        <v>#N/A</v>
      </c>
      <c r="X31" s="453" t="e">
        <v>#N/A</v>
      </c>
      <c r="Y31" s="453" t="e">
        <v>#N/A</v>
      </c>
      <c r="Z31" s="146" t="e">
        <v>#N/A</v>
      </c>
      <c r="AA31" s="146" t="e">
        <v>#N/A</v>
      </c>
      <c r="AB31" s="146" t="e">
        <v>#N/A</v>
      </c>
      <c r="AC31" s="453" t="e">
        <v>#N/A</v>
      </c>
      <c r="AD31" s="453" t="e">
        <v>#N/A</v>
      </c>
      <c r="AE31" s="453" t="e">
        <v>#N/A</v>
      </c>
      <c r="AF31" s="453" t="e">
        <v>#N/A</v>
      </c>
      <c r="AG31" s="453" t="e">
        <f t="shared" si="3"/>
        <v>#N/A</v>
      </c>
      <c r="AH31" s="453" t="str">
        <f t="shared" si="4"/>
        <v/>
      </c>
      <c r="AI31" s="138" t="e">
        <f>IF(NOT(OR(Z31=1,Z31=2)),IF(AQ31&gt;0,$AR$44*AQ31/SUMIF($AQ$8:$AQ$39,"&gt;0"),IF(AU31&gt;0,$AV$44*AU31/SUMIF($AU$8:$AU$39,"&gt;0"),IF(AS31&gt;0,$AT$44*AS31/SUMIF($AS$8:$AS$39,"&gt;0"),""))),IF(SUMIF(AJ32:$AJ$39,"=" &amp; AJ31,AI32:$AI$39)=0,"",SUMIF(AJ32:$AJ$39,"=" &amp; AJ31,AI32:$AI$39)))</f>
        <v>#N/A</v>
      </c>
      <c r="AJ31" s="139" t="e">
        <f t="shared" si="34"/>
        <v>#N/A</v>
      </c>
      <c r="AK31" s="453" t="str">
        <f t="shared" si="27"/>
        <v/>
      </c>
      <c r="AL31" s="146" t="str">
        <f t="shared" si="28"/>
        <v/>
      </c>
      <c r="AM31" s="146" t="str">
        <f t="shared" si="35"/>
        <v/>
      </c>
      <c r="AN31" s="146" t="str">
        <f t="shared" si="5"/>
        <v/>
      </c>
      <c r="AO31" s="146" t="e">
        <f t="shared" si="6"/>
        <v>#N/A</v>
      </c>
      <c r="AP31" s="453" t="str">
        <f t="shared" si="7"/>
        <v/>
      </c>
      <c r="AQ31" s="140">
        <f t="shared" si="29"/>
        <v>0</v>
      </c>
      <c r="AR31" s="141" t="str">
        <f t="shared" si="8"/>
        <v/>
      </c>
      <c r="AS31" s="142">
        <f t="shared" si="30"/>
        <v>0</v>
      </c>
      <c r="AT31" s="141" t="str">
        <f t="shared" si="9"/>
        <v/>
      </c>
      <c r="AU31" s="143">
        <f t="shared" si="10"/>
        <v>0</v>
      </c>
      <c r="AV31" s="144" t="str">
        <f t="shared" si="11"/>
        <v/>
      </c>
      <c r="AW31" s="143" t="b">
        <f t="shared" si="12"/>
        <v>0</v>
      </c>
      <c r="AX31" s="145" t="b">
        <f t="shared" si="13"/>
        <v>0</v>
      </c>
      <c r="AY31" s="143" t="b">
        <f t="shared" si="14"/>
        <v>0</v>
      </c>
      <c r="AZ31" s="145" t="b">
        <f t="shared" si="15"/>
        <v>0</v>
      </c>
      <c r="BA31" s="453" t="b">
        <f t="shared" si="16"/>
        <v>0</v>
      </c>
      <c r="BB31" s="453" t="b">
        <f t="shared" si="17"/>
        <v>0</v>
      </c>
      <c r="BC31" s="143" t="b">
        <f t="shared" si="18"/>
        <v>0</v>
      </c>
      <c r="BD31" s="146" t="b">
        <f>IF(OR(ISNA($Z31),ISNUMBER($Z31),NOT(ISNUMBER(K31))),FALSE,OR(NOT(ISNUMBER(J31)),J31=0,AND(J31=0,K31&lt;&gt;0)))</f>
        <v>0</v>
      </c>
      <c r="BE31" s="145" t="b">
        <f t="shared" si="37"/>
        <v>0</v>
      </c>
      <c r="BF31" s="147" t="b">
        <f>IF(OR(ISNA($Z31),H31&lt;&gt;"NG"),FALSE,IF(AND(J31="NA",K31&lt;&gt;""),TRUE,FALSE))</f>
        <v>0</v>
      </c>
      <c r="BG31" s="453" t="str">
        <f t="shared" si="38"/>
        <v>NA</v>
      </c>
      <c r="BH31" s="453" t="str">
        <f t="shared" si="32"/>
        <v/>
      </c>
      <c r="BI31" s="453" t="str">
        <f t="shared" si="22"/>
        <v/>
      </c>
      <c r="BJ31" s="453" t="str">
        <f t="shared" si="23"/>
        <v/>
      </c>
      <c r="BK31" s="453" t="str">
        <f t="shared" si="24"/>
        <v/>
      </c>
      <c r="BL31" s="148" t="str">
        <f t="shared" si="33"/>
        <v/>
      </c>
      <c r="BM31" s="453" t="str">
        <f t="shared" si="25"/>
        <v/>
      </c>
      <c r="BN31" s="453" t="str">
        <f t="shared" si="26"/>
        <v/>
      </c>
      <c r="BO31" s="155" t="s">
        <v>368</v>
      </c>
      <c r="BP31" s="161" t="s">
        <v>369</v>
      </c>
    </row>
    <row r="32" spans="2:73" s="94" customFormat="1" ht="12.95" customHeight="1" x14ac:dyDescent="0.2">
      <c r="B32" s="151" t="str">
        <f>IF(ISNA(Z32),"",IF(OR(Z32=1,Z32=2),"    ",MAX($B$8:B31)+1))</f>
        <v/>
      </c>
      <c r="C32" s="904" t="str">
        <f t="shared" si="0"/>
        <v/>
      </c>
      <c r="D32" s="904"/>
      <c r="E32" s="904"/>
      <c r="F32" s="905"/>
      <c r="G32" s="133" t="str">
        <f t="shared" si="1"/>
        <v/>
      </c>
      <c r="H32" s="134" t="str">
        <f t="shared" si="2"/>
        <v/>
      </c>
      <c r="I32" s="152" t="str">
        <f t="shared" si="2"/>
        <v/>
      </c>
      <c r="J32" s="158" t="s">
        <v>340</v>
      </c>
      <c r="K32" s="159" t="s">
        <v>340</v>
      </c>
      <c r="L32" s="961"/>
      <c r="M32" s="962"/>
      <c r="N32" s="962"/>
      <c r="O32" s="962"/>
      <c r="P32" s="962"/>
      <c r="Q32" s="962"/>
      <c r="R32" s="963"/>
      <c r="T32" s="99">
        <v>25</v>
      </c>
      <c r="U32" s="88" t="e">
        <v>#N/A</v>
      </c>
      <c r="V32" s="453" t="e">
        <v>#N/A</v>
      </c>
      <c r="W32" s="453" t="e">
        <v>#N/A</v>
      </c>
      <c r="X32" s="453" t="e">
        <v>#N/A</v>
      </c>
      <c r="Y32" s="453" t="e">
        <v>#N/A</v>
      </c>
      <c r="Z32" s="146" t="e">
        <v>#N/A</v>
      </c>
      <c r="AA32" s="146" t="e">
        <v>#N/A</v>
      </c>
      <c r="AB32" s="146" t="e">
        <v>#N/A</v>
      </c>
      <c r="AC32" s="453" t="e">
        <v>#N/A</v>
      </c>
      <c r="AD32" s="453" t="e">
        <v>#N/A</v>
      </c>
      <c r="AE32" s="453" t="e">
        <v>#N/A</v>
      </c>
      <c r="AF32" s="453" t="e">
        <v>#N/A</v>
      </c>
      <c r="AG32" s="453" t="e">
        <f t="shared" si="3"/>
        <v>#N/A</v>
      </c>
      <c r="AH32" s="453" t="str">
        <f t="shared" si="4"/>
        <v/>
      </c>
      <c r="AI32" s="138" t="e">
        <f>IF(NOT(OR(Z32=1,Z32=2)),IF(AQ32&gt;0,$AR$44*AQ32/SUMIF($AQ$8:$AQ$39,"&gt;0"),IF(AU32&gt;0,$AV$44*AU32/SUMIF($AU$8:$AU$39,"&gt;0"),IF(AS32&gt;0,$AT$44*AS32/SUMIF($AS$8:$AS$39,"&gt;0"),""))),IF(SUMIF(AJ33:$AJ$39,"=" &amp; AJ32,AI33:$AI$39)=0,"",SUMIF(AJ33:$AJ$39,"=" &amp; AJ32,AI33:$AI$39)))</f>
        <v>#N/A</v>
      </c>
      <c r="AJ32" s="139" t="e">
        <f t="shared" si="34"/>
        <v>#N/A</v>
      </c>
      <c r="AK32" s="453" t="str">
        <f t="shared" si="27"/>
        <v/>
      </c>
      <c r="AL32" s="146" t="str">
        <f t="shared" si="28"/>
        <v/>
      </c>
      <c r="AM32" s="146" t="str">
        <f t="shared" si="35"/>
        <v/>
      </c>
      <c r="AN32" s="146" t="str">
        <f t="shared" si="5"/>
        <v/>
      </c>
      <c r="AO32" s="146" t="e">
        <f t="shared" si="6"/>
        <v>#N/A</v>
      </c>
      <c r="AP32" s="453" t="str">
        <f t="shared" si="7"/>
        <v/>
      </c>
      <c r="AQ32" s="140">
        <f t="shared" si="29"/>
        <v>0</v>
      </c>
      <c r="AR32" s="141" t="str">
        <f t="shared" si="8"/>
        <v/>
      </c>
      <c r="AS32" s="142">
        <f t="shared" si="30"/>
        <v>0</v>
      </c>
      <c r="AT32" s="141" t="str">
        <f t="shared" si="9"/>
        <v/>
      </c>
      <c r="AU32" s="143">
        <f t="shared" si="10"/>
        <v>0</v>
      </c>
      <c r="AV32" s="144" t="str">
        <f t="shared" si="11"/>
        <v/>
      </c>
      <c r="AW32" s="143" t="b">
        <f t="shared" si="12"/>
        <v>0</v>
      </c>
      <c r="AX32" s="145" t="b">
        <f t="shared" si="13"/>
        <v>0</v>
      </c>
      <c r="AY32" s="143" t="b">
        <f t="shared" si="14"/>
        <v>0</v>
      </c>
      <c r="AZ32" s="145" t="b">
        <f t="shared" si="15"/>
        <v>0</v>
      </c>
      <c r="BA32" s="453" t="b">
        <f t="shared" si="16"/>
        <v>0</v>
      </c>
      <c r="BB32" s="453" t="b">
        <f t="shared" si="17"/>
        <v>0</v>
      </c>
      <c r="BC32" s="143" t="b">
        <f t="shared" si="18"/>
        <v>0</v>
      </c>
      <c r="BD32" s="146" t="b">
        <f t="shared" si="31"/>
        <v>0</v>
      </c>
      <c r="BE32" s="145" t="b">
        <f t="shared" si="37"/>
        <v>0</v>
      </c>
      <c r="BF32" s="147" t="b">
        <f t="shared" ref="BF32:BF39" si="39">IF(OR(ISNA($Z32),H32&lt;&gt;"NG"),FALSE,IF(AND(J32="NA",K32&lt;&gt;""),TRUE,FALSE))</f>
        <v>0</v>
      </c>
      <c r="BG32" s="453" t="str">
        <f t="shared" si="38"/>
        <v>NA</v>
      </c>
      <c r="BH32" s="453" t="str">
        <f t="shared" si="32"/>
        <v/>
      </c>
      <c r="BI32" s="453" t="str">
        <f t="shared" si="22"/>
        <v/>
      </c>
      <c r="BJ32" s="453" t="str">
        <f t="shared" si="23"/>
        <v/>
      </c>
      <c r="BK32" s="453" t="str">
        <f t="shared" si="24"/>
        <v/>
      </c>
      <c r="BL32" s="148" t="str">
        <f t="shared" si="33"/>
        <v/>
      </c>
      <c r="BM32" s="453" t="str">
        <f t="shared" si="25"/>
        <v/>
      </c>
      <c r="BN32" s="453" t="str">
        <f t="shared" si="26"/>
        <v/>
      </c>
      <c r="BO32" s="155" t="s">
        <v>370</v>
      </c>
      <c r="BP32" s="161" t="s">
        <v>371</v>
      </c>
    </row>
    <row r="33" spans="2:73" s="94" customFormat="1" ht="12.95" customHeight="1" x14ac:dyDescent="0.2">
      <c r="B33" s="151" t="str">
        <f>IF(ISNA(Z33),"",IF(OR(Z33=1,Z33=2),"    ",MAX($B$8:B32)+1))</f>
        <v/>
      </c>
      <c r="C33" s="904" t="str">
        <f t="shared" si="0"/>
        <v/>
      </c>
      <c r="D33" s="904"/>
      <c r="E33" s="904"/>
      <c r="F33" s="905"/>
      <c r="G33" s="133" t="str">
        <f t="shared" si="1"/>
        <v/>
      </c>
      <c r="H33" s="134" t="str">
        <f t="shared" si="2"/>
        <v/>
      </c>
      <c r="I33" s="152" t="str">
        <f t="shared" si="2"/>
        <v/>
      </c>
      <c r="J33" s="158" t="s">
        <v>340</v>
      </c>
      <c r="K33" s="159" t="s">
        <v>340</v>
      </c>
      <c r="L33" s="961"/>
      <c r="M33" s="962"/>
      <c r="N33" s="962"/>
      <c r="O33" s="962"/>
      <c r="P33" s="962"/>
      <c r="Q33" s="962"/>
      <c r="R33" s="963"/>
      <c r="T33" s="99">
        <v>26</v>
      </c>
      <c r="U33" s="88" t="e">
        <v>#N/A</v>
      </c>
      <c r="V33" s="453" t="e">
        <v>#N/A</v>
      </c>
      <c r="W33" s="453" t="e">
        <v>#N/A</v>
      </c>
      <c r="X33" s="453" t="e">
        <v>#N/A</v>
      </c>
      <c r="Y33" s="453" t="e">
        <v>#N/A</v>
      </c>
      <c r="Z33" s="146" t="e">
        <v>#N/A</v>
      </c>
      <c r="AA33" s="146" t="e">
        <v>#N/A</v>
      </c>
      <c r="AB33" s="146" t="e">
        <v>#N/A</v>
      </c>
      <c r="AC33" s="453" t="e">
        <v>#N/A</v>
      </c>
      <c r="AD33" s="453" t="e">
        <v>#N/A</v>
      </c>
      <c r="AE33" s="453" t="e">
        <v>#N/A</v>
      </c>
      <c r="AF33" s="453" t="e">
        <v>#N/A</v>
      </c>
      <c r="AG33" s="453" t="e">
        <f t="shared" si="3"/>
        <v>#N/A</v>
      </c>
      <c r="AH33" s="453" t="str">
        <f t="shared" si="4"/>
        <v/>
      </c>
      <c r="AI33" s="138" t="e">
        <f>IF(NOT(OR(Z33=1,Z33=2)),IF(AQ33&gt;0,$AR$44*AQ33/SUMIF($AQ$8:$AQ$39,"&gt;0"),IF(AU33&gt;0,$AV$44*AU33/SUMIF($AU$8:$AU$39,"&gt;0"),IF(AS33&gt;0,$AT$44*AS33/SUMIF($AS$8:$AS$39,"&gt;0"),""))),IF(SUMIF(AJ34:$AJ$39,"=" &amp; AJ33,AI34:$AI$39)=0,"",SUMIF(AJ34:$AJ$39,"=" &amp; AJ33,AI34:$AI$39)))</f>
        <v>#N/A</v>
      </c>
      <c r="AJ33" s="139" t="e">
        <f t="shared" si="34"/>
        <v>#N/A</v>
      </c>
      <c r="AK33" s="453" t="str">
        <f t="shared" si="27"/>
        <v/>
      </c>
      <c r="AL33" s="146" t="str">
        <f t="shared" si="28"/>
        <v/>
      </c>
      <c r="AM33" s="146" t="str">
        <f t="shared" si="35"/>
        <v/>
      </c>
      <c r="AN33" s="146" t="str">
        <f t="shared" si="5"/>
        <v/>
      </c>
      <c r="AO33" s="146" t="e">
        <f t="shared" si="6"/>
        <v>#N/A</v>
      </c>
      <c r="AP33" s="453" t="str">
        <f t="shared" si="7"/>
        <v/>
      </c>
      <c r="AQ33" s="140">
        <f t="shared" si="29"/>
        <v>0</v>
      </c>
      <c r="AR33" s="141" t="str">
        <f t="shared" si="8"/>
        <v/>
      </c>
      <c r="AS33" s="142">
        <f t="shared" si="30"/>
        <v>0</v>
      </c>
      <c r="AT33" s="141" t="str">
        <f t="shared" si="9"/>
        <v/>
      </c>
      <c r="AU33" s="143">
        <f t="shared" si="10"/>
        <v>0</v>
      </c>
      <c r="AV33" s="144" t="str">
        <f t="shared" si="11"/>
        <v/>
      </c>
      <c r="AW33" s="143" t="b">
        <f t="shared" si="12"/>
        <v>0</v>
      </c>
      <c r="AX33" s="145" t="b">
        <f t="shared" si="13"/>
        <v>0</v>
      </c>
      <c r="AY33" s="143" t="b">
        <f t="shared" si="14"/>
        <v>0</v>
      </c>
      <c r="AZ33" s="145" t="b">
        <f t="shared" si="15"/>
        <v>0</v>
      </c>
      <c r="BA33" s="453" t="b">
        <f t="shared" si="16"/>
        <v>0</v>
      </c>
      <c r="BB33" s="453" t="b">
        <f t="shared" si="17"/>
        <v>0</v>
      </c>
      <c r="BC33" s="143" t="b">
        <f t="shared" si="18"/>
        <v>0</v>
      </c>
      <c r="BD33" s="146" t="b">
        <f t="shared" si="31"/>
        <v>0</v>
      </c>
      <c r="BE33" s="145" t="b">
        <f t="shared" si="37"/>
        <v>0</v>
      </c>
      <c r="BF33" s="147" t="b">
        <f t="shared" si="39"/>
        <v>0</v>
      </c>
      <c r="BG33" s="453" t="str">
        <f t="shared" si="38"/>
        <v>NA</v>
      </c>
      <c r="BH33" s="453" t="str">
        <f t="shared" si="32"/>
        <v/>
      </c>
      <c r="BI33" s="453" t="str">
        <f t="shared" si="22"/>
        <v/>
      </c>
      <c r="BJ33" s="453" t="str">
        <f t="shared" si="23"/>
        <v/>
      </c>
      <c r="BK33" s="453" t="str">
        <f t="shared" si="24"/>
        <v/>
      </c>
      <c r="BL33" s="148" t="str">
        <f t="shared" si="33"/>
        <v/>
      </c>
      <c r="BM33" s="453" t="str">
        <f t="shared" si="25"/>
        <v/>
      </c>
      <c r="BN33" s="453" t="str">
        <f t="shared" si="26"/>
        <v/>
      </c>
      <c r="BO33" s="150" t="s">
        <v>372</v>
      </c>
      <c r="BP33" s="161"/>
      <c r="BQ33" s="161"/>
      <c r="BR33" s="161"/>
      <c r="BS33" s="161"/>
      <c r="BT33" s="161"/>
      <c r="BU33" s="161"/>
    </row>
    <row r="34" spans="2:73" s="94" customFormat="1" ht="12.95" customHeight="1" x14ac:dyDescent="0.2">
      <c r="B34" s="151" t="str">
        <f>IF(ISNA(Z34),"",IF(OR(Z34=1,Z34=2),"    ",MAX($B$8:B33)+1))</f>
        <v/>
      </c>
      <c r="C34" s="904" t="str">
        <f t="shared" si="0"/>
        <v/>
      </c>
      <c r="D34" s="904"/>
      <c r="E34" s="904"/>
      <c r="F34" s="905"/>
      <c r="G34" s="133" t="str">
        <f t="shared" si="1"/>
        <v/>
      </c>
      <c r="H34" s="134" t="str">
        <f t="shared" si="2"/>
        <v/>
      </c>
      <c r="I34" s="152" t="str">
        <f t="shared" si="2"/>
        <v/>
      </c>
      <c r="J34" s="158" t="s">
        <v>340</v>
      </c>
      <c r="K34" s="159" t="s">
        <v>340</v>
      </c>
      <c r="L34" s="961"/>
      <c r="M34" s="962"/>
      <c r="N34" s="962"/>
      <c r="O34" s="962"/>
      <c r="P34" s="962"/>
      <c r="Q34" s="962"/>
      <c r="R34" s="963"/>
      <c r="T34" s="99">
        <v>27</v>
      </c>
      <c r="U34" s="88" t="e">
        <v>#N/A</v>
      </c>
      <c r="V34" s="453" t="e">
        <v>#N/A</v>
      </c>
      <c r="W34" s="453" t="e">
        <v>#N/A</v>
      </c>
      <c r="X34" s="453" t="e">
        <v>#N/A</v>
      </c>
      <c r="Y34" s="453" t="e">
        <v>#N/A</v>
      </c>
      <c r="Z34" s="146" t="e">
        <v>#N/A</v>
      </c>
      <c r="AA34" s="146" t="e">
        <v>#N/A</v>
      </c>
      <c r="AB34" s="146" t="e">
        <v>#N/A</v>
      </c>
      <c r="AC34" s="453" t="e">
        <v>#N/A</v>
      </c>
      <c r="AD34" s="453" t="e">
        <v>#N/A</v>
      </c>
      <c r="AE34" s="453" t="e">
        <v>#N/A</v>
      </c>
      <c r="AF34" s="453" t="e">
        <v>#N/A</v>
      </c>
      <c r="AG34" s="453" t="e">
        <f t="shared" si="3"/>
        <v>#N/A</v>
      </c>
      <c r="AH34" s="453" t="str">
        <f t="shared" si="4"/>
        <v/>
      </c>
      <c r="AI34" s="138" t="e">
        <f>IF(NOT(OR(Z34=1,Z34=2)),IF(AQ34&gt;0,$AR$44*AQ34/SUMIF($AQ$8:$AQ$39,"&gt;0"),IF(AU34&gt;0,$AV$44*AU34/SUMIF($AU$8:$AU$39,"&gt;0"),IF(AS34&gt;0,$AT$44*AS34/SUMIF($AS$8:$AS$39,"&gt;0"),""))),IF(SUMIF(AJ35:$AJ$39,"=" &amp; AJ34,AI35:$AI$39)=0,"",SUMIF(AJ35:$AJ$39,"=" &amp; AJ34,AI35:$AI$39)))</f>
        <v>#N/A</v>
      </c>
      <c r="AJ34" s="139" t="e">
        <f t="shared" si="34"/>
        <v>#N/A</v>
      </c>
      <c r="AK34" s="453" t="str">
        <f t="shared" si="27"/>
        <v/>
      </c>
      <c r="AL34" s="146" t="str">
        <f t="shared" si="28"/>
        <v/>
      </c>
      <c r="AM34" s="146" t="str">
        <f t="shared" si="35"/>
        <v/>
      </c>
      <c r="AN34" s="146" t="str">
        <f t="shared" si="5"/>
        <v/>
      </c>
      <c r="AO34" s="146" t="e">
        <f t="shared" si="6"/>
        <v>#N/A</v>
      </c>
      <c r="AP34" s="453" t="str">
        <f t="shared" si="7"/>
        <v/>
      </c>
      <c r="AQ34" s="140">
        <f t="shared" si="29"/>
        <v>0</v>
      </c>
      <c r="AR34" s="141" t="str">
        <f t="shared" si="8"/>
        <v/>
      </c>
      <c r="AS34" s="142">
        <f t="shared" si="30"/>
        <v>0</v>
      </c>
      <c r="AT34" s="141" t="str">
        <f t="shared" si="9"/>
        <v/>
      </c>
      <c r="AU34" s="143">
        <f t="shared" si="10"/>
        <v>0</v>
      </c>
      <c r="AV34" s="144" t="str">
        <f t="shared" si="11"/>
        <v/>
      </c>
      <c r="AW34" s="143" t="b">
        <f t="shared" si="12"/>
        <v>0</v>
      </c>
      <c r="AX34" s="145" t="b">
        <f t="shared" si="13"/>
        <v>0</v>
      </c>
      <c r="AY34" s="143" t="b">
        <f t="shared" si="14"/>
        <v>0</v>
      </c>
      <c r="AZ34" s="145" t="b">
        <f t="shared" si="15"/>
        <v>0</v>
      </c>
      <c r="BA34" s="453" t="b">
        <f t="shared" si="16"/>
        <v>0</v>
      </c>
      <c r="BB34" s="453" t="b">
        <f t="shared" si="17"/>
        <v>0</v>
      </c>
      <c r="BC34" s="143" t="b">
        <f t="shared" si="18"/>
        <v>0</v>
      </c>
      <c r="BD34" s="146" t="b">
        <f t="shared" si="31"/>
        <v>0</v>
      </c>
      <c r="BE34" s="145" t="b">
        <f t="shared" si="37"/>
        <v>0</v>
      </c>
      <c r="BF34" s="147" t="b">
        <f t="shared" si="39"/>
        <v>0</v>
      </c>
      <c r="BG34" s="453" t="str">
        <f t="shared" si="38"/>
        <v>NA</v>
      </c>
      <c r="BH34" s="453" t="str">
        <f t="shared" si="32"/>
        <v/>
      </c>
      <c r="BI34" s="453" t="str">
        <f t="shared" si="22"/>
        <v/>
      </c>
      <c r="BJ34" s="453" t="str">
        <f t="shared" si="23"/>
        <v/>
      </c>
      <c r="BK34" s="453" t="str">
        <f t="shared" si="24"/>
        <v/>
      </c>
      <c r="BL34" s="148" t="str">
        <f t="shared" si="33"/>
        <v/>
      </c>
      <c r="BM34" s="453" t="str">
        <f t="shared" si="25"/>
        <v/>
      </c>
      <c r="BN34" s="453" t="str">
        <f t="shared" si="26"/>
        <v/>
      </c>
      <c r="BO34" s="906"/>
      <c r="BP34" s="907"/>
      <c r="BQ34" s="907"/>
      <c r="BR34" s="907"/>
      <c r="BS34" s="907"/>
      <c r="BT34" s="907"/>
      <c r="BU34" s="908"/>
    </row>
    <row r="35" spans="2:73" s="94" customFormat="1" ht="12.95" customHeight="1" x14ac:dyDescent="0.2">
      <c r="B35" s="151" t="str">
        <f>IF(ISNA(Z35),"",IF(OR(Z35=1,Z35=2),"    ",MAX($B$8:B34)+1))</f>
        <v/>
      </c>
      <c r="C35" s="904" t="str">
        <f t="shared" si="0"/>
        <v/>
      </c>
      <c r="D35" s="904"/>
      <c r="E35" s="904"/>
      <c r="F35" s="905"/>
      <c r="G35" s="133" t="str">
        <f t="shared" si="1"/>
        <v/>
      </c>
      <c r="H35" s="134" t="str">
        <f t="shared" si="2"/>
        <v/>
      </c>
      <c r="I35" s="152" t="str">
        <f t="shared" si="2"/>
        <v/>
      </c>
      <c r="J35" s="158" t="s">
        <v>340</v>
      </c>
      <c r="K35" s="159" t="s">
        <v>340</v>
      </c>
      <c r="L35" s="961"/>
      <c r="M35" s="962"/>
      <c r="N35" s="962"/>
      <c r="O35" s="962"/>
      <c r="P35" s="962"/>
      <c r="Q35" s="962"/>
      <c r="R35" s="963"/>
      <c r="T35" s="99">
        <v>28</v>
      </c>
      <c r="U35" s="88" t="e">
        <v>#N/A</v>
      </c>
      <c r="V35" s="453" t="e">
        <v>#N/A</v>
      </c>
      <c r="W35" s="453" t="e">
        <v>#N/A</v>
      </c>
      <c r="X35" s="453" t="e">
        <v>#N/A</v>
      </c>
      <c r="Y35" s="453" t="e">
        <v>#N/A</v>
      </c>
      <c r="Z35" s="146" t="e">
        <v>#N/A</v>
      </c>
      <c r="AA35" s="146" t="e">
        <v>#N/A</v>
      </c>
      <c r="AB35" s="146" t="e">
        <v>#N/A</v>
      </c>
      <c r="AC35" s="453" t="e">
        <v>#N/A</v>
      </c>
      <c r="AD35" s="453" t="e">
        <v>#N/A</v>
      </c>
      <c r="AE35" s="453" t="e">
        <v>#N/A</v>
      </c>
      <c r="AF35" s="453" t="e">
        <v>#N/A</v>
      </c>
      <c r="AG35" s="453" t="e">
        <f t="shared" si="3"/>
        <v>#N/A</v>
      </c>
      <c r="AH35" s="453" t="str">
        <f t="shared" si="4"/>
        <v/>
      </c>
      <c r="AI35" s="138" t="e">
        <f>IF(NOT(OR(Z35=1,Z35=2)),IF(AQ35&gt;0,$AR$44*AQ35/SUMIF($AQ$8:$AQ$39,"&gt;0"),IF(AU35&gt;0,$AV$44*AU35/SUMIF($AU$8:$AU$39,"&gt;0"),IF(AS35&gt;0,$AT$44*AS35/SUMIF($AS$8:$AS$39,"&gt;0"),""))),IF(SUMIF(AJ36:$AJ$39,"=" &amp; AJ35,AI36:$AI$39)=0,"",SUMIF(AJ36:$AJ$39,"=" &amp; AJ35,AI36:$AI$39)))</f>
        <v>#N/A</v>
      </c>
      <c r="AJ35" s="139" t="e">
        <f t="shared" si="34"/>
        <v>#N/A</v>
      </c>
      <c r="AK35" s="453" t="str">
        <f t="shared" si="27"/>
        <v/>
      </c>
      <c r="AL35" s="146" t="str">
        <f t="shared" si="28"/>
        <v/>
      </c>
      <c r="AM35" s="146" t="str">
        <f t="shared" si="35"/>
        <v/>
      </c>
      <c r="AN35" s="146" t="str">
        <f t="shared" si="5"/>
        <v/>
      </c>
      <c r="AO35" s="146" t="e">
        <f t="shared" si="6"/>
        <v>#N/A</v>
      </c>
      <c r="AP35" s="453" t="str">
        <f t="shared" si="7"/>
        <v/>
      </c>
      <c r="AQ35" s="140">
        <f t="shared" si="29"/>
        <v>0</v>
      </c>
      <c r="AR35" s="141" t="str">
        <f t="shared" si="8"/>
        <v/>
      </c>
      <c r="AS35" s="142">
        <f t="shared" si="30"/>
        <v>0</v>
      </c>
      <c r="AT35" s="141" t="str">
        <f t="shared" si="9"/>
        <v/>
      </c>
      <c r="AU35" s="143">
        <f t="shared" si="10"/>
        <v>0</v>
      </c>
      <c r="AV35" s="144" t="str">
        <f t="shared" si="11"/>
        <v/>
      </c>
      <c r="AW35" s="143" t="b">
        <f t="shared" si="12"/>
        <v>0</v>
      </c>
      <c r="AX35" s="145" t="b">
        <f t="shared" si="13"/>
        <v>0</v>
      </c>
      <c r="AY35" s="143" t="b">
        <f t="shared" si="14"/>
        <v>0</v>
      </c>
      <c r="AZ35" s="145" t="b">
        <f t="shared" si="15"/>
        <v>0</v>
      </c>
      <c r="BA35" s="453" t="b">
        <f t="shared" si="16"/>
        <v>0</v>
      </c>
      <c r="BB35" s="453" t="b">
        <f t="shared" si="17"/>
        <v>0</v>
      </c>
      <c r="BC35" s="143" t="b">
        <f t="shared" si="18"/>
        <v>0</v>
      </c>
      <c r="BD35" s="146" t="b">
        <f t="shared" si="31"/>
        <v>0</v>
      </c>
      <c r="BE35" s="145" t="b">
        <f t="shared" si="37"/>
        <v>0</v>
      </c>
      <c r="BF35" s="147" t="b">
        <f t="shared" si="39"/>
        <v>0</v>
      </c>
      <c r="BG35" s="453" t="str">
        <f t="shared" si="38"/>
        <v>NA</v>
      </c>
      <c r="BH35" s="453" t="str">
        <f t="shared" si="32"/>
        <v/>
      </c>
      <c r="BI35" s="453" t="str">
        <f t="shared" si="22"/>
        <v/>
      </c>
      <c r="BJ35" s="453" t="str">
        <f t="shared" si="23"/>
        <v/>
      </c>
      <c r="BK35" s="453" t="str">
        <f t="shared" si="24"/>
        <v/>
      </c>
      <c r="BL35" s="148" t="str">
        <f t="shared" si="33"/>
        <v/>
      </c>
      <c r="BM35" s="453" t="str">
        <f t="shared" si="25"/>
        <v/>
      </c>
      <c r="BN35" s="453" t="str">
        <f t="shared" si="26"/>
        <v/>
      </c>
      <c r="BO35" s="909"/>
      <c r="BP35" s="910"/>
      <c r="BQ35" s="910"/>
      <c r="BR35" s="910"/>
      <c r="BS35" s="910"/>
      <c r="BT35" s="910"/>
      <c r="BU35" s="911"/>
    </row>
    <row r="36" spans="2:73" s="94" customFormat="1" ht="12.95" customHeight="1" x14ac:dyDescent="0.2">
      <c r="B36" s="151" t="str">
        <f>IF(ISNA(Z36),"",IF(OR(Z36=1,Z36=2),"    ",MAX($B$8:B35)+1))</f>
        <v/>
      </c>
      <c r="C36" s="904" t="str">
        <f t="shared" si="0"/>
        <v/>
      </c>
      <c r="D36" s="904"/>
      <c r="E36" s="904"/>
      <c r="F36" s="905"/>
      <c r="G36" s="133" t="str">
        <f t="shared" si="1"/>
        <v/>
      </c>
      <c r="H36" s="134" t="str">
        <f t="shared" si="2"/>
        <v/>
      </c>
      <c r="I36" s="152" t="str">
        <f t="shared" si="2"/>
        <v/>
      </c>
      <c r="J36" s="158" t="s">
        <v>340</v>
      </c>
      <c r="K36" s="159" t="s">
        <v>340</v>
      </c>
      <c r="L36" s="961"/>
      <c r="M36" s="962"/>
      <c r="N36" s="962"/>
      <c r="O36" s="962"/>
      <c r="P36" s="962"/>
      <c r="Q36" s="962"/>
      <c r="R36" s="963"/>
      <c r="T36" s="99">
        <v>29</v>
      </c>
      <c r="U36" s="88" t="e">
        <v>#N/A</v>
      </c>
      <c r="V36" s="453" t="e">
        <v>#N/A</v>
      </c>
      <c r="W36" s="453" t="e">
        <v>#N/A</v>
      </c>
      <c r="X36" s="453" t="e">
        <v>#N/A</v>
      </c>
      <c r="Y36" s="453" t="e">
        <v>#N/A</v>
      </c>
      <c r="Z36" s="146" t="e">
        <v>#N/A</v>
      </c>
      <c r="AA36" s="146" t="e">
        <v>#N/A</v>
      </c>
      <c r="AB36" s="146" t="e">
        <v>#N/A</v>
      </c>
      <c r="AC36" s="453" t="e">
        <v>#N/A</v>
      </c>
      <c r="AD36" s="453" t="e">
        <v>#N/A</v>
      </c>
      <c r="AE36" s="453" t="e">
        <v>#N/A</v>
      </c>
      <c r="AF36" s="453" t="e">
        <v>#N/A</v>
      </c>
      <c r="AG36" s="453" t="e">
        <f t="shared" si="3"/>
        <v>#N/A</v>
      </c>
      <c r="AH36" s="453" t="str">
        <f t="shared" si="4"/>
        <v/>
      </c>
      <c r="AI36" s="138" t="e">
        <f>IF(NOT(OR(Z36=1,Z36=2)),IF(AQ36&gt;0,$AR$44*AQ36/SUMIF($AQ$8:$AQ$39,"&gt;0"),IF(AU36&gt;0,$AV$44*AU36/SUMIF($AU$8:$AU$39,"&gt;0"),IF(AS36&gt;0,$AT$44*AS36/SUMIF($AS$8:$AS$39,"&gt;0"),""))),IF(SUMIF(AJ37:$AJ$39,"=" &amp; AJ36,AI37:$AI$39)=0,"",SUMIF(AJ37:$AJ$39,"=" &amp; AJ36,AI37:$AI$39)))</f>
        <v>#N/A</v>
      </c>
      <c r="AJ36" s="139" t="e">
        <f t="shared" si="34"/>
        <v>#N/A</v>
      </c>
      <c r="AK36" s="453" t="str">
        <f t="shared" si="27"/>
        <v/>
      </c>
      <c r="AL36" s="146" t="str">
        <f t="shared" si="28"/>
        <v/>
      </c>
      <c r="AM36" s="146" t="str">
        <f t="shared" si="35"/>
        <v/>
      </c>
      <c r="AN36" s="146" t="str">
        <f t="shared" si="5"/>
        <v/>
      </c>
      <c r="AO36" s="146" t="e">
        <f t="shared" si="6"/>
        <v>#N/A</v>
      </c>
      <c r="AP36" s="453" t="str">
        <f t="shared" si="7"/>
        <v/>
      </c>
      <c r="AQ36" s="140">
        <f t="shared" si="29"/>
        <v>0</v>
      </c>
      <c r="AR36" s="141" t="str">
        <f t="shared" si="8"/>
        <v/>
      </c>
      <c r="AS36" s="142">
        <f t="shared" si="30"/>
        <v>0</v>
      </c>
      <c r="AT36" s="141" t="str">
        <f t="shared" si="9"/>
        <v/>
      </c>
      <c r="AU36" s="143">
        <f t="shared" si="10"/>
        <v>0</v>
      </c>
      <c r="AV36" s="144" t="str">
        <f t="shared" si="11"/>
        <v/>
      </c>
      <c r="AW36" s="143" t="b">
        <f t="shared" si="12"/>
        <v>0</v>
      </c>
      <c r="AX36" s="145" t="b">
        <f t="shared" si="13"/>
        <v>0</v>
      </c>
      <c r="AY36" s="143" t="b">
        <f t="shared" si="14"/>
        <v>0</v>
      </c>
      <c r="AZ36" s="145" t="b">
        <f t="shared" si="15"/>
        <v>0</v>
      </c>
      <c r="BA36" s="453" t="b">
        <f t="shared" si="16"/>
        <v>0</v>
      </c>
      <c r="BB36" s="453" t="b">
        <f t="shared" si="17"/>
        <v>0</v>
      </c>
      <c r="BC36" s="143" t="b">
        <f t="shared" si="18"/>
        <v>0</v>
      </c>
      <c r="BD36" s="146" t="b">
        <f t="shared" si="31"/>
        <v>0</v>
      </c>
      <c r="BE36" s="145" t="b">
        <f t="shared" si="37"/>
        <v>0</v>
      </c>
      <c r="BF36" s="147" t="b">
        <f t="shared" si="39"/>
        <v>0</v>
      </c>
      <c r="BG36" s="453" t="str">
        <f t="shared" si="38"/>
        <v>NA</v>
      </c>
      <c r="BH36" s="453" t="str">
        <f t="shared" si="32"/>
        <v/>
      </c>
      <c r="BI36" s="453" t="str">
        <f t="shared" si="22"/>
        <v/>
      </c>
      <c r="BJ36" s="453" t="str">
        <f t="shared" si="23"/>
        <v/>
      </c>
      <c r="BK36" s="453" t="str">
        <f t="shared" si="24"/>
        <v/>
      </c>
      <c r="BL36" s="148" t="str">
        <f t="shared" si="33"/>
        <v/>
      </c>
      <c r="BM36" s="453" t="str">
        <f t="shared" si="25"/>
        <v/>
      </c>
      <c r="BN36" s="453" t="str">
        <f t="shared" si="26"/>
        <v/>
      </c>
      <c r="BO36" s="909"/>
      <c r="BP36" s="910"/>
      <c r="BQ36" s="910"/>
      <c r="BR36" s="910"/>
      <c r="BS36" s="910"/>
      <c r="BT36" s="910"/>
      <c r="BU36" s="911"/>
    </row>
    <row r="37" spans="2:73" s="94" customFormat="1" ht="12.95" customHeight="1" x14ac:dyDescent="0.2">
      <c r="B37" s="151" t="str">
        <f>IF(ISNA(Z37),"",IF(OR(Z37=1,Z37=2),"    ",MAX($B$8:B36)+1))</f>
        <v/>
      </c>
      <c r="C37" s="904" t="str">
        <f>IF(ISNA(Z37),"",CONCATENATE($U37,IF(ISNUMBER(AI37),TEXT(ROUND($AI37,3)," (0.0%)"),""),IF(AU37&gt;0," Bonus","")))</f>
        <v/>
      </c>
      <c r="D37" s="904"/>
      <c r="E37" s="904"/>
      <c r="F37" s="905"/>
      <c r="G37" s="133" t="str">
        <f t="shared" si="1"/>
        <v/>
      </c>
      <c r="H37" s="134" t="str">
        <f t="shared" si="2"/>
        <v/>
      </c>
      <c r="I37" s="152" t="str">
        <f t="shared" si="2"/>
        <v/>
      </c>
      <c r="J37" s="158" t="s">
        <v>340</v>
      </c>
      <c r="K37" s="159" t="s">
        <v>340</v>
      </c>
      <c r="L37" s="961"/>
      <c r="M37" s="962"/>
      <c r="N37" s="962"/>
      <c r="O37" s="962"/>
      <c r="P37" s="962"/>
      <c r="Q37" s="962"/>
      <c r="R37" s="963"/>
      <c r="T37" s="99">
        <v>30</v>
      </c>
      <c r="U37" s="88" t="e">
        <v>#N/A</v>
      </c>
      <c r="V37" s="453" t="e">
        <v>#N/A</v>
      </c>
      <c r="W37" s="453" t="e">
        <v>#N/A</v>
      </c>
      <c r="X37" s="453" t="e">
        <v>#N/A</v>
      </c>
      <c r="Y37" s="453" t="e">
        <v>#N/A</v>
      </c>
      <c r="Z37" s="146" t="e">
        <v>#N/A</v>
      </c>
      <c r="AA37" s="146" t="e">
        <v>#N/A</v>
      </c>
      <c r="AB37" s="146" t="e">
        <v>#N/A</v>
      </c>
      <c r="AC37" s="453" t="e">
        <v>#N/A</v>
      </c>
      <c r="AD37" s="453" t="e">
        <v>#N/A</v>
      </c>
      <c r="AE37" s="453" t="e">
        <v>#N/A</v>
      </c>
      <c r="AF37" s="453" t="e">
        <v>#N/A</v>
      </c>
      <c r="AG37" s="453" t="e">
        <f t="shared" si="3"/>
        <v>#N/A</v>
      </c>
      <c r="AH37" s="453" t="str">
        <f t="shared" si="4"/>
        <v/>
      </c>
      <c r="AI37" s="138" t="e">
        <f>IF(NOT(OR(Z37=1,Z37=2)),IF(AQ37&gt;0,$AR$44*AQ37/SUMIF($AQ$8:$AQ$39,"&gt;0"),IF(AU37&gt;0,$AV$44*AU37/SUMIF($AU$8:$AU$39,"&gt;0"),IF(AS37&gt;0,$AT$44*AS37/SUMIF($AS$8:$AS$39,"&gt;0"),""))),IF(SUMIF(AJ38:$AJ$39,"=" &amp; AJ37,AI38:$AI$39)=0,"",SUMIF(AJ38:$AJ$39,"=" &amp; AJ37,AI38:$AI$39)))</f>
        <v>#N/A</v>
      </c>
      <c r="AJ37" s="139" t="e">
        <f t="shared" si="34"/>
        <v>#N/A</v>
      </c>
      <c r="AK37" s="453" t="str">
        <f t="shared" si="27"/>
        <v/>
      </c>
      <c r="AL37" s="146" t="str">
        <f t="shared" si="28"/>
        <v/>
      </c>
      <c r="AM37" s="146" t="str">
        <f t="shared" si="35"/>
        <v/>
      </c>
      <c r="AN37" s="146" t="str">
        <f>IF(ISNUMBER(AH37),IF(AND(AB37=0,ISNUMBER(AC37),ISNUMBER(AL37)),1,""),"")</f>
        <v/>
      </c>
      <c r="AO37" s="146" t="e">
        <f t="shared" si="6"/>
        <v>#N/A</v>
      </c>
      <c r="AP37" s="453" t="str">
        <f t="shared" si="7"/>
        <v/>
      </c>
      <c r="AQ37" s="140">
        <f t="shared" si="29"/>
        <v>0</v>
      </c>
      <c r="AR37" s="141" t="str">
        <f t="shared" si="8"/>
        <v/>
      </c>
      <c r="AS37" s="142">
        <f t="shared" si="30"/>
        <v>0</v>
      </c>
      <c r="AT37" s="141" t="str">
        <f t="shared" si="9"/>
        <v/>
      </c>
      <c r="AU37" s="143">
        <f t="shared" si="10"/>
        <v>0</v>
      </c>
      <c r="AV37" s="144" t="str">
        <f t="shared" si="11"/>
        <v/>
      </c>
      <c r="AW37" s="143" t="b">
        <f t="shared" si="12"/>
        <v>0</v>
      </c>
      <c r="AX37" s="145" t="b">
        <f t="shared" si="13"/>
        <v>0</v>
      </c>
      <c r="AY37" s="143" t="b">
        <f t="shared" si="14"/>
        <v>0</v>
      </c>
      <c r="AZ37" s="145" t="b">
        <f t="shared" si="15"/>
        <v>0</v>
      </c>
      <c r="BA37" s="453" t="b">
        <f t="shared" si="16"/>
        <v>0</v>
      </c>
      <c r="BB37" s="453" t="b">
        <f t="shared" si="17"/>
        <v>0</v>
      </c>
      <c r="BC37" s="143" t="b">
        <f t="shared" si="18"/>
        <v>0</v>
      </c>
      <c r="BD37" s="146" t="b">
        <f t="shared" si="31"/>
        <v>0</v>
      </c>
      <c r="BE37" s="145" t="b">
        <f t="shared" si="37"/>
        <v>0</v>
      </c>
      <c r="BF37" s="147" t="b">
        <f t="shared" si="39"/>
        <v>0</v>
      </c>
      <c r="BG37" s="453" t="str">
        <f t="shared" si="38"/>
        <v>NA</v>
      </c>
      <c r="BH37" s="453" t="str">
        <f t="shared" si="32"/>
        <v/>
      </c>
      <c r="BI37" s="453" t="str">
        <f t="shared" si="22"/>
        <v/>
      </c>
      <c r="BJ37" s="453" t="str">
        <f t="shared" si="23"/>
        <v/>
      </c>
      <c r="BK37" s="453" t="str">
        <f t="shared" si="24"/>
        <v/>
      </c>
      <c r="BL37" s="148" t="str">
        <f t="shared" si="33"/>
        <v/>
      </c>
      <c r="BM37" s="453" t="str">
        <f t="shared" si="25"/>
        <v/>
      </c>
      <c r="BN37" s="453" t="str">
        <f t="shared" si="26"/>
        <v/>
      </c>
      <c r="BO37" s="912"/>
      <c r="BP37" s="913"/>
      <c r="BQ37" s="913"/>
      <c r="BR37" s="913"/>
      <c r="BS37" s="913"/>
      <c r="BT37" s="913"/>
      <c r="BU37" s="914"/>
    </row>
    <row r="38" spans="2:73" s="94" customFormat="1" ht="12.95" customHeight="1" x14ac:dyDescent="0.2">
      <c r="B38" s="151" t="str">
        <f>IF(ISNA(Z38),"",IF(OR(Z38=1,Z38=2),"    ",MAX($B$8:B37)+1))</f>
        <v/>
      </c>
      <c r="C38" s="904" t="str">
        <f t="shared" ref="C38:C39" si="40">IF(ISNA(Z38),"",CONCATENATE($U38,IF(ISNUMBER(AI38),TEXT(ROUND($AI38,3)," (0.0%)"),""),IF(AU38&gt;0," Bonus","")))</f>
        <v/>
      </c>
      <c r="D38" s="904"/>
      <c r="E38" s="904"/>
      <c r="F38" s="905"/>
      <c r="G38" s="133" t="str">
        <f t="shared" si="1"/>
        <v/>
      </c>
      <c r="H38" s="134" t="str">
        <f t="shared" si="2"/>
        <v/>
      </c>
      <c r="I38" s="152" t="str">
        <f t="shared" si="2"/>
        <v/>
      </c>
      <c r="J38" s="158" t="s">
        <v>340</v>
      </c>
      <c r="K38" s="159" t="s">
        <v>340</v>
      </c>
      <c r="L38" s="961"/>
      <c r="M38" s="962"/>
      <c r="N38" s="962"/>
      <c r="O38" s="962"/>
      <c r="P38" s="962"/>
      <c r="Q38" s="962"/>
      <c r="R38" s="963"/>
      <c r="T38" s="99">
        <v>31</v>
      </c>
      <c r="U38" s="88" t="e">
        <v>#N/A</v>
      </c>
      <c r="V38" s="453" t="e">
        <v>#N/A</v>
      </c>
      <c r="W38" s="453" t="e">
        <v>#N/A</v>
      </c>
      <c r="X38" s="453" t="e">
        <v>#N/A</v>
      </c>
      <c r="Y38" s="453" t="e">
        <v>#N/A</v>
      </c>
      <c r="Z38" s="146" t="e">
        <v>#N/A</v>
      </c>
      <c r="AA38" s="146" t="e">
        <v>#N/A</v>
      </c>
      <c r="AB38" s="146" t="e">
        <v>#N/A</v>
      </c>
      <c r="AC38" s="453" t="e">
        <v>#N/A</v>
      </c>
      <c r="AD38" s="453" t="e">
        <v>#N/A</v>
      </c>
      <c r="AE38" s="453" t="e">
        <v>#N/A</v>
      </c>
      <c r="AF38" s="453" t="e">
        <v>#N/A</v>
      </c>
      <c r="AG38" s="453" t="e">
        <f t="shared" si="3"/>
        <v>#N/A</v>
      </c>
      <c r="AH38" s="453" t="str">
        <f t="shared" si="4"/>
        <v/>
      </c>
      <c r="AI38" s="138" t="e">
        <f>IF(NOT(OR(Z38=1,Z38=2)),IF(AQ38&gt;0,$AR$44*AQ38/SUMIF($AQ$8:$AQ$39,"&gt;0"),IF(AU38&gt;0,$AV$44*AU38/SUMIF($AU$8:$AU$39,"&gt;0"),IF(AS38&gt;0,$AT$44*AS38/SUMIF($AS$8:$AS$39,"&gt;0"),""))),IF(SUMIF(AJ39:$AJ$39,"=" &amp; AJ38,AI39:$AI$39)=0,"",SUMIF(AJ39:$AJ$39,"=" &amp; AJ38,AI39:$AI$39)))</f>
        <v>#N/A</v>
      </c>
      <c r="AJ38" s="139" t="e">
        <f t="shared" si="34"/>
        <v>#N/A</v>
      </c>
      <c r="AK38" s="453" t="str">
        <f t="shared" si="27"/>
        <v/>
      </c>
      <c r="AL38" s="146" t="str">
        <f t="shared" si="28"/>
        <v/>
      </c>
      <c r="AM38" s="146" t="str">
        <f t="shared" si="35"/>
        <v/>
      </c>
      <c r="AN38" s="146" t="str">
        <f>IF(ISNUMBER(AH38),IF(AND(AB38=0,ISNUMBER(AC38),ISNUMBER(AL38)),1,""),"")</f>
        <v/>
      </c>
      <c r="AO38" s="146" t="e">
        <f t="shared" si="6"/>
        <v>#N/A</v>
      </c>
      <c r="AP38" s="453" t="str">
        <f t="shared" si="7"/>
        <v/>
      </c>
      <c r="AQ38" s="140">
        <f t="shared" si="29"/>
        <v>0</v>
      </c>
      <c r="AR38" s="141" t="str">
        <f t="shared" si="8"/>
        <v/>
      </c>
      <c r="AS38" s="142">
        <f t="shared" si="30"/>
        <v>0</v>
      </c>
      <c r="AT38" s="141" t="str">
        <f t="shared" si="9"/>
        <v/>
      </c>
      <c r="AU38" s="143">
        <f t="shared" si="10"/>
        <v>0</v>
      </c>
      <c r="AV38" s="144" t="str">
        <f t="shared" si="11"/>
        <v/>
      </c>
      <c r="AW38" s="143" t="b">
        <f t="shared" si="12"/>
        <v>0</v>
      </c>
      <c r="AX38" s="145" t="b">
        <f t="shared" si="13"/>
        <v>0</v>
      </c>
      <c r="AY38" s="143" t="b">
        <f t="shared" si="14"/>
        <v>0</v>
      </c>
      <c r="AZ38" s="145" t="b">
        <f t="shared" si="15"/>
        <v>0</v>
      </c>
      <c r="BA38" s="453" t="b">
        <f t="shared" si="16"/>
        <v>0</v>
      </c>
      <c r="BB38" s="453" t="b">
        <f t="shared" si="17"/>
        <v>0</v>
      </c>
      <c r="BC38" s="143" t="b">
        <f t="shared" si="18"/>
        <v>0</v>
      </c>
      <c r="BD38" s="146" t="b">
        <f t="shared" si="31"/>
        <v>0</v>
      </c>
      <c r="BE38" s="145" t="b">
        <f t="shared" si="37"/>
        <v>0</v>
      </c>
      <c r="BF38" s="147" t="b">
        <f t="shared" si="39"/>
        <v>0</v>
      </c>
      <c r="BG38" s="453" t="str">
        <f t="shared" si="38"/>
        <v>NA</v>
      </c>
      <c r="BH38" s="453" t="str">
        <f t="shared" si="32"/>
        <v/>
      </c>
      <c r="BI38" s="453" t="str">
        <f t="shared" si="22"/>
        <v/>
      </c>
      <c r="BJ38" s="453" t="str">
        <f t="shared" si="23"/>
        <v/>
      </c>
      <c r="BK38" s="453" t="str">
        <f t="shared" si="24"/>
        <v/>
      </c>
      <c r="BL38" s="148" t="str">
        <f t="shared" si="33"/>
        <v/>
      </c>
      <c r="BM38" s="453" t="str">
        <f t="shared" si="25"/>
        <v/>
      </c>
      <c r="BN38" s="453" t="str">
        <f t="shared" si="26"/>
        <v/>
      </c>
      <c r="BO38" s="150" t="s">
        <v>373</v>
      </c>
      <c r="BP38" s="150"/>
      <c r="BQ38" s="150"/>
      <c r="BR38" s="150"/>
      <c r="BS38" s="150"/>
      <c r="BT38" s="150"/>
      <c r="BU38" s="150"/>
    </row>
    <row r="39" spans="2:73" s="94" customFormat="1" ht="12.95" customHeight="1" thickBot="1" x14ac:dyDescent="0.25">
      <c r="B39" s="151" t="str">
        <f>IF(ISNA(Z39),"",IF(OR(Z39=1,Z39=2),"    ",MAX($B$8:B38)+1))</f>
        <v/>
      </c>
      <c r="C39" s="904" t="str">
        <f t="shared" si="40"/>
        <v/>
      </c>
      <c r="D39" s="904"/>
      <c r="E39" s="904"/>
      <c r="F39" s="905"/>
      <c r="G39" s="171" t="str">
        <f t="shared" si="1"/>
        <v/>
      </c>
      <c r="H39" s="134" t="str">
        <f t="shared" si="2"/>
        <v/>
      </c>
      <c r="I39" s="172" t="str">
        <f t="shared" si="2"/>
        <v/>
      </c>
      <c r="J39" s="173" t="s">
        <v>340</v>
      </c>
      <c r="K39" s="174" t="s">
        <v>340</v>
      </c>
      <c r="L39" s="964"/>
      <c r="M39" s="965"/>
      <c r="N39" s="965"/>
      <c r="O39" s="965"/>
      <c r="P39" s="965"/>
      <c r="Q39" s="965"/>
      <c r="R39" s="966"/>
      <c r="T39" s="99">
        <v>32</v>
      </c>
      <c r="U39" s="88" t="e">
        <v>#N/A</v>
      </c>
      <c r="V39" s="453" t="e">
        <v>#N/A</v>
      </c>
      <c r="W39" s="453" t="e">
        <v>#N/A</v>
      </c>
      <c r="X39" s="453" t="e">
        <v>#N/A</v>
      </c>
      <c r="Y39" s="453" t="e">
        <v>#N/A</v>
      </c>
      <c r="Z39" s="146" t="e">
        <v>#N/A</v>
      </c>
      <c r="AA39" s="146" t="e">
        <v>#N/A</v>
      </c>
      <c r="AB39" s="146" t="e">
        <v>#N/A</v>
      </c>
      <c r="AC39" s="453" t="e">
        <v>#N/A</v>
      </c>
      <c r="AD39" s="453" t="e">
        <v>#N/A</v>
      </c>
      <c r="AE39" s="453" t="e">
        <v>#N/A</v>
      </c>
      <c r="AF39" s="453" t="e">
        <v>#N/A</v>
      </c>
      <c r="AG39" s="453" t="e">
        <f t="shared" si="3"/>
        <v>#N/A</v>
      </c>
      <c r="AH39" s="453" t="str">
        <f t="shared" si="4"/>
        <v/>
      </c>
      <c r="AI39" s="138" t="e">
        <f>IF(NOT(OR(Z39=1,Z39=2)),IF(AQ39&gt;0,$AR$44*AQ39/SUMIF($AQ$8:$AQ$39,"&gt;0"),IF(AU39&gt;0,$AV$44*AU39/SUMIF($AU$8:$AU$39,"&gt;0"),IF(AS39&gt;0,$AT$44*AS39/SUMIF($AS$8:$AS$39,"&gt;0"),""))),IF(SUMIF(AJ$39:$AJ40,"=" &amp; AJ39,AI$39:$AI40)=0,"",SUMIF(AJ$39:$AJ40,"=" &amp; AJ39,AI$39:$AI40)))</f>
        <v>#N/A</v>
      </c>
      <c r="AJ39" s="139" t="e">
        <f t="shared" si="34"/>
        <v>#N/A</v>
      </c>
      <c r="AK39" s="453" t="str">
        <f t="shared" si="27"/>
        <v/>
      </c>
      <c r="AL39" s="146" t="str">
        <f t="shared" si="28"/>
        <v/>
      </c>
      <c r="AM39" s="146" t="str">
        <f t="shared" si="35"/>
        <v/>
      </c>
      <c r="AN39" s="146" t="str">
        <f>IF(ISNUMBER(AH39),IF(AND(AB39=0,ISNUMBER(AC39),ISNUMBER(AL39)),1,""),"")</f>
        <v/>
      </c>
      <c r="AO39" s="146" t="e">
        <f t="shared" si="6"/>
        <v>#N/A</v>
      </c>
      <c r="AP39" s="453" t="str">
        <f t="shared" si="7"/>
        <v/>
      </c>
      <c r="AQ39" s="140">
        <f t="shared" si="29"/>
        <v>0</v>
      </c>
      <c r="AR39" s="141" t="str">
        <f t="shared" si="8"/>
        <v/>
      </c>
      <c r="AS39" s="142">
        <f t="shared" si="30"/>
        <v>0</v>
      </c>
      <c r="AT39" s="141" t="str">
        <f t="shared" si="9"/>
        <v/>
      </c>
      <c r="AU39" s="143">
        <f t="shared" si="10"/>
        <v>0</v>
      </c>
      <c r="AV39" s="144" t="str">
        <f t="shared" si="11"/>
        <v/>
      </c>
      <c r="AW39" s="143" t="b">
        <f t="shared" si="12"/>
        <v>0</v>
      </c>
      <c r="AX39" s="145" t="b">
        <f t="shared" si="13"/>
        <v>0</v>
      </c>
      <c r="AY39" s="143" t="b">
        <f t="shared" si="14"/>
        <v>0</v>
      </c>
      <c r="AZ39" s="145" t="b">
        <f t="shared" si="15"/>
        <v>0</v>
      </c>
      <c r="BA39" s="453" t="b">
        <f t="shared" si="16"/>
        <v>0</v>
      </c>
      <c r="BB39" s="453" t="b">
        <f t="shared" si="17"/>
        <v>0</v>
      </c>
      <c r="BC39" s="143" t="b">
        <f t="shared" si="18"/>
        <v>0</v>
      </c>
      <c r="BD39" s="146" t="b">
        <f t="shared" si="31"/>
        <v>0</v>
      </c>
      <c r="BE39" s="145" t="b">
        <f t="shared" si="37"/>
        <v>0</v>
      </c>
      <c r="BF39" s="147" t="b">
        <f t="shared" si="39"/>
        <v>0</v>
      </c>
      <c r="BG39" s="453" t="str">
        <f t="shared" si="38"/>
        <v>NA</v>
      </c>
      <c r="BH39" s="453" t="str">
        <f t="shared" si="32"/>
        <v/>
      </c>
      <c r="BI39" s="453" t="str">
        <f t="shared" si="22"/>
        <v/>
      </c>
      <c r="BJ39" s="453" t="str">
        <f t="shared" si="23"/>
        <v/>
      </c>
      <c r="BK39" s="453" t="str">
        <f t="shared" si="24"/>
        <v/>
      </c>
      <c r="BL39" s="453" t="str">
        <f t="shared" si="33"/>
        <v/>
      </c>
      <c r="BM39" s="453" t="str">
        <f t="shared" si="25"/>
        <v/>
      </c>
      <c r="BN39" s="453" t="str">
        <f t="shared" si="26"/>
        <v/>
      </c>
      <c r="BO39" s="906"/>
      <c r="BP39" s="907"/>
      <c r="BQ39" s="907"/>
      <c r="BR39" s="907"/>
      <c r="BS39" s="907"/>
      <c r="BT39" s="907"/>
      <c r="BU39" s="908"/>
    </row>
    <row r="40" spans="2:73" s="91" customFormat="1" ht="8.25" customHeight="1" x14ac:dyDescent="0.2">
      <c r="B40" s="915" t="s">
        <v>374</v>
      </c>
      <c r="C40" s="916"/>
      <c r="D40" s="917"/>
      <c r="E40" s="452" t="s">
        <v>375</v>
      </c>
      <c r="F40" s="918" t="s">
        <v>376</v>
      </c>
      <c r="G40" s="919"/>
      <c r="H40" s="919" t="s">
        <v>377</v>
      </c>
      <c r="I40" s="919"/>
      <c r="J40" s="920" t="s">
        <v>378</v>
      </c>
      <c r="K40" s="921"/>
      <c r="L40" s="175" t="s">
        <v>379</v>
      </c>
      <c r="M40" s="922" t="s">
        <v>380</v>
      </c>
      <c r="N40" s="922"/>
      <c r="O40" s="923" t="str">
        <f>IF(U44,"DO REVIEW","DO REV N/A")</f>
        <v>DO REV N/A</v>
      </c>
      <c r="P40" s="924"/>
      <c r="Q40" s="176" t="str">
        <f>IF(U45,"ED REVIEW","ED REV N/A")</f>
        <v>ED REV N/A</v>
      </c>
      <c r="R40" s="177"/>
      <c r="S40" s="178">
        <v>0</v>
      </c>
      <c r="AI40" s="179"/>
      <c r="AJ40" s="92"/>
      <c r="AK40" s="92"/>
      <c r="AL40" s="92"/>
      <c r="AM40" s="92"/>
      <c r="AN40" s="92"/>
      <c r="AO40" s="88"/>
      <c r="AP40" s="92"/>
      <c r="AQ40" s="180"/>
      <c r="AR40" s="92"/>
      <c r="AS40" s="180"/>
      <c r="AT40" s="92"/>
      <c r="AU40" s="180"/>
      <c r="AV40" s="181"/>
      <c r="AW40" s="92"/>
      <c r="AX40" s="92"/>
      <c r="AY40" s="92"/>
      <c r="AZ40" s="92"/>
      <c r="BA40" s="92"/>
      <c r="BB40" s="92"/>
      <c r="BC40" s="92"/>
      <c r="BD40" s="92"/>
      <c r="BE40" s="92"/>
      <c r="BF40" s="92"/>
      <c r="BG40" s="92"/>
      <c r="BH40" s="88"/>
      <c r="BI40" s="88"/>
      <c r="BJ40" s="88"/>
      <c r="BK40" s="88"/>
      <c r="BL40" s="88"/>
      <c r="BM40" s="88"/>
      <c r="BN40" s="88"/>
      <c r="BO40" s="909"/>
      <c r="BP40" s="910"/>
      <c r="BQ40" s="910"/>
      <c r="BR40" s="910"/>
      <c r="BS40" s="910"/>
      <c r="BT40" s="910"/>
      <c r="BU40" s="911"/>
    </row>
    <row r="41" spans="2:73" ht="18.75" customHeight="1" thickBot="1" x14ac:dyDescent="0.25">
      <c r="B41" s="925" t="str">
        <f>IF(ISERROR(AR46),"",TEXT(AR45,"0.0%"))</f>
        <v>94.0%</v>
      </c>
      <c r="C41" s="926"/>
      <c r="D41" s="927"/>
      <c r="E41" s="182" t="str">
        <f>IF(AU41=0,"N/A",CONCATENATE(TEXT(AV45,"0.0%")," of ",TEXT(AV44,"0.0%")))</f>
        <v>N/A</v>
      </c>
      <c r="F41" s="929" t="str">
        <f>IF((graded_aca_events+graded_amn_events)&lt;1,"---",IF(AND(AW4,AX4),"INCOMPLETE",IF(AND(NOT(AW4),AX4),"ACA INC",IF(AND(AW4,NOT(AX4)),"AMN INC","COMPLETE"))))</f>
        <v>COMPLETE</v>
      </c>
      <c r="G41" s="929"/>
      <c r="H41" s="929" t="str">
        <f>IF(AU4,IF(OR(AY4="UNK",NOT(AN6)),"---",IF(AY4,"UNSAT",IF(AVERAGEIFS(AT8:AT39,AS8:AS39,"&gt;0")&lt;0.9,"MARG","SAT"))),"N/A")</f>
        <v>SAT</v>
      </c>
      <c r="I41" s="929"/>
      <c r="J41" s="930" t="str">
        <f>IF(OR(AZ4="UNK",NOT(AM6)),"---",IF(OR(AZ4,AR45&lt;0.7),"FAIL","PASS"))</f>
        <v>PASS</v>
      </c>
      <c r="K41" s="931"/>
      <c r="L41" s="868" t="s">
        <v>1053</v>
      </c>
      <c r="M41" s="932"/>
      <c r="N41" s="932"/>
      <c r="O41" s="933" t="s">
        <v>265</v>
      </c>
      <c r="P41" s="933"/>
      <c r="Q41" s="933" t="s">
        <v>265</v>
      </c>
      <c r="R41" s="934"/>
      <c r="S41" s="183"/>
      <c r="T41" s="99" t="s">
        <v>381</v>
      </c>
      <c r="U41" s="146" t="s">
        <v>382</v>
      </c>
      <c r="V41" s="184"/>
      <c r="W41" s="184"/>
      <c r="X41" s="184"/>
      <c r="Y41" s="184"/>
      <c r="Z41" s="184"/>
      <c r="AA41" s="184"/>
      <c r="AB41" s="184"/>
      <c r="AC41" s="184"/>
      <c r="AD41" s="184"/>
      <c r="AE41" s="184"/>
      <c r="AF41" s="184"/>
      <c r="AG41" s="184"/>
      <c r="AH41" s="184"/>
      <c r="AI41" s="86"/>
      <c r="AJ41" s="85"/>
      <c r="AK41" s="184"/>
      <c r="AL41" s="184"/>
      <c r="AM41" s="184">
        <f>SUM(AM8:AM39)</f>
        <v>16</v>
      </c>
      <c r="AN41" s="184">
        <f>SUM(AN8:AN39)</f>
        <v>5</v>
      </c>
      <c r="AO41" s="99"/>
      <c r="AP41" s="85"/>
      <c r="AQ41" s="185">
        <f>SUMIF(AQ8:AQ39,"&gt;0")</f>
        <v>55</v>
      </c>
      <c r="AR41" s="186">
        <f>IF(AQ41=0,0,SUMPRODUCT($AQ$8:$AQ$39,AR8:AR39)/SUM($AQ$8:$AQ$39))</f>
        <v>0.9363636363636364</v>
      </c>
      <c r="AS41" s="187">
        <f>SUMIF(AS8:AS39,"&gt;0")</f>
        <v>20</v>
      </c>
      <c r="AT41" s="186">
        <f>IF(AS41=0,0,SUMPRODUCT($AS$8:$AS$39,AT8:AT39)/SUM($AS$8:$AS$39))</f>
        <v>0.97</v>
      </c>
      <c r="AU41" s="187">
        <f>SUM(AU9:AU39)</f>
        <v>0</v>
      </c>
      <c r="AV41" s="186">
        <f>IF(AU41=0,0,SUMPRODUCT($AU$8:$AU$39,AV8:AV39)/SUM($AU$8:$AU$39))</f>
        <v>0</v>
      </c>
      <c r="AW41" s="188"/>
      <c r="AX41" s="188"/>
      <c r="AY41" s="188"/>
      <c r="AZ41" s="188"/>
      <c r="BA41" s="188"/>
      <c r="BB41" s="188"/>
      <c r="BC41" s="88" t="s">
        <v>383</v>
      </c>
      <c r="BD41" s="88" t="s">
        <v>384</v>
      </c>
      <c r="BE41" s="88" t="s">
        <v>385</v>
      </c>
      <c r="BO41" s="909"/>
      <c r="BP41" s="910"/>
      <c r="BQ41" s="910"/>
      <c r="BR41" s="910"/>
      <c r="BS41" s="910"/>
      <c r="BT41" s="910"/>
      <c r="BU41" s="911"/>
    </row>
    <row r="42" spans="2:73" ht="7.5" customHeight="1" thickTop="1" x14ac:dyDescent="0.2">
      <c r="L42" s="928" t="s">
        <v>504</v>
      </c>
      <c r="M42" s="928"/>
      <c r="N42" s="928"/>
      <c r="O42" s="928"/>
      <c r="P42" s="928"/>
      <c r="Q42" s="928"/>
      <c r="R42" s="928"/>
      <c r="AP42" s="184"/>
      <c r="AQ42" s="85"/>
      <c r="AR42" s="85"/>
      <c r="AT42" s="186"/>
      <c r="AU42" s="186"/>
      <c r="AV42" s="186"/>
      <c r="AW42" s="85"/>
      <c r="AX42" s="186"/>
      <c r="BO42" s="912"/>
      <c r="BP42" s="913"/>
      <c r="BQ42" s="913"/>
      <c r="BR42" s="913"/>
      <c r="BS42" s="913"/>
      <c r="BT42" s="913"/>
      <c r="BU42" s="914"/>
    </row>
    <row r="43" spans="2:73" ht="30.75" customHeight="1" x14ac:dyDescent="0.2">
      <c r="T43" s="189" t="s">
        <v>386</v>
      </c>
      <c r="U43" s="146" t="b">
        <v>0</v>
      </c>
      <c r="AI43" s="89">
        <f ca="1">SUMIF(AJ8:$AJ$39,"=" &amp; AJ8,AI9:$AI$39)</f>
        <v>0.1</v>
      </c>
      <c r="AO43" s="190"/>
      <c r="AS43" s="118" t="s">
        <v>387</v>
      </c>
      <c r="AT43" s="191">
        <f>SUMIF(X8:X39,"&gt;0")/SUMIF(W8:W39,"&gt;0")</f>
        <v>0.36363636363636365</v>
      </c>
      <c r="AU43" s="118" t="s">
        <v>388</v>
      </c>
      <c r="AV43" s="192">
        <f>SUMIF(AU8:AU39,"&gt;0")/SUMIF(AQ8:AQ39,"&gt;0")</f>
        <v>0</v>
      </c>
      <c r="AW43" s="193"/>
      <c r="BE43" s="88" t="b">
        <f>AND(ISBLANK($K30),J30&gt;0)</f>
        <v>0</v>
      </c>
      <c r="BO43" s="88"/>
      <c r="BP43" s="88"/>
      <c r="BQ43" s="90"/>
    </row>
    <row r="44" spans="2:73" ht="30.75" customHeight="1" x14ac:dyDescent="0.2">
      <c r="J44" s="194"/>
      <c r="T44" s="195" t="s">
        <v>389</v>
      </c>
      <c r="U44" s="88" t="b">
        <f>IF(AND(Flight?,OR(AW4,AY4,BA4,AZ4,AR45&lt;0.7,H41="MARG")),TRUE,FALSE)</f>
        <v>0</v>
      </c>
      <c r="AO44" s="196"/>
      <c r="AQ44" s="118" t="s">
        <v>390</v>
      </c>
      <c r="AR44" s="191">
        <f>1-AT44</f>
        <v>0.9</v>
      </c>
      <c r="AS44" s="118" t="s">
        <v>391</v>
      </c>
      <c r="AT44" s="191">
        <f>MIN(AT43,AT6)</f>
        <v>0.1</v>
      </c>
      <c r="AU44" s="118" t="s">
        <v>392</v>
      </c>
      <c r="AV44" s="89">
        <f>MIN(AV43,AV6)</f>
        <v>0</v>
      </c>
      <c r="BO44" s="88"/>
      <c r="BP44" s="88"/>
      <c r="BQ44" s="90"/>
    </row>
    <row r="45" spans="2:73" ht="25.5" x14ac:dyDescent="0.2">
      <c r="T45" s="195" t="s">
        <v>393</v>
      </c>
      <c r="U45" s="88" t="b">
        <f>IF(OR(AX4,AY4,AZ4,BB4,AR45&lt;0.7),TRUE,FALSE)</f>
        <v>0</v>
      </c>
      <c r="AO45" s="197"/>
      <c r="AQ45" s="118" t="s">
        <v>394</v>
      </c>
      <c r="AR45" s="89">
        <f>AR41*(1-AT44)+(AT41*AT44)</f>
        <v>0.93972727272727274</v>
      </c>
      <c r="AU45" s="88" t="s">
        <v>324</v>
      </c>
      <c r="AV45" s="89">
        <f>AV41*AV44</f>
        <v>0</v>
      </c>
      <c r="BO45" s="88"/>
      <c r="BP45" s="88"/>
      <c r="BQ45" s="90"/>
    </row>
    <row r="46" spans="2:73" ht="25.5" x14ac:dyDescent="0.2">
      <c r="T46" s="195" t="s">
        <v>395</v>
      </c>
      <c r="U46" s="88" t="b">
        <v>0</v>
      </c>
      <c r="AO46" s="197"/>
      <c r="AQ46" s="118" t="s">
        <v>396</v>
      </c>
      <c r="AR46" s="89">
        <f>MIN(1,IF(NOT(OR(AY4,AZ4)),AR45+AV45,MIN(0.69,AR45+AV45)))</f>
        <v>0.93972727272727274</v>
      </c>
      <c r="BO46" s="88"/>
      <c r="BP46" s="88"/>
      <c r="BQ46" s="90"/>
    </row>
    <row r="47" spans="2:73" x14ac:dyDescent="0.2">
      <c r="T47" s="195" t="s">
        <v>397</v>
      </c>
      <c r="U47" s="88" t="b">
        <f>IF(NOT(Flight?),TRUE,NOT(OR(ISBLANK(comments),ISBLANK(hdr_class),ISBLANK(hdr_date),ISBLANK(hdr_stud),ISBLANK(hdr_instr),ISBLANK(hdr_acft),ISBLANK(hdr_time),F41="---")))</f>
        <v>1</v>
      </c>
      <c r="AO47" s="197"/>
      <c r="AR47" s="118"/>
      <c r="AS47" s="89"/>
    </row>
    <row r="48" spans="2:73" x14ac:dyDescent="0.2">
      <c r="T48" s="195" t="s">
        <v>398</v>
      </c>
      <c r="U48" s="88" t="b">
        <f>IF(Flight?,TRUE,NOT(OR(ISBLANK(comments),ISBLANK(hdr_class),ISBLANK(hdr_date),ISBLANK(hdr_stud),ISBLANK(hdr_instr),F41="---")))</f>
        <v>1</v>
      </c>
      <c r="AO48" s="196"/>
      <c r="AP48" s="85" t="s">
        <v>399</v>
      </c>
      <c r="AQ48" s="85"/>
      <c r="AR48" s="85"/>
      <c r="AS48" s="85"/>
      <c r="AT48" s="85"/>
    </row>
    <row r="49" spans="20:50" x14ac:dyDescent="0.2">
      <c r="T49" s="195" t="s">
        <v>400</v>
      </c>
      <c r="U49" s="88" t="b">
        <f>AND(U47:U48)</f>
        <v>1</v>
      </c>
      <c r="AO49" s="196"/>
      <c r="AP49" s="85"/>
      <c r="AQ49" s="85"/>
      <c r="AR49" s="85">
        <v>0</v>
      </c>
      <c r="AS49" s="85">
        <v>1</v>
      </c>
      <c r="AT49" s="85">
        <v>2</v>
      </c>
      <c r="AU49" s="85">
        <v>3</v>
      </c>
      <c r="AV49" s="85">
        <v>4</v>
      </c>
    </row>
    <row r="50" spans="20:50" x14ac:dyDescent="0.2">
      <c r="AO50" s="196"/>
      <c r="AP50" s="85" t="s">
        <v>359</v>
      </c>
      <c r="AQ50" s="85">
        <v>1</v>
      </c>
      <c r="AR50" s="198">
        <v>0.7</v>
      </c>
      <c r="AS50" s="198">
        <v>0.9</v>
      </c>
      <c r="AT50" s="198">
        <v>0.93330000000000002</v>
      </c>
      <c r="AU50" s="198">
        <v>0.9667</v>
      </c>
      <c r="AV50" s="198">
        <v>1</v>
      </c>
    </row>
    <row r="51" spans="20:50" x14ac:dyDescent="0.2">
      <c r="AO51" s="196"/>
      <c r="AP51" s="85" t="s">
        <v>360</v>
      </c>
      <c r="AQ51" s="85">
        <v>2</v>
      </c>
      <c r="AR51" s="198">
        <v>0.7</v>
      </c>
      <c r="AS51" s="198">
        <v>0.8</v>
      </c>
      <c r="AT51" s="198">
        <v>0.9</v>
      </c>
      <c r="AU51" s="198">
        <v>0.95</v>
      </c>
      <c r="AV51" s="198">
        <v>1</v>
      </c>
    </row>
    <row r="52" spans="20:50" x14ac:dyDescent="0.2">
      <c r="AO52" s="196"/>
      <c r="AP52" s="85" t="s">
        <v>361</v>
      </c>
      <c r="AQ52" s="85">
        <v>3</v>
      </c>
      <c r="AR52" s="198">
        <v>0.7</v>
      </c>
      <c r="AS52" s="198">
        <v>0.76670000000000005</v>
      </c>
      <c r="AT52" s="198">
        <v>0.83330000000000004</v>
      </c>
      <c r="AU52" s="198">
        <v>0.9</v>
      </c>
      <c r="AV52" s="198">
        <v>1</v>
      </c>
    </row>
    <row r="53" spans="20:50" x14ac:dyDescent="0.2">
      <c r="AP53" s="199" t="s">
        <v>362</v>
      </c>
      <c r="AQ53" s="85">
        <v>11</v>
      </c>
      <c r="AR53" s="198">
        <v>0.6</v>
      </c>
      <c r="AS53" s="198">
        <v>0.9</v>
      </c>
      <c r="AT53" s="198">
        <v>0.93330000000000002</v>
      </c>
      <c r="AU53" s="198">
        <v>0.9667</v>
      </c>
      <c r="AV53" s="198">
        <v>1</v>
      </c>
    </row>
    <row r="54" spans="20:50" x14ac:dyDescent="0.2">
      <c r="AP54" s="199" t="s">
        <v>363</v>
      </c>
      <c r="AQ54" s="85">
        <v>12</v>
      </c>
      <c r="AR54" s="198">
        <v>0.6</v>
      </c>
      <c r="AS54" s="198">
        <v>0.7</v>
      </c>
      <c r="AT54" s="198">
        <v>0.9</v>
      </c>
      <c r="AU54" s="198">
        <v>0.95</v>
      </c>
      <c r="AV54" s="198">
        <v>1</v>
      </c>
    </row>
    <row r="55" spans="20:50" x14ac:dyDescent="0.2">
      <c r="AP55" s="199" t="s">
        <v>364</v>
      </c>
      <c r="AQ55" s="85">
        <v>13</v>
      </c>
      <c r="AR55" s="198">
        <v>0.6</v>
      </c>
      <c r="AS55" s="198">
        <v>0.7</v>
      </c>
      <c r="AT55" s="198">
        <v>0.8</v>
      </c>
      <c r="AU55" s="198">
        <v>0.9</v>
      </c>
      <c r="AV55" s="198">
        <v>1</v>
      </c>
    </row>
    <row r="56" spans="20:50" x14ac:dyDescent="0.2">
      <c r="AP56" s="199" t="s">
        <v>365</v>
      </c>
      <c r="AQ56" s="85">
        <v>22</v>
      </c>
      <c r="AR56" s="198">
        <v>0.3</v>
      </c>
      <c r="AS56" s="198">
        <v>0.6</v>
      </c>
      <c r="AT56" s="198">
        <v>0.9</v>
      </c>
      <c r="AU56" s="198">
        <v>0.95</v>
      </c>
      <c r="AV56" s="198">
        <v>1</v>
      </c>
    </row>
    <row r="57" spans="20:50" x14ac:dyDescent="0.2">
      <c r="AP57" s="199" t="s">
        <v>366</v>
      </c>
      <c r="AQ57" s="85">
        <v>23</v>
      </c>
      <c r="AR57" s="198">
        <v>0.3</v>
      </c>
      <c r="AS57" s="198">
        <v>0.6</v>
      </c>
      <c r="AT57" s="198">
        <v>0.7</v>
      </c>
      <c r="AU57" s="198">
        <v>0.9</v>
      </c>
      <c r="AV57" s="198">
        <v>1</v>
      </c>
    </row>
    <row r="58" spans="20:50" x14ac:dyDescent="0.2">
      <c r="AP58" s="199" t="s">
        <v>367</v>
      </c>
      <c r="AQ58" s="85">
        <v>33</v>
      </c>
      <c r="AR58" s="198">
        <v>0</v>
      </c>
      <c r="AS58" s="198">
        <v>0.3</v>
      </c>
      <c r="AT58" s="198">
        <v>0.6</v>
      </c>
      <c r="AU58" s="198">
        <v>0.9</v>
      </c>
      <c r="AV58" s="198">
        <v>1</v>
      </c>
      <c r="AW58" s="85"/>
    </row>
    <row r="60" spans="20:50" x14ac:dyDescent="0.2">
      <c r="AQ60" s="85"/>
      <c r="AW60" s="85"/>
      <c r="AX60" s="85"/>
    </row>
    <row r="61" spans="20:50" x14ac:dyDescent="0.2">
      <c r="AP61" s="200"/>
      <c r="AQ61" s="85"/>
      <c r="AW61" s="85"/>
      <c r="AX61" s="85"/>
    </row>
    <row r="62" spans="20:50" x14ac:dyDescent="0.2">
      <c r="AP62" s="85"/>
      <c r="AQ62" s="85"/>
      <c r="AW62" s="85"/>
      <c r="AX62" s="85"/>
    </row>
    <row r="63" spans="20:50" x14ac:dyDescent="0.2">
      <c r="AP63" s="85"/>
      <c r="AQ63" s="85"/>
      <c r="AW63" s="85"/>
    </row>
    <row r="64" spans="20:50" x14ac:dyDescent="0.2">
      <c r="AP64" s="85"/>
      <c r="AQ64" s="85"/>
      <c r="AW64" s="85"/>
    </row>
    <row r="65" spans="42:43" x14ac:dyDescent="0.2">
      <c r="AP65" s="85"/>
      <c r="AQ65" s="85"/>
    </row>
    <row r="66" spans="42:43" x14ac:dyDescent="0.2">
      <c r="AP66" s="85"/>
      <c r="AQ66" s="85"/>
    </row>
  </sheetData>
  <sheetProtection algorithmName="SHA-512" hashValue="oSf34GSQ6Otcnvdi0o5CKqDcYP7ZNIZqBKygZ7HfC8S7sACuO2q/Czbs5ammDl32QIkczKFD8Z4ATw1hfxAhTA==" saltValue="ztciUipn0/8KP6WHCnRpqA==" spinCount="100000" sheet="1" objects="1" scenarios="1"/>
  <mergeCells count="76">
    <mergeCell ref="Q5:R5"/>
    <mergeCell ref="B6:E6"/>
    <mergeCell ref="B4:G4"/>
    <mergeCell ref="H4:N4"/>
    <mergeCell ref="O4:P4"/>
    <mergeCell ref="Q4:R4"/>
    <mergeCell ref="B5:E5"/>
    <mergeCell ref="F5:G5"/>
    <mergeCell ref="H5:L5"/>
    <mergeCell ref="M5:N5"/>
    <mergeCell ref="O5:P5"/>
    <mergeCell ref="C31:F31"/>
    <mergeCell ref="C32:F32"/>
    <mergeCell ref="BP3:BU4"/>
    <mergeCell ref="F6:G6"/>
    <mergeCell ref="H6:L6"/>
    <mergeCell ref="M6:N6"/>
    <mergeCell ref="O6:P6"/>
    <mergeCell ref="Q6:R6"/>
    <mergeCell ref="B3:G3"/>
    <mergeCell ref="H3:N3"/>
    <mergeCell ref="O3:P3"/>
    <mergeCell ref="Q3:R3"/>
    <mergeCell ref="B7:F7"/>
    <mergeCell ref="L7:R7"/>
    <mergeCell ref="BH4:BK6"/>
    <mergeCell ref="BL4:BN6"/>
    <mergeCell ref="C33:F33"/>
    <mergeCell ref="C34:F34"/>
    <mergeCell ref="BO34:BU37"/>
    <mergeCell ref="C8:F8"/>
    <mergeCell ref="L8:R39"/>
    <mergeCell ref="C9:F9"/>
    <mergeCell ref="C10:F10"/>
    <mergeCell ref="C11:F11"/>
    <mergeCell ref="C12:F12"/>
    <mergeCell ref="C13:F13"/>
    <mergeCell ref="C14:F14"/>
    <mergeCell ref="C15:F15"/>
    <mergeCell ref="C16:F16"/>
    <mergeCell ref="C30:F30"/>
    <mergeCell ref="C17:F17"/>
    <mergeCell ref="C18:F18"/>
    <mergeCell ref="BQ19:BU19"/>
    <mergeCell ref="C20:F20"/>
    <mergeCell ref="C21:F21"/>
    <mergeCell ref="BO21:BO29"/>
    <mergeCell ref="C22:F22"/>
    <mergeCell ref="C23:F23"/>
    <mergeCell ref="C24:F24"/>
    <mergeCell ref="C25:F25"/>
    <mergeCell ref="C26:F26"/>
    <mergeCell ref="C27:F27"/>
    <mergeCell ref="C28:F28"/>
    <mergeCell ref="C29:F29"/>
    <mergeCell ref="C19:F19"/>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s>
  <conditionalFormatting sqref="B8:F39">
    <cfRule type="expression" dxfId="317" priority="8" stopIfTrue="1">
      <formula>IF($Z8=1,TRUE,FALSE)</formula>
    </cfRule>
    <cfRule type="expression" dxfId="316" priority="9">
      <formula>IF($Z8=2,TRUE,FALSE)</formula>
    </cfRule>
  </conditionalFormatting>
  <conditionalFormatting sqref="C8:F39">
    <cfRule type="expression" dxfId="315" priority="1" stopIfTrue="1">
      <formula>IF($AF8=FALSE,TRUE,FALSE)</formula>
    </cfRule>
  </conditionalFormatting>
  <conditionalFormatting sqref="F5:G6 M5:P6">
    <cfRule type="expression" dxfId="314" priority="4" stopIfTrue="1">
      <formula>NOT($AU$4)</formula>
    </cfRule>
  </conditionalFormatting>
  <conditionalFormatting sqref="F6:G6">
    <cfRule type="cellIs" dxfId="313" priority="3" operator="equal">
      <formula>""</formula>
    </cfRule>
  </conditionalFormatting>
  <conditionalFormatting sqref="G8:K39">
    <cfRule type="expression" dxfId="312" priority="6" stopIfTrue="1">
      <formula>IF($Z8=1,TRUE,FALSE)</formula>
    </cfRule>
    <cfRule type="expression" dxfId="311" priority="7" stopIfTrue="1">
      <formula>IF($Z8=2,TRUE,FALSE)</formula>
    </cfRule>
  </conditionalFormatting>
  <conditionalFormatting sqref="H8:H39">
    <cfRule type="expression" dxfId="310" priority="10" stopIfTrue="1">
      <formula>IF($AB8=0,TRUE,FALSE)</formula>
    </cfRule>
  </conditionalFormatting>
  <conditionalFormatting sqref="H40:I41">
    <cfRule type="expression" dxfId="309" priority="2" stopIfTrue="1">
      <formula>IF($H$41="N/A",TRUE,FALSE)</formula>
    </cfRule>
  </conditionalFormatting>
  <conditionalFormatting sqref="H6:P6 O4:R4 B6 L8 L41 O41 Q41">
    <cfRule type="containsBlanks" dxfId="308" priority="5">
      <formula>LEN(TRIM(B4))=0</formula>
    </cfRule>
  </conditionalFormatting>
  <conditionalFormatting sqref="J8:J39">
    <cfRule type="expression" dxfId="307" priority="14">
      <formula>IF($Z8=1,FALSE,OR($BE8,$BD8))</formula>
    </cfRule>
  </conditionalFormatting>
  <conditionalFormatting sqref="J8:K39 C8:F39">
    <cfRule type="expression" dxfId="306" priority="13">
      <formula>IF($Z8=1,FALSE,OR($AW8,$AX8,$AY8,$AZ8))</formula>
    </cfRule>
  </conditionalFormatting>
  <conditionalFormatting sqref="J8:K39">
    <cfRule type="expression" dxfId="305" priority="11" stopIfTrue="1">
      <formula>IF(ISNA($Z8),TRUE,FALSE)</formula>
    </cfRule>
  </conditionalFormatting>
  <conditionalFormatting sqref="K8:K39">
    <cfRule type="expression" dxfId="304" priority="12">
      <formula>IF(OR($Z8=1,$Z8=2),FALSE,OR($BC8,$BE8,$BF8))</formula>
    </cfRule>
  </conditionalFormatting>
  <dataValidations count="6">
    <dataValidation type="list" allowBlank="1" showInputMessage="1" showErrorMessage="1" sqref="F6:G6" xr:uid="{BD2CFEE9-D3E0-4771-8DF1-EAF11CABB07C}">
      <formula1>"No,Yes"</formula1>
    </dataValidation>
    <dataValidation type="list" allowBlank="1" showInputMessage="1" showErrorMessage="1" sqref="J8:J39" xr:uid="{855A2408-CD3A-4305-8091-0FC604B9C173}">
      <formula1>"NA,0,1,2,3,4,5,6,7,8,9,10,11,12,13,14,15"</formula1>
    </dataValidation>
    <dataValidation type="list" allowBlank="1" showInputMessage="1" showErrorMessage="1" sqref="K8:K39" xr:uid="{06F47C35-2887-4664-86D2-5FA2688DDE82}">
      <formula1>"D,0,1,2,3,4"</formula1>
    </dataValidation>
    <dataValidation showInputMessage="1" showErrorMessage="1" sqref="O41:R41" xr:uid="{16246535-5288-452C-ADF2-86BAD0C9332C}"/>
    <dataValidation type="decimal" allowBlank="1" showInputMessage="1" showErrorMessage="1" sqref="O6:P6" xr:uid="{2BD76C23-C85E-4816-9F11-1D8F188F4C64}">
      <formula1>0</formula1>
      <formula2>10</formula2>
    </dataValidation>
    <dataValidation type="date" allowBlank="1" showInputMessage="1" showErrorMessage="1" sqref="Q4:R4" xr:uid="{6D7FFF1A-A6A1-462C-B5C0-44B1748652E5}">
      <formula1>41151</formula1>
      <formula2>77433</formula2>
    </dataValidation>
  </dataValidations>
  <hyperlinks>
    <hyperlink ref="BP3" location="PF!A1" display="PF phase Summary Page" xr:uid="{CDE6B21A-7155-421F-A71B-F9C6113EC55F}"/>
    <hyperlink ref="BP3:BU4" location="FQ!A1" display="FQ Summary Page" xr:uid="{2D32EE95-BF95-4472-90FB-BACE033549A4}"/>
  </hyperlinks>
  <pageMargins left="0.5" right="0.5" top="0.75" bottom="0.5" header="0.5" footer="0.5"/>
  <pageSetup orientation="landscape" verticalDpi="599" r:id="rId1"/>
  <headerFooter alignWithMargins="0"/>
  <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388E6-576F-4B9C-8AE8-7455741BF35D}">
  <sheetPr codeName="Sheet38">
    <tabColor rgb="FF00B050"/>
    <pageSetUpPr autoPageBreaks="0"/>
  </sheetPr>
  <dimension ref="B1:BU66"/>
  <sheetViews>
    <sheetView showGridLines="0" showRowColHeaders="0" topLeftCell="A2" zoomScaleNormal="100" zoomScaleSheetLayoutView="100" workbookViewId="0">
      <selection activeCell="BP3" sqref="BP3:BU4"/>
    </sheetView>
  </sheetViews>
  <sheetFormatPr defaultColWidth="9.140625" defaultRowHeight="12.75" x14ac:dyDescent="0.2"/>
  <cols>
    <col min="1" max="1" width="1.5703125" style="87" customWidth="1"/>
    <col min="2" max="2" width="3.5703125" style="87" customWidth="1"/>
    <col min="3" max="3" width="5.5703125" style="87" customWidth="1"/>
    <col min="4" max="4" width="9.140625" style="87" customWidth="1"/>
    <col min="5" max="5" width="14" style="87" customWidth="1"/>
    <col min="6" max="6" width="7.85546875" style="87" customWidth="1"/>
    <col min="7" max="11" width="5.140625" style="87" customWidth="1"/>
    <col min="12" max="12" width="21.5703125" style="87" customWidth="1"/>
    <col min="13" max="13" width="6.5703125" style="87" customWidth="1"/>
    <col min="14" max="14" width="12.5703125" style="87" customWidth="1"/>
    <col min="15" max="15" width="7.85546875" style="87" customWidth="1"/>
    <col min="16" max="16" width="2.7109375" style="87" customWidth="1"/>
    <col min="17" max="17" width="4.85546875" style="87" customWidth="1"/>
    <col min="18" max="18" width="7.28515625" style="87" customWidth="1"/>
    <col min="19" max="19" width="1.7109375" style="87" customWidth="1"/>
    <col min="20" max="20" width="19.140625" style="88" hidden="1" customWidth="1"/>
    <col min="21" max="21" width="31.140625" style="88" hidden="1" customWidth="1"/>
    <col min="22" max="22" width="5.140625" style="88" hidden="1" customWidth="1"/>
    <col min="23" max="24" width="6.28515625" style="88" hidden="1" customWidth="1"/>
    <col min="25" max="25" width="8.42578125" style="88" hidden="1" customWidth="1"/>
    <col min="26" max="26" width="7.85546875" style="88" hidden="1" customWidth="1"/>
    <col min="27" max="27" width="10.7109375" style="88" hidden="1" customWidth="1"/>
    <col min="28" max="28" width="8" style="88" hidden="1" customWidth="1"/>
    <col min="29" max="31" width="5.140625" style="88" hidden="1" customWidth="1"/>
    <col min="32" max="34" width="5.85546875" style="88" hidden="1" customWidth="1"/>
    <col min="35" max="35" width="8.5703125" style="89" hidden="1" customWidth="1"/>
    <col min="36" max="36" width="7" style="88" hidden="1" customWidth="1"/>
    <col min="37" max="38" width="5.28515625" style="88" hidden="1" customWidth="1"/>
    <col min="39" max="40" width="7" style="88" hidden="1" customWidth="1"/>
    <col min="41" max="41" width="5.140625" style="88" hidden="1" customWidth="1"/>
    <col min="42" max="42" width="11.28515625" style="88" hidden="1" customWidth="1"/>
    <col min="43" max="43" width="6.42578125" style="88" hidden="1" customWidth="1"/>
    <col min="44" max="44" width="8.28515625" style="88" hidden="1" customWidth="1"/>
    <col min="45" max="45" width="8.85546875" style="88" hidden="1" customWidth="1"/>
    <col min="46" max="46" width="10.7109375" style="88" hidden="1" customWidth="1"/>
    <col min="47" max="47" width="8.85546875" style="88" hidden="1" customWidth="1"/>
    <col min="48" max="48" width="6.28515625" style="88" hidden="1" customWidth="1"/>
    <col min="49" max="49" width="10" style="88" hidden="1" customWidth="1"/>
    <col min="50" max="50" width="7.5703125" style="88" hidden="1" customWidth="1"/>
    <col min="51" max="51" width="7" style="88" hidden="1" customWidth="1"/>
    <col min="52" max="52" width="8.140625" style="88" hidden="1" customWidth="1"/>
    <col min="53" max="53" width="12.5703125" style="88" hidden="1" customWidth="1"/>
    <col min="54" max="54" width="7.7109375" style="88" hidden="1" customWidth="1"/>
    <col min="55" max="55" width="12.7109375" style="88" hidden="1" customWidth="1"/>
    <col min="56" max="56" width="7" style="88" hidden="1" customWidth="1"/>
    <col min="57" max="57" width="15.5703125" style="88" hidden="1" customWidth="1"/>
    <col min="58" max="58" width="9.140625" style="88" hidden="1" customWidth="1"/>
    <col min="59" max="59" width="10" style="88" hidden="1" customWidth="1"/>
    <col min="60" max="60" width="5.28515625" style="88" hidden="1" customWidth="1"/>
    <col min="61" max="61" width="4" style="88" hidden="1" customWidth="1"/>
    <col min="62" max="62" width="4.7109375" style="88" hidden="1" customWidth="1"/>
    <col min="63" max="63" width="5.5703125" style="88" hidden="1" customWidth="1"/>
    <col min="64" max="64" width="5.28515625" style="88" hidden="1" customWidth="1"/>
    <col min="65" max="65" width="4" style="88" hidden="1" customWidth="1"/>
    <col min="66" max="66" width="5.5703125" style="88" hidden="1" customWidth="1"/>
    <col min="67" max="67" width="5.140625" style="90" customWidth="1"/>
    <col min="68" max="73" width="5.140625" style="87" customWidth="1"/>
    <col min="74" max="16384" width="9.140625" style="87"/>
  </cols>
  <sheetData>
    <row r="1" spans="2:73" s="84" customFormat="1" ht="12" hidden="1" x14ac:dyDescent="0.2">
      <c r="T1" s="85"/>
      <c r="U1" s="85"/>
      <c r="V1" s="85"/>
      <c r="W1" s="85"/>
      <c r="X1" s="85"/>
      <c r="Y1" s="85"/>
      <c r="Z1" s="85"/>
      <c r="AA1" s="85"/>
      <c r="AB1" s="85"/>
      <c r="AC1" s="85"/>
      <c r="AD1" s="85"/>
      <c r="AE1" s="85"/>
      <c r="AF1" s="85"/>
      <c r="AG1" s="85"/>
      <c r="AH1" s="85"/>
      <c r="AI1" s="86"/>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row>
    <row r="2" spans="2:73" ht="13.5" thickBot="1" x14ac:dyDescent="0.25"/>
    <row r="3" spans="2:73" ht="13.5" customHeight="1" thickTop="1" x14ac:dyDescent="0.2">
      <c r="B3" s="967" t="s">
        <v>267</v>
      </c>
      <c r="C3" s="968"/>
      <c r="D3" s="968"/>
      <c r="E3" s="968"/>
      <c r="F3" s="968"/>
      <c r="G3" s="969"/>
      <c r="H3" s="970" t="s">
        <v>761</v>
      </c>
      <c r="I3" s="971"/>
      <c r="J3" s="971"/>
      <c r="K3" s="971"/>
      <c r="L3" s="971"/>
      <c r="M3" s="971"/>
      <c r="N3" s="972"/>
      <c r="O3" s="973" t="s">
        <v>269</v>
      </c>
      <c r="P3" s="974"/>
      <c r="Q3" s="973" t="s">
        <v>270</v>
      </c>
      <c r="R3" s="975"/>
      <c r="S3" s="91"/>
      <c r="T3" s="92"/>
      <c r="U3" s="92"/>
      <c r="V3" s="92"/>
      <c r="W3" s="92"/>
      <c r="X3" s="92"/>
      <c r="Y3" s="92"/>
      <c r="Z3" s="92"/>
      <c r="AA3" s="92"/>
      <c r="AB3" s="92"/>
      <c r="AC3" s="92"/>
      <c r="AD3" s="92"/>
      <c r="AE3" s="92"/>
      <c r="AF3" s="92"/>
      <c r="AG3" s="92"/>
      <c r="AH3" s="92"/>
      <c r="AI3" s="93"/>
      <c r="AJ3" s="92"/>
      <c r="AK3" s="92"/>
      <c r="AL3" s="92"/>
      <c r="AM3" s="92"/>
      <c r="AN3" s="92"/>
      <c r="AO3" s="92"/>
      <c r="AP3" s="92"/>
      <c r="AQ3" s="85"/>
      <c r="AR3" s="85"/>
      <c r="AW3" s="88" t="s">
        <v>271</v>
      </c>
      <c r="AX3" s="88" t="s">
        <v>272</v>
      </c>
      <c r="AY3" s="88" t="s">
        <v>273</v>
      </c>
      <c r="AZ3" s="88" t="s">
        <v>274</v>
      </c>
      <c r="BA3" s="88" t="s">
        <v>275</v>
      </c>
      <c r="BB3" s="88" t="s">
        <v>276</v>
      </c>
      <c r="BP3" s="1032" t="s">
        <v>843</v>
      </c>
      <c r="BQ3" s="1032"/>
      <c r="BR3" s="1032"/>
      <c r="BS3" s="1032"/>
      <c r="BT3" s="1032"/>
      <c r="BU3" s="1032"/>
    </row>
    <row r="4" spans="2:73" s="94" customFormat="1" ht="15.75" customHeight="1" x14ac:dyDescent="0.2">
      <c r="B4" s="994" t="s">
        <v>277</v>
      </c>
      <c r="C4" s="995"/>
      <c r="D4" s="995"/>
      <c r="E4" s="995"/>
      <c r="F4" s="995"/>
      <c r="G4" s="996"/>
      <c r="H4" s="937" t="s">
        <v>722</v>
      </c>
      <c r="I4" s="938"/>
      <c r="J4" s="938"/>
      <c r="K4" s="938"/>
      <c r="L4" s="938"/>
      <c r="M4" s="938"/>
      <c r="N4" s="939"/>
      <c r="O4" s="997"/>
      <c r="P4" s="998"/>
      <c r="Q4" s="999"/>
      <c r="R4" s="1000"/>
      <c r="S4" s="95"/>
      <c r="T4" s="96"/>
      <c r="U4" s="96"/>
      <c r="V4" s="96"/>
      <c r="W4" s="96"/>
      <c r="X4" s="96"/>
      <c r="Y4" s="96"/>
      <c r="Z4" s="96"/>
      <c r="AA4" s="96"/>
      <c r="AB4" s="96"/>
      <c r="AC4" s="96"/>
      <c r="AD4" s="96"/>
      <c r="AE4" s="96"/>
      <c r="AF4" s="96"/>
      <c r="AG4" s="96"/>
      <c r="AH4" s="96"/>
      <c r="AI4" s="97"/>
      <c r="AJ4" s="96"/>
      <c r="AK4" s="96"/>
      <c r="AL4" s="96"/>
      <c r="AM4" s="96"/>
      <c r="AN4" s="96"/>
      <c r="AO4" s="96"/>
      <c r="AP4" s="96"/>
      <c r="AQ4" s="98"/>
      <c r="AR4" s="98"/>
      <c r="AS4" s="99"/>
      <c r="AT4" s="100" t="s">
        <v>278</v>
      </c>
      <c r="AU4" s="101" t="b">
        <v>1</v>
      </c>
      <c r="AV4" s="99">
        <v>5</v>
      </c>
      <c r="AW4" s="99" t="b">
        <f>IF(ISERR(OR(AW8:AW39)),"UNK",IF(AND(graded_aca_events&gt;=1,input_test),FALSE,OR(AW8:AW39)))</f>
        <v>1</v>
      </c>
      <c r="AX4" s="99" t="b">
        <f>IF(ISERR(OR(AX8:AX39)),"UNK",IF(AND(graded_aca_events&gt;=1,input_test),FALSE,OR(AX8:AX39)))</f>
        <v>1</v>
      </c>
      <c r="AY4" s="99" t="b">
        <f>IF(ISERR(OR(AY8:AY39)),"UNK",OR(AY8:AY39))</f>
        <v>0</v>
      </c>
      <c r="AZ4" s="99" t="b">
        <f>IF(ISERR(OR(AZ8:AZ39)),"UNK",OR(AZ8:AZ39))</f>
        <v>0</v>
      </c>
      <c r="BA4" s="99" t="b">
        <f>IF(ISERR(OR(BA8:BA39)),"UNK",OR(BA8:BA39))</f>
        <v>0</v>
      </c>
      <c r="BB4" s="99" t="b">
        <f>IF(ISERR(OR(BB8:BB39)),"UNK",OR(BB8:BB39))</f>
        <v>0</v>
      </c>
      <c r="BC4" s="102" t="b">
        <f>OR(BC8:BC39)</f>
        <v>0</v>
      </c>
      <c r="BD4" s="102" t="b">
        <f>OR(BD8:BD39)</f>
        <v>0</v>
      </c>
      <c r="BE4" s="102" t="b">
        <f>OR(BE8:BE39)</f>
        <v>0</v>
      </c>
      <c r="BF4" s="102"/>
      <c r="BG4" s="99"/>
      <c r="BH4" s="944" t="s">
        <v>279</v>
      </c>
      <c r="BI4" s="944"/>
      <c r="BJ4" s="944"/>
      <c r="BK4" s="944"/>
      <c r="BL4" s="977" t="s">
        <v>280</v>
      </c>
      <c r="BM4" s="977"/>
      <c r="BN4" s="977"/>
      <c r="BO4" s="90"/>
      <c r="BP4" s="1032"/>
      <c r="BQ4" s="1032"/>
      <c r="BR4" s="1032"/>
      <c r="BS4" s="1032"/>
      <c r="BT4" s="1032"/>
      <c r="BU4" s="1032"/>
    </row>
    <row r="5" spans="2:73" s="91" customFormat="1" ht="7.5" customHeight="1" x14ac:dyDescent="0.25">
      <c r="B5" s="978" t="s">
        <v>281</v>
      </c>
      <c r="C5" s="979"/>
      <c r="D5" s="979"/>
      <c r="E5" s="980"/>
      <c r="F5" s="981" t="s">
        <v>282</v>
      </c>
      <c r="G5" s="980"/>
      <c r="H5" s="981" t="s">
        <v>283</v>
      </c>
      <c r="I5" s="979"/>
      <c r="J5" s="979"/>
      <c r="K5" s="979"/>
      <c r="L5" s="980"/>
      <c r="M5" s="982" t="s">
        <v>284</v>
      </c>
      <c r="N5" s="983"/>
      <c r="O5" s="984" t="s">
        <v>285</v>
      </c>
      <c r="P5" s="985"/>
      <c r="Q5" s="981" t="str">
        <f>IF(AU41=0,"GRADE","GRADE (inc. bonus)")</f>
        <v>GRADE</v>
      </c>
      <c r="R5" s="986"/>
      <c r="T5" s="92"/>
      <c r="U5" s="92"/>
      <c r="V5" s="92"/>
      <c r="W5" s="92"/>
      <c r="X5" s="92"/>
      <c r="Y5" s="92"/>
      <c r="Z5" s="92"/>
      <c r="AA5" s="92"/>
      <c r="AB5" s="92"/>
      <c r="AC5" s="92"/>
      <c r="AD5" s="92"/>
      <c r="AE5" s="92"/>
      <c r="AF5" s="92"/>
      <c r="AG5" s="92"/>
      <c r="AH5" s="92"/>
      <c r="AI5" s="93"/>
      <c r="AJ5" s="92"/>
      <c r="AK5" s="92"/>
      <c r="AL5" s="92"/>
      <c r="AM5" s="92"/>
      <c r="AN5" s="92"/>
      <c r="AO5" s="92"/>
      <c r="AP5" s="92"/>
      <c r="AQ5" s="92"/>
      <c r="AR5" s="92"/>
      <c r="AS5" s="92"/>
      <c r="AT5" s="92"/>
      <c r="AU5" s="92"/>
      <c r="AV5" s="92"/>
      <c r="AW5" s="92"/>
      <c r="AX5" s="92"/>
      <c r="AY5" s="92"/>
      <c r="AZ5" s="92"/>
      <c r="BA5" s="92"/>
      <c r="BB5" s="92"/>
      <c r="BC5" s="92"/>
      <c r="BD5" s="92"/>
      <c r="BE5" s="92"/>
      <c r="BF5" s="92"/>
      <c r="BG5" s="92"/>
      <c r="BH5" s="944"/>
      <c r="BI5" s="944"/>
      <c r="BJ5" s="944"/>
      <c r="BK5" s="944"/>
      <c r="BL5" s="977"/>
      <c r="BM5" s="977"/>
      <c r="BN5" s="977"/>
      <c r="BO5" s="103"/>
    </row>
    <row r="6" spans="2:73" s="94" customFormat="1" ht="15.75" customHeight="1" thickBot="1" x14ac:dyDescent="0.25">
      <c r="B6" s="1001"/>
      <c r="C6" s="1002"/>
      <c r="D6" s="1002"/>
      <c r="E6" s="1003"/>
      <c r="F6" s="1004" t="s">
        <v>286</v>
      </c>
      <c r="G6" s="1005"/>
      <c r="H6" s="1006"/>
      <c r="I6" s="1007"/>
      <c r="J6" s="1007"/>
      <c r="K6" s="1007"/>
      <c r="L6" s="1005"/>
      <c r="M6" s="1008"/>
      <c r="N6" s="1009"/>
      <c r="O6" s="1010"/>
      <c r="P6" s="1011"/>
      <c r="Q6" s="949" t="str">
        <f>IF((graded_aca_events+graded_amn_events)&lt;1,"0",IF(ISERROR(AR46),"",IF(F41&lt;&gt;"COMPLETE","INCOMPLETE",AR46)))</f>
        <v>0</v>
      </c>
      <c r="R6" s="950"/>
      <c r="S6" s="87"/>
      <c r="T6" s="99"/>
      <c r="U6" s="99">
        <v>2</v>
      </c>
      <c r="V6" s="99">
        <v>3</v>
      </c>
      <c r="W6" s="99">
        <v>6</v>
      </c>
      <c r="X6" s="99">
        <v>7</v>
      </c>
      <c r="Y6" s="99">
        <v>11</v>
      </c>
      <c r="Z6" s="99">
        <v>8</v>
      </c>
      <c r="AA6" s="99">
        <v>9</v>
      </c>
      <c r="AB6" s="99">
        <v>10</v>
      </c>
      <c r="AC6" s="99">
        <v>5</v>
      </c>
      <c r="AD6" s="99">
        <v>4</v>
      </c>
      <c r="AE6" s="99">
        <v>12</v>
      </c>
      <c r="AF6" s="99">
        <v>13</v>
      </c>
      <c r="AG6" s="99"/>
      <c r="AH6" s="99"/>
      <c r="AI6" s="104"/>
      <c r="AJ6" s="105"/>
      <c r="AK6" s="105"/>
      <c r="AL6" s="105"/>
      <c r="AM6" s="105" t="b">
        <f>IF(COUNT(AM8:AM39)&gt;0,TRUE,FALSE)</f>
        <v>0</v>
      </c>
      <c r="AN6" s="105" t="b">
        <f>IF(COUNT(AN8:AN39)&gt;0,TRUE,FALSE)</f>
        <v>0</v>
      </c>
      <c r="AO6" s="99"/>
      <c r="AP6" s="99"/>
      <c r="AQ6" s="98"/>
      <c r="AR6" s="98"/>
      <c r="AS6" s="99"/>
      <c r="AT6" s="106">
        <v>0.1</v>
      </c>
      <c r="AU6" s="99"/>
      <c r="AV6" s="107">
        <f>0.01*input_maxb</f>
        <v>0.05</v>
      </c>
      <c r="AW6" s="108" t="s">
        <v>287</v>
      </c>
      <c r="AX6" s="109"/>
      <c r="AY6" s="108" t="s">
        <v>288</v>
      </c>
      <c r="AZ6" s="109"/>
      <c r="BA6" s="110" t="s">
        <v>289</v>
      </c>
      <c r="BB6" s="110"/>
      <c r="BC6" s="108" t="s">
        <v>290</v>
      </c>
      <c r="BD6" s="110"/>
      <c r="BE6" s="111"/>
      <c r="BF6" s="112"/>
      <c r="BG6" s="99" t="s">
        <v>291</v>
      </c>
      <c r="BH6" s="944"/>
      <c r="BI6" s="944"/>
      <c r="BJ6" s="944"/>
      <c r="BK6" s="944"/>
      <c r="BL6" s="977"/>
      <c r="BM6" s="977"/>
      <c r="BN6" s="977"/>
      <c r="BO6" s="90"/>
    </row>
    <row r="7" spans="2:73" ht="27" customHeight="1" thickBot="1" x14ac:dyDescent="0.25">
      <c r="B7" s="951" t="s">
        <v>292</v>
      </c>
      <c r="C7" s="952"/>
      <c r="D7" s="952"/>
      <c r="E7" s="952"/>
      <c r="F7" s="953"/>
      <c r="G7" s="113" t="s">
        <v>293</v>
      </c>
      <c r="H7" s="114" t="s">
        <v>294</v>
      </c>
      <c r="I7" s="115" t="s">
        <v>295</v>
      </c>
      <c r="J7" s="116" t="s">
        <v>296</v>
      </c>
      <c r="K7" s="117" t="s">
        <v>297</v>
      </c>
      <c r="L7" s="954" t="s">
        <v>298</v>
      </c>
      <c r="M7" s="952"/>
      <c r="N7" s="952"/>
      <c r="O7" s="952"/>
      <c r="P7" s="952"/>
      <c r="Q7" s="952"/>
      <c r="R7" s="955"/>
      <c r="T7" s="118" t="s">
        <v>299</v>
      </c>
      <c r="U7" s="118"/>
      <c r="V7" s="118" t="s">
        <v>300</v>
      </c>
      <c r="W7" s="118" t="s">
        <v>301</v>
      </c>
      <c r="X7" s="118" t="s">
        <v>302</v>
      </c>
      <c r="Y7" s="118" t="s">
        <v>303</v>
      </c>
      <c r="Z7" s="118" t="s">
        <v>304</v>
      </c>
      <c r="AA7" s="118" t="s">
        <v>305</v>
      </c>
      <c r="AB7" s="118" t="s">
        <v>306</v>
      </c>
      <c r="AC7" s="118" t="s">
        <v>307</v>
      </c>
      <c r="AD7" s="118" t="s">
        <v>308</v>
      </c>
      <c r="AE7" s="118" t="s">
        <v>309</v>
      </c>
      <c r="AF7" s="118" t="s">
        <v>310</v>
      </c>
      <c r="AG7" s="118" t="s">
        <v>311</v>
      </c>
      <c r="AH7" s="118" t="s">
        <v>312</v>
      </c>
      <c r="AI7" s="119" t="s">
        <v>313</v>
      </c>
      <c r="AJ7" s="120" t="s">
        <v>314</v>
      </c>
      <c r="AK7" s="121" t="s">
        <v>315</v>
      </c>
      <c r="AL7" s="121" t="s">
        <v>316</v>
      </c>
      <c r="AM7" s="121" t="s">
        <v>317</v>
      </c>
      <c r="AN7" s="121" t="s">
        <v>318</v>
      </c>
      <c r="AO7" s="120" t="s">
        <v>319</v>
      </c>
      <c r="AP7" s="120" t="s">
        <v>320</v>
      </c>
      <c r="AQ7" s="122" t="s">
        <v>321</v>
      </c>
      <c r="AR7" s="123" t="s">
        <v>1</v>
      </c>
      <c r="AS7" s="122" t="s">
        <v>322</v>
      </c>
      <c r="AT7" s="123" t="s">
        <v>1</v>
      </c>
      <c r="AU7" s="122" t="s">
        <v>323</v>
      </c>
      <c r="AV7" s="124" t="s">
        <v>324</v>
      </c>
      <c r="AW7" s="125" t="s">
        <v>325</v>
      </c>
      <c r="AX7" s="126" t="s">
        <v>326</v>
      </c>
      <c r="AY7" s="125" t="s">
        <v>327</v>
      </c>
      <c r="AZ7" s="126" t="s">
        <v>328</v>
      </c>
      <c r="BA7" s="127" t="s">
        <v>329</v>
      </c>
      <c r="BB7" s="127" t="s">
        <v>330</v>
      </c>
      <c r="BC7" s="128" t="s">
        <v>331</v>
      </c>
      <c r="BD7" s="129" t="s">
        <v>332</v>
      </c>
      <c r="BE7" s="130" t="s">
        <v>333</v>
      </c>
      <c r="BF7" s="131" t="s">
        <v>334</v>
      </c>
      <c r="BH7" s="88" t="s">
        <v>335</v>
      </c>
      <c r="BI7" s="88" t="s">
        <v>336</v>
      </c>
      <c r="BJ7" s="118" t="s">
        <v>337</v>
      </c>
      <c r="BK7" s="88" t="s">
        <v>338</v>
      </c>
      <c r="BL7" s="88" t="s">
        <v>335</v>
      </c>
      <c r="BM7" s="88" t="s">
        <v>336</v>
      </c>
      <c r="BN7" s="88" t="s">
        <v>338</v>
      </c>
    </row>
    <row r="8" spans="2:73" ht="12.95" customHeight="1" x14ac:dyDescent="0.2">
      <c r="B8" s="132" t="str">
        <f>IF(ISNA(Z8),"",IF(OR(Z8=1,Z8=2),"",1))</f>
        <v/>
      </c>
      <c r="C8" s="956" t="str">
        <f t="shared" ref="C8:C36" si="0">IF(ISNA(Z8),"",CONCATENATE($U8,IF(ISNUMBER(AI8),TEXT(ROUND($AI8,3)," (0.0%)"),""),IF(AU8&gt;0," Bonus","")))</f>
        <v>Airmanship Tasks (10.0%)</v>
      </c>
      <c r="D8" s="956"/>
      <c r="E8" s="956"/>
      <c r="F8" s="957"/>
      <c r="G8" s="133" t="str">
        <f t="shared" ref="G8:G39" si="1">BH8</f>
        <v/>
      </c>
      <c r="H8" s="134" t="str">
        <f t="shared" ref="H8:I39" si="2">BJ8</f>
        <v/>
      </c>
      <c r="I8" s="135" t="str">
        <f t="shared" si="2"/>
        <v/>
      </c>
      <c r="J8" s="136" t="s">
        <v>370</v>
      </c>
      <c r="K8" s="137"/>
      <c r="L8" s="1012"/>
      <c r="M8" s="1013"/>
      <c r="N8" s="1013"/>
      <c r="O8" s="1013"/>
      <c r="P8" s="1013"/>
      <c r="Q8" s="1013"/>
      <c r="R8" s="1014"/>
      <c r="T8" s="88">
        <v>1</v>
      </c>
      <c r="U8" s="88" t="s">
        <v>339</v>
      </c>
      <c r="V8" s="453" t="s">
        <v>340</v>
      </c>
      <c r="W8" s="453" t="s">
        <v>340</v>
      </c>
      <c r="X8" s="453" t="s">
        <v>340</v>
      </c>
      <c r="Y8" s="453" t="s">
        <v>340</v>
      </c>
      <c r="Z8" s="453">
        <v>1</v>
      </c>
      <c r="AA8" s="453">
        <v>0</v>
      </c>
      <c r="AB8" s="453">
        <v>0</v>
      </c>
      <c r="AC8" s="453" t="s">
        <v>340</v>
      </c>
      <c r="AD8" s="453" t="s">
        <v>340</v>
      </c>
      <c r="AE8" s="453">
        <v>0</v>
      </c>
      <c r="AF8" s="453" t="s">
        <v>340</v>
      </c>
      <c r="AG8" s="453" t="str">
        <f t="shared" ref="AG8:AG39" si="3">IF(CrewSoloQual="Yes",$AC8,$AD8)</f>
        <v/>
      </c>
      <c r="AH8" s="453" t="str">
        <f t="shared" ref="AH8:AH39" si="4">IF(ISNUMBER(AC8),IF(CrewSoloQual="Yes",$AC8-1,$AD8-1),"")</f>
        <v/>
      </c>
      <c r="AI8" s="138">
        <f>IF(NOT(OR(Z8=1,Z8=2)),IF(AQ8&gt;0,$AR$44*AQ8/SUMIF($AQ$8:$AQ$39,"&gt;0"),IF(AU8&gt;0,$AV$44*AU8/SUMIF($AU$8:$AU$39,"&gt;0"),IF(AS8&gt;0,$AT$44*AS8/SUMIF($AS$8:$AS$39,"&gt;0"),""))),IF(SUMIF(AJ9:$AJ$39,"=" &amp; AJ8,AI9:$AI$39)=0,"",SUMIF(AJ9:$AJ$39,"=" &amp; AJ8,AI9:$AI$39)))</f>
        <v>0.1</v>
      </c>
      <c r="AJ8" s="139">
        <f>0</f>
        <v>0</v>
      </c>
      <c r="AK8" s="453" t="str">
        <f>BI8</f>
        <v/>
      </c>
      <c r="AL8" s="453" t="str">
        <f>IF(ISBLANK(K8),"",K8)</f>
        <v/>
      </c>
      <c r="AM8" s="453" t="str">
        <f>IF(ISNUMBER(AK8),IF(ISNUMBER(AL8),1,""),"")</f>
        <v/>
      </c>
      <c r="AN8" s="453" t="str">
        <f t="shared" ref="AN8:AN36" si="5">IF(ISNUMBER(AH8),IF(AND(AB8=0,ISNUMBER(AC8),ISNUMBER(AL8)),1,""),"")</f>
        <v/>
      </c>
      <c r="AO8" s="453" t="str">
        <f t="shared" ref="AO8:AO39" si="6">IF(AB8=0,IF(CrewSoloQual="No",BI8,BK8),"")</f>
        <v/>
      </c>
      <c r="AP8" s="453" t="b">
        <f t="shared" ref="AP8:AP39" si="7">IF(ISNA(Z8),"",IF(AND(ISNUMBER(B8),G8&gt;=1,H8&lt;&gt;"NG"),IF(K8&lt;BK8,TRUE,FALSE),IF(AND(G8&gt;=1,J8="NA"),TRUE,IF(AND(AM8=1,G8=0,AL8&lt;BI8),TRUE,""))))</f>
        <v>1</v>
      </c>
      <c r="AQ8" s="140">
        <f>IF(ISNA(Z8),0,IF(OR(J8="NA",W8="",AB8=0),0,W8))</f>
        <v>0</v>
      </c>
      <c r="AR8" s="141" t="str">
        <f t="shared" ref="AR8:AR39" si="8">IF(ISNA(Z8),"",IF(AND(NOT(OR(Z8=1,Z8=2,AK8="NG",AB8=0)),IF(ISNUMBER(AL8),AL8&gt;=0,FALSE)),VLOOKUP((10*AD8+AC8),$AQ$50:$AV$58,2+AL8,FALSE),IF(AND(input_test=TRUE,ISNUMBER(AD8),V8&lt;&gt;0),VLOOKUP((10*AD8+AC8),$AQ$50:$AV$58,2,FALSE),"")))</f>
        <v/>
      </c>
      <c r="AS8" s="142">
        <f>IF(ISNA(Z8),0,IF(OR(J8="NA",X8="",AB8=1),0,X8))</f>
        <v>0</v>
      </c>
      <c r="AT8" s="141" t="str">
        <f t="shared" ref="AT8:AT39" si="9">IF(ISNA(Z8),"",IF(AND(NOT(OR(Z8=1,Z8=2,AK8="NG",AB8=1)),IF(ISNUMBER(AL8),AL8&gt;=0,FALSE)),VLOOKUP((10*AH8+AG8),$AQ$50:$AV$58,2+AL8,FALSE),IF(AND(input_test=TRUE,ISNUMBER(AD8),V8&lt;&gt;0),VLOOKUP((10*AH8+AG8),$AQ$50:$AV$58,2,FALSE),"")))</f>
        <v/>
      </c>
      <c r="AU8" s="143">
        <f t="shared" ref="AU8:AU39" si="10">IF(ISNA(Z8),0,IF(OR(J8="NA",Y8=""),0,Y8))</f>
        <v>0</v>
      </c>
      <c r="AV8" s="144" t="str">
        <f t="shared" ref="AV8:AV39" si="11">AR8</f>
        <v/>
      </c>
      <c r="AW8" s="143" t="b">
        <f t="shared" ref="AW8:AW39" si="12">IF(ISNA(Z8),FALSE,IF(OR(AB8=1,G8=0,Z8=1,Z8=2),FALSE,IF(OR(J8="NA",J8&gt;=G8),FALSE,TRUE)))</f>
        <v>0</v>
      </c>
      <c r="AX8" s="145" t="b">
        <f t="shared" ref="AX8:AX39" si="13">IF(ISNA(Z8),FALSE,IF(OR(AB8=0,G8=0,Z8=1,Z8=2,J8="NA"),FALSE,IF(AK8="NG",IF(NOT(ISBLANK(K8)),FALSE,TRUE),IF(J8&gt;=G8,FALSE,TRUE))))</f>
        <v>0</v>
      </c>
      <c r="AY8" s="143" t="b">
        <f t="shared" ref="AY8:AY39" si="14">IF(ISNA(Z8),FALSE,IF(OR(AB8=1,G8&lt;1,Z8=1,Z8=2,AE8=0,ISBLANK(K8)),FALSE,IF(OR(J8="NA",K8&gt;=BI8),FALSE,TRUE)))</f>
        <v>0</v>
      </c>
      <c r="AZ8" s="145" t="b">
        <f t="shared" ref="AZ8:AZ39" si="15">IF(ISNA(Z8),FALSE,IF(OR(AB8=0,G8=0,Z8=1,Z8=2,AE8=0,BI8="NG",K8="",ISBLANK(K8)),FALSE,IF(OR(J8="NA",K8&gt;=AK8),FALSE,TRUE)))</f>
        <v>0</v>
      </c>
      <c r="BA8" s="453" t="b">
        <f t="shared" ref="BA8:BA39" si="16">IF(ISNA(Z8),FALSE,IF(OR(AB8=1,G8&lt;1,Z8=1,Z8=2,AE8=0),FALSE,IF(J8="NA",TRUE,FALSE)))</f>
        <v>0</v>
      </c>
      <c r="BB8" s="453" t="b">
        <f t="shared" ref="BB8:BB39" si="17">IF(ISNA(Z8),FALSE,IF(OR(AB8=0,G8=0,Z8=1,Z8=2),FALSE,IF(J8="NA",TRUE,FALSE)))</f>
        <v>0</v>
      </c>
      <c r="BC8" s="143" t="b">
        <f t="shared" ref="BC8:BC39" si="18">IF(OR(ISNA($Z8),ISNUMBER($Z8),NOT(ISNUMBER($J8)),K8="D"),FALSE,IF(AND(NOT(ISNUMBER($K8)),J8&gt;0),TRUE,FALSE))</f>
        <v>0</v>
      </c>
      <c r="BD8" s="146" t="b">
        <f>IF(OR(ISNA($Z8),ISNUMBER($Z8),NOT(ISNUMBER(K8))),FALSE,OR(NOT(ISNUMBER(J8)),J8=0,AND(J8=0,K8&lt;&gt;0)))</f>
        <v>0</v>
      </c>
      <c r="BE8" s="145" t="b">
        <f t="shared" ref="BE8:BE21" si="19">IF(OR(ISNA($Z8),K8&lt;&gt;"D"),FALSE,IF(OR(AND(H8="NG",J8=0),AND(H8&lt;&gt;"NG",NOT(OR(J8="NA",J8=0)))),TRUE,FALSE))</f>
        <v>0</v>
      </c>
      <c r="BF8" s="147" t="b">
        <f t="shared" ref="BF8:BF30" si="20">IF(OR(ISNA($Z8),H8&lt;&gt;"NG"),FALSE,IF(AND(J8="NA",K8&lt;&gt;""),TRUE,FALSE))</f>
        <v>0</v>
      </c>
      <c r="BG8" s="453" t="b">
        <f t="shared" ref="BG8:BG21" si="21">IF(ISNA($Z8),"NA",IF(OR(AZ8,AY8,AX8,AW8,AP8,BA8,BB8),TRUE,FALSE))</f>
        <v>1</v>
      </c>
      <c r="BH8" s="148" t="str">
        <f>IF(ISNA($Z8),"",IF(OR($Z8=1,$Z8=2),"",$V8))</f>
        <v/>
      </c>
      <c r="BI8" s="453" t="str">
        <f t="shared" ref="BI8:BI39" si="22">IF(ISNA($Z8),"",IF(OR($Z8=1,$Z8=2,$G8=""),"",IF(AB8=0,AH8,$AD8)))</f>
        <v/>
      </c>
      <c r="BJ8" s="453" t="str">
        <f t="shared" ref="BJ8:BJ39" si="23">IF(ISNA(AE8),"",IF(OR(Z8=1,Z8=2),"",IF(OR(AE8=0,AD8="NG"),TEXT(BI8,"0"),CONCATENATE(TEXT(BI8,"0"),"*"))))</f>
        <v/>
      </c>
      <c r="BK8" s="453" t="str">
        <f t="shared" ref="BK8:BK39" si="24">IF(ISNA($Z8),"",IF(OR($Z8=1,$Z8=2,$G8=""),"",IF(AB8=0,AG8,$AC8)))</f>
        <v/>
      </c>
      <c r="BL8" s="148" t="str">
        <f>IF(ISBLANK(BH8),"",IF(BH8=0,"",BH8))</f>
        <v/>
      </c>
      <c r="BM8" s="453" t="str">
        <f t="shared" ref="BM8:BM39" si="25">IF($BH8=0,"",IF($BI8="NG","D",$BI8))</f>
        <v/>
      </c>
      <c r="BN8" s="453" t="str">
        <f t="shared" ref="BN8:BN39" si="26">IF(ISNA(U8),"",IF($BH8=0,"",IF($BI8="NG","D",BK8)))</f>
        <v/>
      </c>
      <c r="BO8" s="149" t="s">
        <v>341</v>
      </c>
      <c r="BP8" s="150"/>
    </row>
    <row r="9" spans="2:73" s="94" customFormat="1" ht="12.95" customHeight="1" x14ac:dyDescent="0.2">
      <c r="B9" s="151">
        <f>IF(ISNA(Z9),"",IF(OR(Z9=1,Z9=2),"    ",MAX($B$8:B8)+1))</f>
        <v>1</v>
      </c>
      <c r="C9" s="904" t="str">
        <f t="shared" si="0"/>
        <v>Basic Aircraft Procedures (2.0%)</v>
      </c>
      <c r="D9" s="904"/>
      <c r="E9" s="904"/>
      <c r="F9" s="905"/>
      <c r="G9" s="133">
        <f t="shared" si="1"/>
        <v>1</v>
      </c>
      <c r="H9" s="134" t="str">
        <f t="shared" si="2"/>
        <v>2*</v>
      </c>
      <c r="I9" s="152">
        <f t="shared" si="2"/>
        <v>3</v>
      </c>
      <c r="J9" s="153"/>
      <c r="K9" s="154"/>
      <c r="L9" s="1015"/>
      <c r="M9" s="1016"/>
      <c r="N9" s="1016"/>
      <c r="O9" s="1016"/>
      <c r="P9" s="1016"/>
      <c r="Q9" s="1016"/>
      <c r="R9" s="1017"/>
      <c r="T9" s="99">
        <v>2</v>
      </c>
      <c r="U9" s="88" t="s">
        <v>342</v>
      </c>
      <c r="V9" s="453">
        <v>1</v>
      </c>
      <c r="W9" s="453" t="s">
        <v>340</v>
      </c>
      <c r="X9" s="453">
        <v>1</v>
      </c>
      <c r="Y9" s="453" t="s">
        <v>340</v>
      </c>
      <c r="Z9" s="146" t="s">
        <v>340</v>
      </c>
      <c r="AA9" s="146">
        <v>1</v>
      </c>
      <c r="AB9" s="146">
        <v>0</v>
      </c>
      <c r="AC9" s="453">
        <v>3</v>
      </c>
      <c r="AD9" s="453">
        <v>2</v>
      </c>
      <c r="AE9" s="453">
        <v>1</v>
      </c>
      <c r="AF9" s="453" t="b">
        <v>1</v>
      </c>
      <c r="AG9" s="453">
        <f t="shared" si="3"/>
        <v>3</v>
      </c>
      <c r="AH9" s="453">
        <f t="shared" si="4"/>
        <v>2</v>
      </c>
      <c r="AI9" s="138">
        <f>IF(NOT(OR(Z9=1,Z9=2)),IF(AQ9&gt;0,$AR$44*AQ9/SUMIF($AQ$8:$AQ$39,"&gt;0"),IF(AU9&gt;0,$AV$44*AU9/SUMIF($AU$8:$AU$39,"&gt;0"),IF(AS9&gt;0,$AT$44*AS9/SUMIF($AS$8:$AS$39,"&gt;0"),""))),IF(SUMIF(AJ10:$AJ$39,"=" &amp; AJ9,AI10:$AI$39)=0,"",SUMIF(AJ10:$AJ$39,"=" &amp; AJ9,AI10:$AI$39)))</f>
        <v>0.02</v>
      </c>
      <c r="AJ9" s="139">
        <f>IF(OR(Z9=1,Z9=2,AA9&lt;AA8),AJ8+1,AJ8)</f>
        <v>0</v>
      </c>
      <c r="AK9" s="453">
        <f t="shared" ref="AK9:AK39" si="27">BI9</f>
        <v>2</v>
      </c>
      <c r="AL9" s="146" t="str">
        <f t="shared" ref="AL9:AL39" si="28">IF(ISBLANK(K9),"",K9)</f>
        <v/>
      </c>
      <c r="AM9" s="146" t="str">
        <f>IF(ISNUMBER(AK9),IF(ISNUMBER(AL9),1,""),"")</f>
        <v/>
      </c>
      <c r="AN9" s="146" t="str">
        <f t="shared" si="5"/>
        <v/>
      </c>
      <c r="AO9" s="146">
        <f t="shared" si="6"/>
        <v>3</v>
      </c>
      <c r="AP9" s="453" t="b">
        <f>IF(ISNA(Z9),"",IF(AND(ISNUMBER(B9),G9&gt;=1,H9&lt;&gt;"NG"),IF(K9&lt;BK9,TRUE,FALSE),IF(AND(G9&gt;=1,J9="NA"),TRUE,IF(AND(AM9=1,G9=0,AL9&lt;BI9),TRUE,""))))</f>
        <v>1</v>
      </c>
      <c r="AQ9" s="140">
        <f t="shared" ref="AQ9:AQ39" si="29">IF(ISNA(Z9),0,IF(OR(J9="NA",W9="",AB9=0),0,W9))</f>
        <v>0</v>
      </c>
      <c r="AR9" s="141" t="str">
        <f>IF(ISNA(Z9),"",IF(AND(NOT(OR(Z9=1,Z9=2,AK9="NG",AB9=0)),IF(ISNUMBER(AL9),AL9&gt;=0,FALSE)),VLOOKUP((10*AD9+AC9),$AQ$50:$AV$58,2+AL9,FALSE),IF(AND(input_test=TRUE,ISNUMBER(AD9),V9&lt;&gt;0),VLOOKUP((10*AD9+AC9),$AQ$50:$AV$58,2,FALSE),"")))</f>
        <v/>
      </c>
      <c r="AS9" s="142">
        <f t="shared" ref="AS9:AS39" si="30">IF(ISNA(Z9),0,IF(OR(J9="NA",X9="",AB9=1),0,X9))</f>
        <v>1</v>
      </c>
      <c r="AT9" s="141" t="str">
        <f>IF(ISNA(Z9),"",IF(AND(NOT(OR(Z9=1,Z9=2,AK9="NG",AB9=1)),IF(ISNUMBER(AL9),AL9&gt;=0,FALSE)),VLOOKUP((10*AH9+AG9),$AQ$50:$AV$58,2+AL9,FALSE),IF(AND(input_test=TRUE,ISNUMBER(AD9),V9&lt;&gt;0),VLOOKUP((10*AH9+AG9),$AQ$50:$AV$58,2,FALSE),"")))</f>
        <v/>
      </c>
      <c r="AU9" s="143">
        <f t="shared" si="10"/>
        <v>0</v>
      </c>
      <c r="AV9" s="144" t="str">
        <f t="shared" si="11"/>
        <v/>
      </c>
      <c r="AW9" s="143" t="b">
        <f t="shared" si="12"/>
        <v>1</v>
      </c>
      <c r="AX9" s="145" t="b">
        <f t="shared" si="13"/>
        <v>0</v>
      </c>
      <c r="AY9" s="143" t="b">
        <f t="shared" si="14"/>
        <v>0</v>
      </c>
      <c r="AZ9" s="145" t="b">
        <f t="shared" si="15"/>
        <v>0</v>
      </c>
      <c r="BA9" s="453" t="b">
        <f t="shared" si="16"/>
        <v>0</v>
      </c>
      <c r="BB9" s="453" t="b">
        <f t="shared" si="17"/>
        <v>0</v>
      </c>
      <c r="BC9" s="143" t="b">
        <f t="shared" si="18"/>
        <v>0</v>
      </c>
      <c r="BD9" s="146" t="b">
        <f t="shared" ref="BD9:BD39" si="31">IF(OR(ISNA($Z9),ISNUMBER($Z9),NOT(ISNUMBER(K9))),FALSE,OR(NOT(ISNUMBER(J9)),J9=0,AND(J9=0,K9&lt;&gt;0)))</f>
        <v>0</v>
      </c>
      <c r="BE9" s="145" t="b">
        <f t="shared" si="19"/>
        <v>0</v>
      </c>
      <c r="BF9" s="147" t="b">
        <f t="shared" si="20"/>
        <v>0</v>
      </c>
      <c r="BG9" s="453" t="b">
        <f t="shared" si="21"/>
        <v>1</v>
      </c>
      <c r="BH9" s="453">
        <f t="shared" ref="BH9:BH39" si="32">IF(ISNA($Z9),"",IF(OR($Z9=1,$Z9=2),"",$V9))</f>
        <v>1</v>
      </c>
      <c r="BI9" s="453">
        <f t="shared" si="22"/>
        <v>2</v>
      </c>
      <c r="BJ9" s="453" t="str">
        <f t="shared" si="23"/>
        <v>2*</v>
      </c>
      <c r="BK9" s="453">
        <f t="shared" si="24"/>
        <v>3</v>
      </c>
      <c r="BL9" s="148">
        <f t="shared" ref="BL9:BL39" si="33">IF(ISBLANK(BH9),"",IF(BH9=0,"",BH9))</f>
        <v>1</v>
      </c>
      <c r="BM9" s="453">
        <f t="shared" si="25"/>
        <v>2</v>
      </c>
      <c r="BN9" s="453">
        <f t="shared" si="26"/>
        <v>3</v>
      </c>
      <c r="BO9" s="155" t="s">
        <v>343</v>
      </c>
      <c r="BP9" s="156" t="s">
        <v>344</v>
      </c>
    </row>
    <row r="10" spans="2:73" s="94" customFormat="1" ht="12.95" customHeight="1" x14ac:dyDescent="0.2">
      <c r="B10" s="151">
        <f>IF(ISNA(Z10),"",IF(OR(Z10=1,Z10=2),"    ",MAX($B$8:B9)+1))</f>
        <v>2</v>
      </c>
      <c r="C10" s="904" t="str">
        <f t="shared" si="0"/>
        <v>Basic Aircraft Handling (2.0%)</v>
      </c>
      <c r="D10" s="904"/>
      <c r="E10" s="904"/>
      <c r="F10" s="905"/>
      <c r="G10" s="133">
        <f t="shared" si="1"/>
        <v>1</v>
      </c>
      <c r="H10" s="134" t="str">
        <f t="shared" si="2"/>
        <v>2*</v>
      </c>
      <c r="I10" s="152">
        <f t="shared" si="2"/>
        <v>3</v>
      </c>
      <c r="J10" s="157"/>
      <c r="K10" s="154"/>
      <c r="L10" s="1015"/>
      <c r="M10" s="1016"/>
      <c r="N10" s="1016"/>
      <c r="O10" s="1016"/>
      <c r="P10" s="1016"/>
      <c r="Q10" s="1016"/>
      <c r="R10" s="1017"/>
      <c r="T10" s="99">
        <v>3</v>
      </c>
      <c r="U10" s="88" t="s">
        <v>551</v>
      </c>
      <c r="V10" s="453">
        <v>1</v>
      </c>
      <c r="W10" s="453" t="s">
        <v>340</v>
      </c>
      <c r="X10" s="453">
        <v>1</v>
      </c>
      <c r="Y10" s="453" t="s">
        <v>340</v>
      </c>
      <c r="Z10" s="146" t="s">
        <v>340</v>
      </c>
      <c r="AA10" s="146">
        <v>1</v>
      </c>
      <c r="AB10" s="146">
        <v>0</v>
      </c>
      <c r="AC10" s="453">
        <v>3</v>
      </c>
      <c r="AD10" s="453">
        <v>2</v>
      </c>
      <c r="AE10" s="453">
        <v>1</v>
      </c>
      <c r="AF10" s="453" t="b">
        <v>1</v>
      </c>
      <c r="AG10" s="453">
        <f t="shared" si="3"/>
        <v>3</v>
      </c>
      <c r="AH10" s="453">
        <f t="shared" si="4"/>
        <v>2</v>
      </c>
      <c r="AI10" s="138">
        <f>IF(NOT(OR(Z10=1,Z10=2)),IF(AQ10&gt;0,$AR$44*AQ10/SUMIF($AQ$8:$AQ$39,"&gt;0"),IF(AU10&gt;0,$AV$44*AU10/SUMIF($AU$8:$AU$39,"&gt;0"),IF(AS10&gt;0,$AT$44*AS10/SUMIF($AS$8:$AS$39,"&gt;0"),""))),IF(SUMIF(AJ11:$AJ$39,"=" &amp; AJ10,AI11:$AI$39)=0,"",SUMIF(AJ11:$AJ$39,"=" &amp; AJ10,AI11:$AI$39)))</f>
        <v>0.02</v>
      </c>
      <c r="AJ10" s="139">
        <f t="shared" ref="AJ10:AJ39" si="34">IF(OR(Z10=1,Z10=2,AA10&lt;AA9),AJ9+1,AJ9)</f>
        <v>0</v>
      </c>
      <c r="AK10" s="453">
        <f t="shared" si="27"/>
        <v>2</v>
      </c>
      <c r="AL10" s="146" t="str">
        <f t="shared" si="28"/>
        <v/>
      </c>
      <c r="AM10" s="146" t="str">
        <f t="shared" ref="AM10:AM39" si="35">IF(ISNUMBER(AK10),IF(ISNUMBER(AL10),1,""),"")</f>
        <v/>
      </c>
      <c r="AN10" s="146" t="str">
        <f t="shared" si="5"/>
        <v/>
      </c>
      <c r="AO10" s="146">
        <f t="shared" si="6"/>
        <v>3</v>
      </c>
      <c r="AP10" s="453" t="b">
        <f t="shared" si="7"/>
        <v>1</v>
      </c>
      <c r="AQ10" s="140">
        <f t="shared" si="29"/>
        <v>0</v>
      </c>
      <c r="AR10" s="141" t="str">
        <f t="shared" si="8"/>
        <v/>
      </c>
      <c r="AS10" s="142">
        <f t="shared" si="30"/>
        <v>1</v>
      </c>
      <c r="AT10" s="141" t="str">
        <f t="shared" si="9"/>
        <v/>
      </c>
      <c r="AU10" s="143">
        <f t="shared" si="10"/>
        <v>0</v>
      </c>
      <c r="AV10" s="144" t="str">
        <f t="shared" si="11"/>
        <v/>
      </c>
      <c r="AW10" s="143" t="b">
        <f t="shared" si="12"/>
        <v>1</v>
      </c>
      <c r="AX10" s="145" t="b">
        <f t="shared" si="13"/>
        <v>0</v>
      </c>
      <c r="AY10" s="143" t="b">
        <f t="shared" si="14"/>
        <v>0</v>
      </c>
      <c r="AZ10" s="145" t="b">
        <f t="shared" si="15"/>
        <v>0</v>
      </c>
      <c r="BA10" s="453" t="b">
        <f t="shared" si="16"/>
        <v>0</v>
      </c>
      <c r="BB10" s="453" t="b">
        <f t="shared" si="17"/>
        <v>0</v>
      </c>
      <c r="BC10" s="143" t="b">
        <f t="shared" si="18"/>
        <v>0</v>
      </c>
      <c r="BD10" s="146" t="b">
        <f t="shared" si="31"/>
        <v>0</v>
      </c>
      <c r="BE10" s="145" t="b">
        <f t="shared" si="19"/>
        <v>0</v>
      </c>
      <c r="BF10" s="147" t="b">
        <f t="shared" si="20"/>
        <v>0</v>
      </c>
      <c r="BG10" s="453" t="b">
        <f t="shared" si="21"/>
        <v>1</v>
      </c>
      <c r="BH10" s="453">
        <f t="shared" si="32"/>
        <v>1</v>
      </c>
      <c r="BI10" s="453">
        <f t="shared" si="22"/>
        <v>2</v>
      </c>
      <c r="BJ10" s="453" t="str">
        <f t="shared" si="23"/>
        <v>2*</v>
      </c>
      <c r="BK10" s="453">
        <f t="shared" si="24"/>
        <v>3</v>
      </c>
      <c r="BL10" s="148">
        <f t="shared" si="33"/>
        <v>1</v>
      </c>
      <c r="BM10" s="453">
        <f t="shared" si="25"/>
        <v>2</v>
      </c>
      <c r="BN10" s="453">
        <f t="shared" si="26"/>
        <v>3</v>
      </c>
      <c r="BO10" s="155">
        <v>0</v>
      </c>
      <c r="BP10" s="156" t="s">
        <v>346</v>
      </c>
    </row>
    <row r="11" spans="2:73" s="94" customFormat="1" ht="12.95" customHeight="1" x14ac:dyDescent="0.2">
      <c r="B11" s="151">
        <f>IF(ISNA(Z11),"",IF(OR(Z11=1,Z11=2),"    ",MAX($B$8:B10)+1))</f>
        <v>3</v>
      </c>
      <c r="C11" s="904" t="str">
        <f t="shared" si="0"/>
        <v>Local Area Proc./Orientation/Comm (2.0%)</v>
      </c>
      <c r="D11" s="904"/>
      <c r="E11" s="904"/>
      <c r="F11" s="905"/>
      <c r="G11" s="133">
        <f t="shared" si="1"/>
        <v>1</v>
      </c>
      <c r="H11" s="134" t="str">
        <f t="shared" si="2"/>
        <v>2*</v>
      </c>
      <c r="I11" s="152">
        <f t="shared" si="2"/>
        <v>3</v>
      </c>
      <c r="J11" s="157"/>
      <c r="K11" s="154"/>
      <c r="L11" s="1015"/>
      <c r="M11" s="1016"/>
      <c r="N11" s="1016"/>
      <c r="O11" s="1016"/>
      <c r="P11" s="1016"/>
      <c r="Q11" s="1016"/>
      <c r="R11" s="1017"/>
      <c r="T11" s="99">
        <v>4</v>
      </c>
      <c r="U11" s="88" t="s">
        <v>345</v>
      </c>
      <c r="V11" s="453">
        <v>1</v>
      </c>
      <c r="W11" s="453" t="s">
        <v>340</v>
      </c>
      <c r="X11" s="453">
        <v>1</v>
      </c>
      <c r="Y11" s="453" t="s">
        <v>340</v>
      </c>
      <c r="Z11" s="146" t="s">
        <v>340</v>
      </c>
      <c r="AA11" s="146">
        <v>1</v>
      </c>
      <c r="AB11" s="146">
        <v>0</v>
      </c>
      <c r="AC11" s="453">
        <v>3</v>
      </c>
      <c r="AD11" s="453">
        <v>3</v>
      </c>
      <c r="AE11" s="453">
        <v>1</v>
      </c>
      <c r="AF11" s="453" t="b">
        <v>1</v>
      </c>
      <c r="AG11" s="453">
        <f t="shared" si="3"/>
        <v>3</v>
      </c>
      <c r="AH11" s="453">
        <f t="shared" si="4"/>
        <v>2</v>
      </c>
      <c r="AI11" s="138">
        <f>IF(NOT(OR(Z11=1,Z11=2)),IF(AQ11&gt;0,$AR$44*AQ11/SUMIF($AQ$8:$AQ$39,"&gt;0"),IF(AU11&gt;0,$AV$44*AU11/SUMIF($AU$8:$AU$39,"&gt;0"),IF(AS11&gt;0,$AT$44*AS11/SUMIF($AS$8:$AS$39,"&gt;0"),""))),IF(SUMIF(AJ12:$AJ$39,"=" &amp; AJ11,AI12:$AI$39)=0,"",SUMIF(AJ12:$AJ$39,"=" &amp; AJ11,AI12:$AI$39)))</f>
        <v>0.02</v>
      </c>
      <c r="AJ11" s="139">
        <f t="shared" si="34"/>
        <v>0</v>
      </c>
      <c r="AK11" s="453">
        <f t="shared" si="27"/>
        <v>2</v>
      </c>
      <c r="AL11" s="146" t="str">
        <f t="shared" si="28"/>
        <v/>
      </c>
      <c r="AM11" s="146" t="str">
        <f t="shared" si="35"/>
        <v/>
      </c>
      <c r="AN11" s="146" t="str">
        <f t="shared" si="5"/>
        <v/>
      </c>
      <c r="AO11" s="146">
        <f t="shared" si="6"/>
        <v>3</v>
      </c>
      <c r="AP11" s="453" t="b">
        <f t="shared" si="7"/>
        <v>1</v>
      </c>
      <c r="AQ11" s="140">
        <f t="shared" si="29"/>
        <v>0</v>
      </c>
      <c r="AR11" s="141" t="str">
        <f t="shared" si="8"/>
        <v/>
      </c>
      <c r="AS11" s="142">
        <f t="shared" si="30"/>
        <v>1</v>
      </c>
      <c r="AT11" s="141" t="str">
        <f t="shared" si="9"/>
        <v/>
      </c>
      <c r="AU11" s="143">
        <f t="shared" si="10"/>
        <v>0</v>
      </c>
      <c r="AV11" s="144" t="str">
        <f t="shared" si="11"/>
        <v/>
      </c>
      <c r="AW11" s="143" t="b">
        <f t="shared" si="12"/>
        <v>1</v>
      </c>
      <c r="AX11" s="145" t="b">
        <f t="shared" si="13"/>
        <v>0</v>
      </c>
      <c r="AY11" s="143" t="b">
        <f t="shared" si="14"/>
        <v>0</v>
      </c>
      <c r="AZ11" s="145" t="b">
        <f t="shared" si="15"/>
        <v>0</v>
      </c>
      <c r="BA11" s="453" t="b">
        <f t="shared" si="16"/>
        <v>0</v>
      </c>
      <c r="BB11" s="453" t="b">
        <f t="shared" si="17"/>
        <v>0</v>
      </c>
      <c r="BC11" s="143" t="b">
        <f t="shared" si="18"/>
        <v>0</v>
      </c>
      <c r="BD11" s="146" t="b">
        <f t="shared" si="31"/>
        <v>0</v>
      </c>
      <c r="BE11" s="145" t="b">
        <f t="shared" si="19"/>
        <v>0</v>
      </c>
      <c r="BF11" s="147" t="b">
        <f t="shared" si="20"/>
        <v>0</v>
      </c>
      <c r="BG11" s="453" t="b">
        <f t="shared" si="21"/>
        <v>1</v>
      </c>
      <c r="BH11" s="453">
        <f t="shared" si="32"/>
        <v>1</v>
      </c>
      <c r="BI11" s="453">
        <f t="shared" si="22"/>
        <v>2</v>
      </c>
      <c r="BJ11" s="453" t="str">
        <f t="shared" si="23"/>
        <v>2*</v>
      </c>
      <c r="BK11" s="453">
        <f t="shared" si="24"/>
        <v>3</v>
      </c>
      <c r="BL11" s="148">
        <f t="shared" si="33"/>
        <v>1</v>
      </c>
      <c r="BM11" s="453">
        <f t="shared" si="25"/>
        <v>2</v>
      </c>
      <c r="BN11" s="453">
        <f t="shared" si="26"/>
        <v>3</v>
      </c>
      <c r="BO11" s="155">
        <v>1</v>
      </c>
      <c r="BP11" s="156" t="s">
        <v>348</v>
      </c>
    </row>
    <row r="12" spans="2:73" s="94" customFormat="1" ht="12.95" customHeight="1" x14ac:dyDescent="0.2">
      <c r="B12" s="151">
        <f>IF(ISNA(Z12),"",IF(OR(Z12=1,Z12=2),"    ",MAX($B$8:B11)+1))</f>
        <v>4</v>
      </c>
      <c r="C12" s="904" t="str">
        <f t="shared" si="0"/>
        <v>Situational Awareness/Judgement (2.0%)</v>
      </c>
      <c r="D12" s="904"/>
      <c r="E12" s="904"/>
      <c r="F12" s="905"/>
      <c r="G12" s="133">
        <f t="shared" si="1"/>
        <v>1</v>
      </c>
      <c r="H12" s="134" t="str">
        <f t="shared" si="2"/>
        <v>2*</v>
      </c>
      <c r="I12" s="152">
        <f t="shared" si="2"/>
        <v>3</v>
      </c>
      <c r="J12" s="157"/>
      <c r="K12" s="154"/>
      <c r="L12" s="1015"/>
      <c r="M12" s="1016"/>
      <c r="N12" s="1016"/>
      <c r="O12" s="1016"/>
      <c r="P12" s="1016"/>
      <c r="Q12" s="1016"/>
      <c r="R12" s="1017"/>
      <c r="T12" s="99">
        <v>5</v>
      </c>
      <c r="U12" s="88" t="s">
        <v>347</v>
      </c>
      <c r="V12" s="453">
        <v>1</v>
      </c>
      <c r="W12" s="453" t="s">
        <v>340</v>
      </c>
      <c r="X12" s="453">
        <v>1</v>
      </c>
      <c r="Y12" s="453" t="s">
        <v>340</v>
      </c>
      <c r="Z12" s="146" t="s">
        <v>340</v>
      </c>
      <c r="AA12" s="146">
        <v>1</v>
      </c>
      <c r="AB12" s="146">
        <v>0</v>
      </c>
      <c r="AC12" s="453">
        <v>3</v>
      </c>
      <c r="AD12" s="453">
        <v>3</v>
      </c>
      <c r="AE12" s="453">
        <v>1</v>
      </c>
      <c r="AF12" s="453" t="b">
        <v>1</v>
      </c>
      <c r="AG12" s="453">
        <f t="shared" si="3"/>
        <v>3</v>
      </c>
      <c r="AH12" s="453">
        <f t="shared" si="4"/>
        <v>2</v>
      </c>
      <c r="AI12" s="138">
        <f>IF(NOT(OR(Z12=1,Z12=2)),IF(AQ12&gt;0,$AR$44*AQ12/SUMIF($AQ$8:$AQ$39,"&gt;0"),IF(AU12&gt;0,$AV$44*AU12/SUMIF($AU$8:$AU$39,"&gt;0"),IF(AS12&gt;0,$AT$44*AS12/SUMIF($AS$8:$AS$39,"&gt;0"),""))),IF(SUMIF(AJ13:$AJ$39,"=" &amp; AJ12,AI13:$AI$39)=0,"",SUMIF(AJ13:$AJ$39,"=" &amp; AJ12,AI13:$AI$39)))</f>
        <v>0.02</v>
      </c>
      <c r="AJ12" s="139">
        <f t="shared" si="34"/>
        <v>0</v>
      </c>
      <c r="AK12" s="453">
        <f t="shared" si="27"/>
        <v>2</v>
      </c>
      <c r="AL12" s="146" t="str">
        <f t="shared" si="28"/>
        <v/>
      </c>
      <c r="AM12" s="146" t="str">
        <f t="shared" si="35"/>
        <v/>
      </c>
      <c r="AN12" s="146" t="str">
        <f t="shared" si="5"/>
        <v/>
      </c>
      <c r="AO12" s="146">
        <f t="shared" si="6"/>
        <v>3</v>
      </c>
      <c r="AP12" s="453" t="b">
        <f t="shared" si="7"/>
        <v>1</v>
      </c>
      <c r="AQ12" s="140">
        <f t="shared" si="29"/>
        <v>0</v>
      </c>
      <c r="AR12" s="141" t="str">
        <f t="shared" si="8"/>
        <v/>
      </c>
      <c r="AS12" s="142">
        <f t="shared" si="30"/>
        <v>1</v>
      </c>
      <c r="AT12" s="141" t="str">
        <f t="shared" si="9"/>
        <v/>
      </c>
      <c r="AU12" s="143">
        <f t="shared" si="10"/>
        <v>0</v>
      </c>
      <c r="AV12" s="144" t="str">
        <f t="shared" si="11"/>
        <v/>
      </c>
      <c r="AW12" s="143" t="b">
        <f t="shared" si="12"/>
        <v>1</v>
      </c>
      <c r="AX12" s="145" t="b">
        <f t="shared" si="13"/>
        <v>0</v>
      </c>
      <c r="AY12" s="143" t="b">
        <f t="shared" si="14"/>
        <v>0</v>
      </c>
      <c r="AZ12" s="145" t="b">
        <f t="shared" si="15"/>
        <v>0</v>
      </c>
      <c r="BA12" s="453" t="b">
        <f t="shared" si="16"/>
        <v>0</v>
      </c>
      <c r="BB12" s="453" t="b">
        <f t="shared" si="17"/>
        <v>0</v>
      </c>
      <c r="BC12" s="143" t="b">
        <f t="shared" si="18"/>
        <v>0</v>
      </c>
      <c r="BD12" s="146" t="b">
        <f t="shared" si="31"/>
        <v>0</v>
      </c>
      <c r="BE12" s="145" t="b">
        <f t="shared" si="19"/>
        <v>0</v>
      </c>
      <c r="BF12" s="147" t="b">
        <f t="shared" si="20"/>
        <v>0</v>
      </c>
      <c r="BG12" s="453" t="b">
        <f t="shared" si="21"/>
        <v>1</v>
      </c>
      <c r="BH12" s="453">
        <f t="shared" si="32"/>
        <v>1</v>
      </c>
      <c r="BI12" s="453">
        <f t="shared" si="22"/>
        <v>2</v>
      </c>
      <c r="BJ12" s="453" t="str">
        <f t="shared" si="23"/>
        <v>2*</v>
      </c>
      <c r="BK12" s="453">
        <f t="shared" si="24"/>
        <v>3</v>
      </c>
      <c r="BL12" s="148">
        <f t="shared" si="33"/>
        <v>1</v>
      </c>
      <c r="BM12" s="453">
        <f t="shared" si="25"/>
        <v>2</v>
      </c>
      <c r="BN12" s="453">
        <f t="shared" si="26"/>
        <v>3</v>
      </c>
      <c r="BO12" s="155">
        <v>2</v>
      </c>
      <c r="BP12" s="156" t="s">
        <v>350</v>
      </c>
    </row>
    <row r="13" spans="2:73" s="94" customFormat="1" ht="12.95" customHeight="1" x14ac:dyDescent="0.2">
      <c r="B13" s="151">
        <f>IF(ISNA(Z13),"",IF(OR(Z13=1,Z13=2),"    ",MAX($B$8:B12)+1))</f>
        <v>5</v>
      </c>
      <c r="C13" s="904" t="str">
        <f t="shared" si="0"/>
        <v>Clearing/Visual Lookout (2.0%)</v>
      </c>
      <c r="D13" s="904"/>
      <c r="E13" s="904"/>
      <c r="F13" s="905"/>
      <c r="G13" s="133">
        <f t="shared" si="1"/>
        <v>1</v>
      </c>
      <c r="H13" s="134" t="str">
        <f t="shared" si="2"/>
        <v>2*</v>
      </c>
      <c r="I13" s="152">
        <f t="shared" si="2"/>
        <v>3</v>
      </c>
      <c r="J13" s="157"/>
      <c r="K13" s="154"/>
      <c r="L13" s="1015"/>
      <c r="M13" s="1016"/>
      <c r="N13" s="1016"/>
      <c r="O13" s="1016"/>
      <c r="P13" s="1016"/>
      <c r="Q13" s="1016"/>
      <c r="R13" s="1017"/>
      <c r="T13" s="99">
        <v>6</v>
      </c>
      <c r="U13" s="88" t="s">
        <v>349</v>
      </c>
      <c r="V13" s="453">
        <v>1</v>
      </c>
      <c r="W13" s="453" t="s">
        <v>340</v>
      </c>
      <c r="X13" s="453">
        <v>1</v>
      </c>
      <c r="Y13" s="453" t="s">
        <v>340</v>
      </c>
      <c r="Z13" s="146" t="s">
        <v>340</v>
      </c>
      <c r="AA13" s="146">
        <v>1</v>
      </c>
      <c r="AB13" s="146">
        <v>0</v>
      </c>
      <c r="AC13" s="453">
        <v>3</v>
      </c>
      <c r="AD13" s="453">
        <v>3</v>
      </c>
      <c r="AE13" s="453">
        <v>1</v>
      </c>
      <c r="AF13" s="453" t="b">
        <v>1</v>
      </c>
      <c r="AG13" s="453">
        <f t="shared" si="3"/>
        <v>3</v>
      </c>
      <c r="AH13" s="453">
        <f t="shared" si="4"/>
        <v>2</v>
      </c>
      <c r="AI13" s="138">
        <f>IF(NOT(OR(Z13=1,Z13=2)),IF(AQ13&gt;0,$AR$44*AQ13/SUMIF($AQ$8:$AQ$39,"&gt;0"),IF(AU13&gt;0,$AV$44*AU13/SUMIF($AU$8:$AU$39,"&gt;0"),IF(AS13&gt;0,$AT$44*AS13/SUMIF($AS$8:$AS$39,"&gt;0"),""))),IF(SUMIF(AJ14:$AJ$39,"=" &amp; AJ13,AI14:$AI$39)=0,"",SUMIF(AJ14:$AJ$39,"=" &amp; AJ13,AI14:$AI$39)))</f>
        <v>0.02</v>
      </c>
      <c r="AJ13" s="139">
        <f t="shared" si="34"/>
        <v>0</v>
      </c>
      <c r="AK13" s="453">
        <f t="shared" si="27"/>
        <v>2</v>
      </c>
      <c r="AL13" s="146" t="str">
        <f t="shared" si="28"/>
        <v/>
      </c>
      <c r="AM13" s="146" t="str">
        <f t="shared" si="35"/>
        <v/>
      </c>
      <c r="AN13" s="146" t="str">
        <f t="shared" si="5"/>
        <v/>
      </c>
      <c r="AO13" s="146">
        <f t="shared" si="6"/>
        <v>3</v>
      </c>
      <c r="AP13" s="453" t="b">
        <f t="shared" si="7"/>
        <v>1</v>
      </c>
      <c r="AQ13" s="140">
        <f t="shared" si="29"/>
        <v>0</v>
      </c>
      <c r="AR13" s="141" t="str">
        <f t="shared" si="8"/>
        <v/>
      </c>
      <c r="AS13" s="142">
        <f t="shared" si="30"/>
        <v>1</v>
      </c>
      <c r="AT13" s="141" t="str">
        <f t="shared" si="9"/>
        <v/>
      </c>
      <c r="AU13" s="143">
        <f t="shared" si="10"/>
        <v>0</v>
      </c>
      <c r="AV13" s="144" t="str">
        <f t="shared" si="11"/>
        <v/>
      </c>
      <c r="AW13" s="143" t="b">
        <f t="shared" si="12"/>
        <v>1</v>
      </c>
      <c r="AX13" s="145" t="b">
        <f t="shared" si="13"/>
        <v>0</v>
      </c>
      <c r="AY13" s="143" t="b">
        <f t="shared" si="14"/>
        <v>0</v>
      </c>
      <c r="AZ13" s="145" t="b">
        <f t="shared" si="15"/>
        <v>0</v>
      </c>
      <c r="BA13" s="453" t="b">
        <f t="shared" si="16"/>
        <v>0</v>
      </c>
      <c r="BB13" s="453" t="b">
        <f t="shared" si="17"/>
        <v>0</v>
      </c>
      <c r="BC13" s="143" t="b">
        <f t="shared" si="18"/>
        <v>0</v>
      </c>
      <c r="BD13" s="146" t="b">
        <f t="shared" si="31"/>
        <v>0</v>
      </c>
      <c r="BE13" s="145" t="b">
        <f t="shared" si="19"/>
        <v>0</v>
      </c>
      <c r="BF13" s="147" t="b">
        <f t="shared" si="20"/>
        <v>0</v>
      </c>
      <c r="BG13" s="453" t="b">
        <f t="shared" si="21"/>
        <v>1</v>
      </c>
      <c r="BH13" s="453">
        <f t="shared" si="32"/>
        <v>1</v>
      </c>
      <c r="BI13" s="453">
        <f t="shared" si="22"/>
        <v>2</v>
      </c>
      <c r="BJ13" s="453" t="str">
        <f t="shared" si="23"/>
        <v>2*</v>
      </c>
      <c r="BK13" s="453">
        <f t="shared" si="24"/>
        <v>3</v>
      </c>
      <c r="BL13" s="148">
        <f t="shared" si="33"/>
        <v>1</v>
      </c>
      <c r="BM13" s="453">
        <f t="shared" si="25"/>
        <v>2</v>
      </c>
      <c r="BN13" s="453">
        <f t="shared" si="26"/>
        <v>3</v>
      </c>
      <c r="BO13" s="155">
        <v>3</v>
      </c>
      <c r="BP13" s="156" t="s">
        <v>352</v>
      </c>
    </row>
    <row r="14" spans="2:73" s="94" customFormat="1" ht="12.95" customHeight="1" x14ac:dyDescent="0.2">
      <c r="B14" s="151" t="str">
        <f>IF(ISNA(Z14),"",IF(OR(Z14=1,Z14=2),"    ",MAX($B$8:B13)+1))</f>
        <v xml:space="preserve">    </v>
      </c>
      <c r="C14" s="904" t="str">
        <f t="shared" si="0"/>
        <v>Academic Tasks</v>
      </c>
      <c r="D14" s="904"/>
      <c r="E14" s="904"/>
      <c r="F14" s="905"/>
      <c r="G14" s="133" t="str">
        <f t="shared" si="1"/>
        <v/>
      </c>
      <c r="H14" s="134" t="str">
        <f t="shared" si="2"/>
        <v/>
      </c>
      <c r="I14" s="152" t="str">
        <f t="shared" si="2"/>
        <v/>
      </c>
      <c r="J14" s="158"/>
      <c r="K14" s="159"/>
      <c r="L14" s="1015"/>
      <c r="M14" s="1016"/>
      <c r="N14" s="1016"/>
      <c r="O14" s="1016"/>
      <c r="P14" s="1016"/>
      <c r="Q14" s="1016"/>
      <c r="R14" s="1017"/>
      <c r="T14" s="99">
        <v>7</v>
      </c>
      <c r="U14" s="88" t="s">
        <v>351</v>
      </c>
      <c r="V14" s="453" t="s">
        <v>340</v>
      </c>
      <c r="W14" s="453" t="s">
        <v>340</v>
      </c>
      <c r="X14" s="453" t="s">
        <v>340</v>
      </c>
      <c r="Y14" s="453" t="s">
        <v>340</v>
      </c>
      <c r="Z14" s="146">
        <v>1</v>
      </c>
      <c r="AA14" s="146">
        <v>0</v>
      </c>
      <c r="AB14" s="146">
        <v>1</v>
      </c>
      <c r="AC14" s="453" t="s">
        <v>340</v>
      </c>
      <c r="AD14" s="453" t="s">
        <v>340</v>
      </c>
      <c r="AE14" s="453">
        <v>0</v>
      </c>
      <c r="AF14" s="453" t="s">
        <v>340</v>
      </c>
      <c r="AG14" s="453" t="str">
        <f t="shared" si="3"/>
        <v/>
      </c>
      <c r="AH14" s="453" t="str">
        <f t="shared" si="4"/>
        <v/>
      </c>
      <c r="AI14" s="138" t="str">
        <f>IF(NOT(OR(Z14=1,Z14=2)),IF(AQ14&gt;0,$AR$44*AQ14/SUMIF($AQ$8:$AQ$39,"&gt;0"),IF(AU14&gt;0,$AV$44*AU14/SUMIF($AU$8:$AU$39,"&gt;0"),IF(AS14&gt;0,$AT$44*AS14/SUMIF($AS$8:$AS$39,"&gt;0"),""))),IF(SUMIF(AJ15:$AJ$39,"=" &amp; AJ14,AI15:$AI$39)=0,"",SUMIF(AJ15:$AJ$39,"=" &amp; AJ14,AI15:$AI$39)))</f>
        <v/>
      </c>
      <c r="AJ14" s="139">
        <f t="shared" si="34"/>
        <v>1</v>
      </c>
      <c r="AK14" s="453" t="str">
        <f t="shared" si="27"/>
        <v/>
      </c>
      <c r="AL14" s="146" t="str">
        <f t="shared" si="28"/>
        <v/>
      </c>
      <c r="AM14" s="146" t="str">
        <f t="shared" si="35"/>
        <v/>
      </c>
      <c r="AN14" s="146" t="str">
        <f t="shared" si="5"/>
        <v/>
      </c>
      <c r="AO14" s="146" t="str">
        <f t="shared" si="6"/>
        <v/>
      </c>
      <c r="AP14" s="453" t="str">
        <f t="shared" si="7"/>
        <v/>
      </c>
      <c r="AQ14" s="140">
        <f t="shared" si="29"/>
        <v>0</v>
      </c>
      <c r="AR14" s="141" t="str">
        <f t="shared" si="8"/>
        <v/>
      </c>
      <c r="AS14" s="142">
        <f t="shared" si="30"/>
        <v>0</v>
      </c>
      <c r="AT14" s="141" t="str">
        <f t="shared" si="9"/>
        <v/>
      </c>
      <c r="AU14" s="143">
        <f t="shared" si="10"/>
        <v>0</v>
      </c>
      <c r="AV14" s="144" t="str">
        <f t="shared" si="11"/>
        <v/>
      </c>
      <c r="AW14" s="143" t="b">
        <f t="shared" si="12"/>
        <v>0</v>
      </c>
      <c r="AX14" s="145" t="b">
        <f t="shared" si="13"/>
        <v>0</v>
      </c>
      <c r="AY14" s="143" t="b">
        <f t="shared" si="14"/>
        <v>0</v>
      </c>
      <c r="AZ14" s="145" t="b">
        <f t="shared" si="15"/>
        <v>0</v>
      </c>
      <c r="BA14" s="453" t="b">
        <f t="shared" si="16"/>
        <v>0</v>
      </c>
      <c r="BB14" s="453" t="b">
        <f t="shared" si="17"/>
        <v>0</v>
      </c>
      <c r="BC14" s="143" t="b">
        <f t="shared" si="18"/>
        <v>0</v>
      </c>
      <c r="BD14" s="146" t="b">
        <f t="shared" si="31"/>
        <v>0</v>
      </c>
      <c r="BE14" s="145" t="b">
        <f t="shared" si="19"/>
        <v>0</v>
      </c>
      <c r="BF14" s="147" t="b">
        <f t="shared" si="20"/>
        <v>0</v>
      </c>
      <c r="BG14" s="453" t="b">
        <f t="shared" si="21"/>
        <v>0</v>
      </c>
      <c r="BH14" s="453" t="str">
        <f t="shared" si="32"/>
        <v/>
      </c>
      <c r="BI14" s="453" t="str">
        <f t="shared" si="22"/>
        <v/>
      </c>
      <c r="BJ14" s="453" t="str">
        <f t="shared" si="23"/>
        <v/>
      </c>
      <c r="BK14" s="453" t="str">
        <f t="shared" si="24"/>
        <v/>
      </c>
      <c r="BL14" s="148" t="str">
        <f t="shared" si="33"/>
        <v/>
      </c>
      <c r="BM14" s="453" t="str">
        <f t="shared" si="25"/>
        <v/>
      </c>
      <c r="BN14" s="453" t="str">
        <f t="shared" si="26"/>
        <v/>
      </c>
      <c r="BO14" s="155">
        <v>4</v>
      </c>
      <c r="BP14" s="156" t="s">
        <v>354</v>
      </c>
    </row>
    <row r="15" spans="2:73" s="94" customFormat="1" ht="12.95" customHeight="1" x14ac:dyDescent="0.2">
      <c r="B15" s="151" t="str">
        <f>IF(ISNA(Z15),"",IF(OR(Z15=1,Z15=2),"    ",MAX($B$8:B14)+1))</f>
        <v xml:space="preserve">    </v>
      </c>
      <c r="C15" s="904" t="str">
        <f t="shared" si="0"/>
        <v>Test Conduct (25.1%)</v>
      </c>
      <c r="D15" s="904"/>
      <c r="E15" s="904"/>
      <c r="F15" s="905"/>
      <c r="G15" s="133" t="str">
        <f t="shared" si="1"/>
        <v/>
      </c>
      <c r="H15" s="134" t="str">
        <f t="shared" si="2"/>
        <v/>
      </c>
      <c r="I15" s="152" t="str">
        <f t="shared" si="2"/>
        <v/>
      </c>
      <c r="J15" s="158"/>
      <c r="K15" s="159"/>
      <c r="L15" s="1015"/>
      <c r="M15" s="1016"/>
      <c r="N15" s="1016"/>
      <c r="O15" s="1016"/>
      <c r="P15" s="1016"/>
      <c r="Q15" s="1016"/>
      <c r="R15" s="1017"/>
      <c r="T15" s="99">
        <v>8</v>
      </c>
      <c r="U15" s="88" t="s">
        <v>353</v>
      </c>
      <c r="V15" s="453" t="s">
        <v>340</v>
      </c>
      <c r="W15" s="453" t="s">
        <v>340</v>
      </c>
      <c r="X15" s="453" t="s">
        <v>340</v>
      </c>
      <c r="Y15" s="453" t="s">
        <v>340</v>
      </c>
      <c r="Z15" s="146">
        <v>2</v>
      </c>
      <c r="AA15" s="146">
        <v>1</v>
      </c>
      <c r="AB15" s="146">
        <v>1</v>
      </c>
      <c r="AC15" s="453" t="s">
        <v>340</v>
      </c>
      <c r="AD15" s="453" t="s">
        <v>340</v>
      </c>
      <c r="AE15" s="453" t="s">
        <v>340</v>
      </c>
      <c r="AF15" s="453" t="s">
        <v>340</v>
      </c>
      <c r="AG15" s="453" t="str">
        <f t="shared" si="3"/>
        <v/>
      </c>
      <c r="AH15" s="453" t="str">
        <f t="shared" si="4"/>
        <v/>
      </c>
      <c r="AI15" s="138">
        <f>IF(NOT(OR(Z15=1,Z15=2)),IF(AQ15&gt;0,$AR$44*AQ15/SUMIF($AQ$8:$AQ$39,"&gt;0"),IF(AU15&gt;0,$AV$44*AU15/SUMIF($AU$8:$AU$39,"&gt;0"),IF(AS15&gt;0,$AT$44*AS15/SUMIF($AS$8:$AS$39,"&gt;0"),""))),IF(SUMIF(AJ16:$AJ$39,"=" &amp; AJ15,AI16:$AI$39)=0,"",SUMIF(AJ16:$AJ$39,"=" &amp; AJ15,AI16:$AI$39)))</f>
        <v>0.25116279069767439</v>
      </c>
      <c r="AJ15" s="139">
        <f t="shared" si="34"/>
        <v>2</v>
      </c>
      <c r="AK15" s="453" t="str">
        <f t="shared" si="27"/>
        <v/>
      </c>
      <c r="AL15" s="146" t="str">
        <f t="shared" si="28"/>
        <v/>
      </c>
      <c r="AM15" s="146" t="str">
        <f t="shared" si="35"/>
        <v/>
      </c>
      <c r="AN15" s="146" t="str">
        <f t="shared" si="5"/>
        <v/>
      </c>
      <c r="AO15" s="146" t="str">
        <f t="shared" si="6"/>
        <v/>
      </c>
      <c r="AP15" s="453" t="str">
        <f t="shared" si="7"/>
        <v/>
      </c>
      <c r="AQ15" s="140">
        <f t="shared" si="29"/>
        <v>0</v>
      </c>
      <c r="AR15" s="141" t="str">
        <f t="shared" si="8"/>
        <v/>
      </c>
      <c r="AS15" s="142">
        <f t="shared" si="30"/>
        <v>0</v>
      </c>
      <c r="AT15" s="141" t="str">
        <f t="shared" si="9"/>
        <v/>
      </c>
      <c r="AU15" s="143">
        <f t="shared" si="10"/>
        <v>0</v>
      </c>
      <c r="AV15" s="144" t="str">
        <f t="shared" si="11"/>
        <v/>
      </c>
      <c r="AW15" s="143" t="b">
        <f t="shared" si="12"/>
        <v>0</v>
      </c>
      <c r="AX15" s="145" t="b">
        <f t="shared" si="13"/>
        <v>0</v>
      </c>
      <c r="AY15" s="143" t="b">
        <f t="shared" si="14"/>
        <v>0</v>
      </c>
      <c r="AZ15" s="145" t="b">
        <f t="shared" si="15"/>
        <v>0</v>
      </c>
      <c r="BA15" s="453" t="b">
        <f t="shared" si="16"/>
        <v>0</v>
      </c>
      <c r="BB15" s="453" t="b">
        <f t="shared" si="17"/>
        <v>0</v>
      </c>
      <c r="BC15" s="143" t="b">
        <f t="shared" si="18"/>
        <v>0</v>
      </c>
      <c r="BD15" s="146" t="b">
        <f t="shared" si="31"/>
        <v>0</v>
      </c>
      <c r="BE15" s="145" t="b">
        <f t="shared" si="19"/>
        <v>0</v>
      </c>
      <c r="BF15" s="147" t="b">
        <f t="shared" si="20"/>
        <v>0</v>
      </c>
      <c r="BG15" s="453" t="b">
        <f t="shared" si="21"/>
        <v>0</v>
      </c>
      <c r="BH15" s="453" t="str">
        <f t="shared" si="32"/>
        <v/>
      </c>
      <c r="BI15" s="453" t="str">
        <f t="shared" si="22"/>
        <v/>
      </c>
      <c r="BJ15" s="453" t="str">
        <f t="shared" si="23"/>
        <v/>
      </c>
      <c r="BK15" s="453" t="str">
        <f t="shared" si="24"/>
        <v/>
      </c>
      <c r="BL15" s="148" t="str">
        <f t="shared" si="33"/>
        <v/>
      </c>
      <c r="BM15" s="453" t="str">
        <f t="shared" si="25"/>
        <v/>
      </c>
      <c r="BN15" s="453" t="str">
        <f t="shared" si="26"/>
        <v/>
      </c>
      <c r="BO15" s="90"/>
    </row>
    <row r="16" spans="2:73" s="94" customFormat="1" ht="12.95" customHeight="1" x14ac:dyDescent="0.2">
      <c r="B16" s="151">
        <f>IF(ISNA(Z16),"",IF(OR(Z16=1,Z16=2),"    ",MAX($B$8:B15)+1))</f>
        <v>6</v>
      </c>
      <c r="C16" s="904" t="str">
        <f t="shared" si="0"/>
        <v xml:space="preserve">      - Mission Preparation (12.6%)</v>
      </c>
      <c r="D16" s="904"/>
      <c r="E16" s="904"/>
      <c r="F16" s="905"/>
      <c r="G16" s="133">
        <f t="shared" si="1"/>
        <v>1</v>
      </c>
      <c r="H16" s="134" t="str">
        <f t="shared" si="2"/>
        <v>2*</v>
      </c>
      <c r="I16" s="152">
        <f t="shared" si="2"/>
        <v>3</v>
      </c>
      <c r="J16" s="157"/>
      <c r="K16" s="154"/>
      <c r="L16" s="1015"/>
      <c r="M16" s="1016"/>
      <c r="N16" s="1016"/>
      <c r="O16" s="1016"/>
      <c r="P16" s="1016"/>
      <c r="Q16" s="1016"/>
      <c r="R16" s="1017"/>
      <c r="T16" s="99">
        <v>9</v>
      </c>
      <c r="U16" s="88" t="s">
        <v>498</v>
      </c>
      <c r="V16" s="453">
        <v>1</v>
      </c>
      <c r="W16" s="453">
        <v>3</v>
      </c>
      <c r="X16" s="453" t="s">
        <v>340</v>
      </c>
      <c r="Y16" s="453" t="s">
        <v>340</v>
      </c>
      <c r="Z16" s="146" t="s">
        <v>340</v>
      </c>
      <c r="AA16" s="146">
        <v>2</v>
      </c>
      <c r="AB16" s="146">
        <v>1</v>
      </c>
      <c r="AC16" s="453">
        <v>3</v>
      </c>
      <c r="AD16" s="453">
        <v>2</v>
      </c>
      <c r="AE16" s="453">
        <v>1</v>
      </c>
      <c r="AF16" s="453" t="b">
        <v>1</v>
      </c>
      <c r="AG16" s="453">
        <f t="shared" si="3"/>
        <v>3</v>
      </c>
      <c r="AH16" s="453">
        <f t="shared" si="4"/>
        <v>2</v>
      </c>
      <c r="AI16" s="138">
        <f>IF(NOT(OR(Z16=1,Z16=2)),IF(AQ16&gt;0,$AR$44*AQ16/SUMIF($AQ$8:$AQ$39,"&gt;0"),IF(AU16&gt;0,$AV$44*AU16/SUMIF($AU$8:$AU$39,"&gt;0"),IF(AS16&gt;0,$AT$44*AS16/SUMIF($AS$8:$AS$39,"&gt;0"),""))),IF(SUMIF(AJ17:$AJ$39,"=" &amp; AJ16,AI17:$AI$39)=0,"",SUMIF(AJ17:$AJ$39,"=" &amp; AJ16,AI17:$AI$39)))</f>
        <v>0.12558139534883722</v>
      </c>
      <c r="AJ16" s="139">
        <f t="shared" si="34"/>
        <v>2</v>
      </c>
      <c r="AK16" s="453">
        <f t="shared" si="27"/>
        <v>2</v>
      </c>
      <c r="AL16" s="146" t="str">
        <f t="shared" si="28"/>
        <v/>
      </c>
      <c r="AM16" s="146" t="str">
        <f t="shared" si="35"/>
        <v/>
      </c>
      <c r="AN16" s="146" t="str">
        <f t="shared" si="5"/>
        <v/>
      </c>
      <c r="AO16" s="146" t="str">
        <f t="shared" si="6"/>
        <v/>
      </c>
      <c r="AP16" s="453" t="b">
        <f t="shared" si="7"/>
        <v>1</v>
      </c>
      <c r="AQ16" s="140">
        <f t="shared" si="29"/>
        <v>3</v>
      </c>
      <c r="AR16" s="141" t="str">
        <f t="shared" si="8"/>
        <v/>
      </c>
      <c r="AS16" s="142">
        <f t="shared" si="30"/>
        <v>0</v>
      </c>
      <c r="AT16" s="141" t="str">
        <f t="shared" si="9"/>
        <v/>
      </c>
      <c r="AU16" s="143">
        <f t="shared" si="10"/>
        <v>0</v>
      </c>
      <c r="AV16" s="144" t="str">
        <f t="shared" si="11"/>
        <v/>
      </c>
      <c r="AW16" s="143" t="b">
        <f t="shared" si="12"/>
        <v>0</v>
      </c>
      <c r="AX16" s="145" t="b">
        <f t="shared" si="13"/>
        <v>1</v>
      </c>
      <c r="AY16" s="143" t="b">
        <f t="shared" si="14"/>
        <v>0</v>
      </c>
      <c r="AZ16" s="145" t="b">
        <f t="shared" si="15"/>
        <v>0</v>
      </c>
      <c r="BA16" s="453" t="b">
        <f t="shared" si="16"/>
        <v>0</v>
      </c>
      <c r="BB16" s="453" t="b">
        <f t="shared" si="17"/>
        <v>0</v>
      </c>
      <c r="BC16" s="143" t="b">
        <f t="shared" si="18"/>
        <v>0</v>
      </c>
      <c r="BD16" s="146" t="b">
        <f t="shared" si="31"/>
        <v>0</v>
      </c>
      <c r="BE16" s="145" t="b">
        <f t="shared" si="19"/>
        <v>0</v>
      </c>
      <c r="BF16" s="147" t="b">
        <f t="shared" si="20"/>
        <v>0</v>
      </c>
      <c r="BG16" s="453" t="b">
        <f t="shared" si="21"/>
        <v>1</v>
      </c>
      <c r="BH16" s="453">
        <f t="shared" si="32"/>
        <v>1</v>
      </c>
      <c r="BI16" s="453">
        <f t="shared" si="22"/>
        <v>2</v>
      </c>
      <c r="BJ16" s="453" t="str">
        <f t="shared" si="23"/>
        <v>2*</v>
      </c>
      <c r="BK16" s="453">
        <f t="shared" si="24"/>
        <v>3</v>
      </c>
      <c r="BL16" s="148">
        <f t="shared" si="33"/>
        <v>1</v>
      </c>
      <c r="BM16" s="453">
        <f t="shared" si="25"/>
        <v>2</v>
      </c>
      <c r="BN16" s="453">
        <f t="shared" si="26"/>
        <v>3</v>
      </c>
      <c r="BO16" s="155"/>
      <c r="BP16" s="160"/>
    </row>
    <row r="17" spans="2:73" s="94" customFormat="1" ht="12.95" customHeight="1" x14ac:dyDescent="0.2">
      <c r="B17" s="151">
        <f>IF(ISNA(Z17),"",IF(OR(Z17=1,Z17=2),"    ",MAX($B$8:B16)+1))</f>
        <v>7</v>
      </c>
      <c r="C17" s="904" t="str">
        <f t="shared" si="0"/>
        <v xml:space="preserve">      - SA/Adaptation (4.2%)</v>
      </c>
      <c r="D17" s="904"/>
      <c r="E17" s="904"/>
      <c r="F17" s="905"/>
      <c r="G17" s="133">
        <f t="shared" si="1"/>
        <v>1</v>
      </c>
      <c r="H17" s="134" t="str">
        <f t="shared" si="2"/>
        <v>2*</v>
      </c>
      <c r="I17" s="152">
        <f t="shared" si="2"/>
        <v>3</v>
      </c>
      <c r="J17" s="157"/>
      <c r="K17" s="154"/>
      <c r="L17" s="1015"/>
      <c r="M17" s="1016"/>
      <c r="N17" s="1016"/>
      <c r="O17" s="1016"/>
      <c r="P17" s="1016"/>
      <c r="Q17" s="1016"/>
      <c r="R17" s="1017"/>
      <c r="T17" s="99">
        <v>10</v>
      </c>
      <c r="U17" s="88" t="s">
        <v>552</v>
      </c>
      <c r="V17" s="453">
        <v>1</v>
      </c>
      <c r="W17" s="453">
        <v>1</v>
      </c>
      <c r="X17" s="453" t="s">
        <v>340</v>
      </c>
      <c r="Y17" s="453" t="s">
        <v>340</v>
      </c>
      <c r="Z17" s="146" t="s">
        <v>340</v>
      </c>
      <c r="AA17" s="146">
        <v>2</v>
      </c>
      <c r="AB17" s="146">
        <v>1</v>
      </c>
      <c r="AC17" s="453">
        <v>3</v>
      </c>
      <c r="AD17" s="453">
        <v>2</v>
      </c>
      <c r="AE17" s="453">
        <v>1</v>
      </c>
      <c r="AF17" s="453" t="b">
        <v>1</v>
      </c>
      <c r="AG17" s="453">
        <f t="shared" si="3"/>
        <v>3</v>
      </c>
      <c r="AH17" s="453">
        <f t="shared" si="4"/>
        <v>2</v>
      </c>
      <c r="AI17" s="138">
        <f>IF(NOT(OR(Z17=1,Z17=2)),IF(AQ17&gt;0,$AR$44*AQ17/SUMIF($AQ$8:$AQ$39,"&gt;0"),IF(AU17&gt;0,$AV$44*AU17/SUMIF($AU$8:$AU$39,"&gt;0"),IF(AS17&gt;0,$AT$44*AS17/SUMIF($AS$8:$AS$39,"&gt;0"),""))),IF(SUMIF(AJ18:$AJ$39,"=" &amp; AJ17,AI18:$AI$39)=0,"",SUMIF(AJ18:$AJ$39,"=" &amp; AJ17,AI18:$AI$39)))</f>
        <v>4.1860465116279069E-2</v>
      </c>
      <c r="AJ17" s="139">
        <f t="shared" si="34"/>
        <v>2</v>
      </c>
      <c r="AK17" s="453">
        <f t="shared" si="27"/>
        <v>2</v>
      </c>
      <c r="AL17" s="146" t="str">
        <f t="shared" si="28"/>
        <v/>
      </c>
      <c r="AM17" s="146" t="str">
        <f t="shared" si="35"/>
        <v/>
      </c>
      <c r="AN17" s="146" t="str">
        <f t="shared" si="5"/>
        <v/>
      </c>
      <c r="AO17" s="146" t="str">
        <f t="shared" si="6"/>
        <v/>
      </c>
      <c r="AP17" s="453" t="b">
        <f t="shared" si="7"/>
        <v>1</v>
      </c>
      <c r="AQ17" s="140">
        <f t="shared" si="29"/>
        <v>1</v>
      </c>
      <c r="AR17" s="141" t="str">
        <f t="shared" si="8"/>
        <v/>
      </c>
      <c r="AS17" s="142">
        <f t="shared" si="30"/>
        <v>0</v>
      </c>
      <c r="AT17" s="141" t="str">
        <f t="shared" si="9"/>
        <v/>
      </c>
      <c r="AU17" s="143">
        <f t="shared" si="10"/>
        <v>0</v>
      </c>
      <c r="AV17" s="144" t="str">
        <f t="shared" si="11"/>
        <v/>
      </c>
      <c r="AW17" s="143" t="b">
        <f t="shared" si="12"/>
        <v>0</v>
      </c>
      <c r="AX17" s="145" t="b">
        <f t="shared" si="13"/>
        <v>1</v>
      </c>
      <c r="AY17" s="143" t="b">
        <f t="shared" si="14"/>
        <v>0</v>
      </c>
      <c r="AZ17" s="145" t="b">
        <f t="shared" si="15"/>
        <v>0</v>
      </c>
      <c r="BA17" s="453" t="b">
        <f t="shared" si="16"/>
        <v>0</v>
      </c>
      <c r="BB17" s="453" t="b">
        <f t="shared" si="17"/>
        <v>0</v>
      </c>
      <c r="BC17" s="143" t="b">
        <f t="shared" si="18"/>
        <v>0</v>
      </c>
      <c r="BD17" s="146" t="b">
        <f t="shared" si="31"/>
        <v>0</v>
      </c>
      <c r="BE17" s="145" t="b">
        <f t="shared" si="19"/>
        <v>0</v>
      </c>
      <c r="BF17" s="147" t="b">
        <f t="shared" si="20"/>
        <v>0</v>
      </c>
      <c r="BG17" s="453" t="b">
        <f t="shared" si="21"/>
        <v>1</v>
      </c>
      <c r="BH17" s="453">
        <f t="shared" si="32"/>
        <v>1</v>
      </c>
      <c r="BI17" s="453">
        <f t="shared" si="22"/>
        <v>2</v>
      </c>
      <c r="BJ17" s="453" t="str">
        <f t="shared" si="23"/>
        <v>2*</v>
      </c>
      <c r="BK17" s="453">
        <f t="shared" si="24"/>
        <v>3</v>
      </c>
      <c r="BL17" s="148">
        <f t="shared" si="33"/>
        <v>1</v>
      </c>
      <c r="BM17" s="453">
        <f t="shared" si="25"/>
        <v>2</v>
      </c>
      <c r="BN17" s="453">
        <f t="shared" si="26"/>
        <v>3</v>
      </c>
      <c r="BO17" s="90"/>
    </row>
    <row r="18" spans="2:73" s="94" customFormat="1" ht="12.95" customHeight="1" x14ac:dyDescent="0.2">
      <c r="B18" s="151">
        <f>IF(ISNA(Z18),"",IF(OR(Z18=1,Z18=2),"    ",MAX($B$8:B17)+1))</f>
        <v>8</v>
      </c>
      <c r="C18" s="904" t="str">
        <f t="shared" si="0"/>
        <v xml:space="preserve">      - Communication (4.2%)</v>
      </c>
      <c r="D18" s="904"/>
      <c r="E18" s="904"/>
      <c r="F18" s="905"/>
      <c r="G18" s="133">
        <f t="shared" si="1"/>
        <v>1</v>
      </c>
      <c r="H18" s="134" t="str">
        <f t="shared" si="2"/>
        <v>2*</v>
      </c>
      <c r="I18" s="152">
        <f t="shared" si="2"/>
        <v>3</v>
      </c>
      <c r="J18" s="157"/>
      <c r="K18" s="154"/>
      <c r="L18" s="1015"/>
      <c r="M18" s="1016"/>
      <c r="N18" s="1016"/>
      <c r="O18" s="1016"/>
      <c r="P18" s="1016"/>
      <c r="Q18" s="1016"/>
      <c r="R18" s="1017"/>
      <c r="T18" s="99">
        <v>11</v>
      </c>
      <c r="U18" s="88" t="s">
        <v>500</v>
      </c>
      <c r="V18" s="453">
        <v>1</v>
      </c>
      <c r="W18" s="453">
        <v>1</v>
      </c>
      <c r="X18" s="453" t="s">
        <v>340</v>
      </c>
      <c r="Y18" s="453" t="s">
        <v>340</v>
      </c>
      <c r="Z18" s="146" t="s">
        <v>340</v>
      </c>
      <c r="AA18" s="146">
        <v>2</v>
      </c>
      <c r="AB18" s="146">
        <v>1</v>
      </c>
      <c r="AC18" s="453">
        <v>3</v>
      </c>
      <c r="AD18" s="453">
        <v>2</v>
      </c>
      <c r="AE18" s="453">
        <v>1</v>
      </c>
      <c r="AF18" s="453" t="b">
        <v>1</v>
      </c>
      <c r="AG18" s="453">
        <f t="shared" si="3"/>
        <v>3</v>
      </c>
      <c r="AH18" s="453">
        <f t="shared" si="4"/>
        <v>2</v>
      </c>
      <c r="AI18" s="138">
        <f>IF(NOT(OR(Z18=1,Z18=2)),IF(AQ18&gt;0,$AR$44*AQ18/SUMIF($AQ$8:$AQ$39,"&gt;0"),IF(AU18&gt;0,$AV$44*AU18/SUMIF($AU$8:$AU$39,"&gt;0"),IF(AS18&gt;0,$AT$44*AS18/SUMIF($AS$8:$AS$39,"&gt;0"),""))),IF(SUMIF(AJ19:$AJ$39,"=" &amp; AJ18,AI19:$AI$39)=0,"",SUMIF(AJ19:$AJ$39,"=" &amp; AJ18,AI19:$AI$39)))</f>
        <v>4.1860465116279069E-2</v>
      </c>
      <c r="AJ18" s="139">
        <f t="shared" si="34"/>
        <v>2</v>
      </c>
      <c r="AK18" s="453">
        <f t="shared" si="27"/>
        <v>2</v>
      </c>
      <c r="AL18" s="146" t="str">
        <f t="shared" si="28"/>
        <v/>
      </c>
      <c r="AM18" s="146" t="str">
        <f t="shared" si="35"/>
        <v/>
      </c>
      <c r="AN18" s="146" t="str">
        <f t="shared" si="5"/>
        <v/>
      </c>
      <c r="AO18" s="146" t="str">
        <f t="shared" si="6"/>
        <v/>
      </c>
      <c r="AP18" s="453" t="b">
        <f t="shared" si="7"/>
        <v>1</v>
      </c>
      <c r="AQ18" s="140">
        <f t="shared" si="29"/>
        <v>1</v>
      </c>
      <c r="AR18" s="141" t="str">
        <f t="shared" si="8"/>
        <v/>
      </c>
      <c r="AS18" s="142">
        <f t="shared" si="30"/>
        <v>0</v>
      </c>
      <c r="AT18" s="141" t="str">
        <f t="shared" si="9"/>
        <v/>
      </c>
      <c r="AU18" s="143">
        <f t="shared" si="10"/>
        <v>0</v>
      </c>
      <c r="AV18" s="144" t="str">
        <f t="shared" si="11"/>
        <v/>
      </c>
      <c r="AW18" s="143" t="b">
        <f t="shared" si="12"/>
        <v>0</v>
      </c>
      <c r="AX18" s="145" t="b">
        <f t="shared" si="13"/>
        <v>1</v>
      </c>
      <c r="AY18" s="143" t="b">
        <f t="shared" si="14"/>
        <v>0</v>
      </c>
      <c r="AZ18" s="145" t="b">
        <f t="shared" si="15"/>
        <v>0</v>
      </c>
      <c r="BA18" s="453" t="b">
        <f t="shared" si="16"/>
        <v>0</v>
      </c>
      <c r="BB18" s="453" t="b">
        <f t="shared" si="17"/>
        <v>0</v>
      </c>
      <c r="BC18" s="143" t="b">
        <f t="shared" si="18"/>
        <v>0</v>
      </c>
      <c r="BD18" s="146" t="b">
        <f t="shared" si="31"/>
        <v>0</v>
      </c>
      <c r="BE18" s="145" t="b">
        <f t="shared" si="19"/>
        <v>0</v>
      </c>
      <c r="BF18" s="147" t="b">
        <f t="shared" si="20"/>
        <v>0</v>
      </c>
      <c r="BG18" s="453" t="b">
        <f t="shared" si="21"/>
        <v>1</v>
      </c>
      <c r="BH18" s="453">
        <f t="shared" si="32"/>
        <v>1</v>
      </c>
      <c r="BI18" s="453">
        <f t="shared" si="22"/>
        <v>2</v>
      </c>
      <c r="BJ18" s="453" t="str">
        <f t="shared" si="23"/>
        <v>2*</v>
      </c>
      <c r="BK18" s="453">
        <f t="shared" si="24"/>
        <v>3</v>
      </c>
      <c r="BL18" s="148">
        <f t="shared" si="33"/>
        <v>1</v>
      </c>
      <c r="BM18" s="453">
        <f t="shared" si="25"/>
        <v>2</v>
      </c>
      <c r="BN18" s="453">
        <f t="shared" si="26"/>
        <v>3</v>
      </c>
      <c r="BO18" s="300"/>
      <c r="BP18" s="160" t="s">
        <v>355</v>
      </c>
      <c r="BQ18" s="161"/>
      <c r="BR18" s="161"/>
      <c r="BS18" s="161"/>
      <c r="BT18" s="161"/>
      <c r="BU18" s="161"/>
    </row>
    <row r="19" spans="2:73" s="94" customFormat="1" ht="12.95" customHeight="1" x14ac:dyDescent="0.2">
      <c r="B19" s="151">
        <f>IF(ISNA(Z19),"",IF(OR(Z19=1,Z19=2),"    ",MAX($B$8:B18)+1))</f>
        <v>9</v>
      </c>
      <c r="C19" s="904" t="str">
        <f t="shared" si="0"/>
        <v xml:space="preserve">      - Teamwork (4.2%)</v>
      </c>
      <c r="D19" s="904"/>
      <c r="E19" s="904"/>
      <c r="F19" s="905"/>
      <c r="G19" s="133">
        <f t="shared" si="1"/>
        <v>1</v>
      </c>
      <c r="H19" s="134" t="str">
        <f t="shared" si="2"/>
        <v>2*</v>
      </c>
      <c r="I19" s="152">
        <f t="shared" si="2"/>
        <v>3</v>
      </c>
      <c r="J19" s="157"/>
      <c r="K19" s="154"/>
      <c r="L19" s="1015"/>
      <c r="M19" s="1016"/>
      <c r="N19" s="1016"/>
      <c r="O19" s="1016"/>
      <c r="P19" s="1016"/>
      <c r="Q19" s="1016"/>
      <c r="R19" s="1017"/>
      <c r="T19" s="99">
        <v>12</v>
      </c>
      <c r="U19" s="88" t="s">
        <v>501</v>
      </c>
      <c r="V19" s="453">
        <v>1</v>
      </c>
      <c r="W19" s="453">
        <v>1</v>
      </c>
      <c r="X19" s="453" t="s">
        <v>340</v>
      </c>
      <c r="Y19" s="453" t="s">
        <v>340</v>
      </c>
      <c r="Z19" s="146" t="s">
        <v>340</v>
      </c>
      <c r="AA19" s="146">
        <v>2</v>
      </c>
      <c r="AB19" s="146">
        <v>1</v>
      </c>
      <c r="AC19" s="453">
        <v>3</v>
      </c>
      <c r="AD19" s="453">
        <v>2</v>
      </c>
      <c r="AE19" s="453">
        <v>1</v>
      </c>
      <c r="AF19" s="453" t="b">
        <v>1</v>
      </c>
      <c r="AG19" s="453">
        <f t="shared" si="3"/>
        <v>3</v>
      </c>
      <c r="AH19" s="453">
        <f t="shared" si="4"/>
        <v>2</v>
      </c>
      <c r="AI19" s="138">
        <f>IF(NOT(OR(Z19=1,Z19=2)),IF(AQ19&gt;0,$AR$44*AQ19/SUMIF($AQ$8:$AQ$39,"&gt;0"),IF(AU19&gt;0,$AV$44*AU19/SUMIF($AU$8:$AU$39,"&gt;0"),IF(AS19&gt;0,$AT$44*AS19/SUMIF($AS$8:$AS$39,"&gt;0"),""))),IF(SUMIF(AJ20:$AJ$39,"=" &amp; AJ19,AI20:$AI$39)=0,"",SUMIF(AJ20:$AJ$39,"=" &amp; AJ19,AI20:$AI$39)))</f>
        <v>4.1860465116279069E-2</v>
      </c>
      <c r="AJ19" s="139">
        <f t="shared" si="34"/>
        <v>2</v>
      </c>
      <c r="AK19" s="453">
        <f t="shared" si="27"/>
        <v>2</v>
      </c>
      <c r="AL19" s="146" t="str">
        <f t="shared" si="28"/>
        <v/>
      </c>
      <c r="AM19" s="146" t="str">
        <f t="shared" si="35"/>
        <v/>
      </c>
      <c r="AN19" s="146" t="str">
        <f t="shared" si="5"/>
        <v/>
      </c>
      <c r="AO19" s="146" t="str">
        <f t="shared" si="6"/>
        <v/>
      </c>
      <c r="AP19" s="453" t="b">
        <f t="shared" si="7"/>
        <v>1</v>
      </c>
      <c r="AQ19" s="140">
        <f t="shared" si="29"/>
        <v>1</v>
      </c>
      <c r="AR19" s="141" t="str">
        <f t="shared" si="8"/>
        <v/>
      </c>
      <c r="AS19" s="142">
        <f t="shared" si="30"/>
        <v>0</v>
      </c>
      <c r="AT19" s="141" t="str">
        <f t="shared" si="9"/>
        <v/>
      </c>
      <c r="AU19" s="143">
        <f t="shared" si="10"/>
        <v>0</v>
      </c>
      <c r="AV19" s="144" t="str">
        <f t="shared" si="11"/>
        <v/>
      </c>
      <c r="AW19" s="143" t="b">
        <f t="shared" si="12"/>
        <v>0</v>
      </c>
      <c r="AX19" s="145" t="b">
        <f t="shared" si="13"/>
        <v>1</v>
      </c>
      <c r="AY19" s="143" t="b">
        <f t="shared" si="14"/>
        <v>0</v>
      </c>
      <c r="AZ19" s="145" t="b">
        <f t="shared" si="15"/>
        <v>0</v>
      </c>
      <c r="BA19" s="453" t="b">
        <f t="shared" si="16"/>
        <v>0</v>
      </c>
      <c r="BB19" s="453" t="b">
        <f t="shared" si="17"/>
        <v>0</v>
      </c>
      <c r="BC19" s="143" t="b">
        <f t="shared" si="18"/>
        <v>0</v>
      </c>
      <c r="BD19" s="146" t="b">
        <f t="shared" si="31"/>
        <v>0</v>
      </c>
      <c r="BE19" s="145" t="b">
        <f t="shared" si="19"/>
        <v>0</v>
      </c>
      <c r="BF19" s="147" t="b">
        <f t="shared" si="20"/>
        <v>0</v>
      </c>
      <c r="BG19" s="453" t="b">
        <f t="shared" si="21"/>
        <v>1</v>
      </c>
      <c r="BH19" s="453">
        <f t="shared" si="32"/>
        <v>1</v>
      </c>
      <c r="BI19" s="453">
        <f t="shared" si="22"/>
        <v>2</v>
      </c>
      <c r="BJ19" s="453" t="str">
        <f t="shared" si="23"/>
        <v>2*</v>
      </c>
      <c r="BK19" s="453">
        <f t="shared" si="24"/>
        <v>3</v>
      </c>
      <c r="BL19" s="148">
        <f t="shared" si="33"/>
        <v>1</v>
      </c>
      <c r="BM19" s="453">
        <f t="shared" si="25"/>
        <v>2</v>
      </c>
      <c r="BN19" s="453">
        <f t="shared" si="26"/>
        <v>3</v>
      </c>
      <c r="BO19" s="300"/>
      <c r="BP19" s="150"/>
      <c r="BQ19" s="935" t="s">
        <v>356</v>
      </c>
      <c r="BR19" s="935"/>
      <c r="BS19" s="935"/>
      <c r="BT19" s="935"/>
      <c r="BU19" s="935"/>
    </row>
    <row r="20" spans="2:73" s="94" customFormat="1" ht="12.95" customHeight="1" x14ac:dyDescent="0.2">
      <c r="B20" s="151" t="str">
        <f>IF(ISNA(Z20),"",IF(OR(Z20=1,Z20=2),"    ",MAX($B$8:B19)+1))</f>
        <v xml:space="preserve">    </v>
      </c>
      <c r="C20" s="904" t="str">
        <f t="shared" si="0"/>
        <v>Test Techniques (39.8%)</v>
      </c>
      <c r="D20" s="904"/>
      <c r="E20" s="904"/>
      <c r="F20" s="905"/>
      <c r="G20" s="133" t="str">
        <f t="shared" si="1"/>
        <v/>
      </c>
      <c r="H20" s="134" t="str">
        <f t="shared" si="2"/>
        <v/>
      </c>
      <c r="I20" s="152" t="str">
        <f t="shared" si="2"/>
        <v/>
      </c>
      <c r="J20" s="158"/>
      <c r="K20" s="159"/>
      <c r="L20" s="1015"/>
      <c r="M20" s="1016"/>
      <c r="N20" s="1016"/>
      <c r="O20" s="1016"/>
      <c r="P20" s="1016"/>
      <c r="Q20" s="1016"/>
      <c r="R20" s="1017"/>
      <c r="T20" s="99">
        <v>13</v>
      </c>
      <c r="U20" s="88" t="s">
        <v>677</v>
      </c>
      <c r="V20" s="453" t="s">
        <v>340</v>
      </c>
      <c r="W20" s="453" t="s">
        <v>340</v>
      </c>
      <c r="X20" s="453" t="s">
        <v>340</v>
      </c>
      <c r="Y20" s="453" t="s">
        <v>340</v>
      </c>
      <c r="Z20" s="146">
        <v>2</v>
      </c>
      <c r="AA20" s="146">
        <v>1</v>
      </c>
      <c r="AB20" s="146">
        <v>1</v>
      </c>
      <c r="AC20" s="453" t="s">
        <v>340</v>
      </c>
      <c r="AD20" s="453" t="s">
        <v>340</v>
      </c>
      <c r="AE20" s="453" t="s">
        <v>340</v>
      </c>
      <c r="AF20" s="453" t="s">
        <v>340</v>
      </c>
      <c r="AG20" s="453" t="str">
        <f t="shared" si="3"/>
        <v/>
      </c>
      <c r="AH20" s="453" t="str">
        <f t="shared" si="4"/>
        <v/>
      </c>
      <c r="AI20" s="138">
        <f>IF(NOT(OR(Z20=1,Z20=2)),IF(AQ20&gt;0,$AR$44*AQ20/SUMIF($AQ$8:$AQ$39,"&gt;0"),IF(AU20&gt;0,$AV$44*AU20/SUMIF($AU$8:$AU$39,"&gt;0"),IF(AS20&gt;0,$AT$44*AS20/SUMIF($AS$8:$AS$39,"&gt;0"),""))),IF(SUMIF(AJ21:$AJ$39,"=" &amp; AJ20,AI21:$AI$39)=0,"",SUMIF(AJ21:$AJ$39,"=" &amp; AJ20,AI21:$AI$39)))</f>
        <v>0.39767441860465114</v>
      </c>
      <c r="AJ20" s="139">
        <f t="shared" si="34"/>
        <v>3</v>
      </c>
      <c r="AK20" s="453" t="str">
        <f t="shared" si="27"/>
        <v/>
      </c>
      <c r="AL20" s="146" t="str">
        <f t="shared" si="28"/>
        <v/>
      </c>
      <c r="AM20" s="146" t="str">
        <f t="shared" si="35"/>
        <v/>
      </c>
      <c r="AN20" s="146" t="str">
        <f t="shared" si="5"/>
        <v/>
      </c>
      <c r="AO20" s="146" t="str">
        <f t="shared" si="6"/>
        <v/>
      </c>
      <c r="AP20" s="453" t="str">
        <f t="shared" si="7"/>
        <v/>
      </c>
      <c r="AQ20" s="140">
        <f t="shared" si="29"/>
        <v>0</v>
      </c>
      <c r="AR20" s="141" t="str">
        <f t="shared" si="8"/>
        <v/>
      </c>
      <c r="AS20" s="142">
        <f t="shared" si="30"/>
        <v>0</v>
      </c>
      <c r="AT20" s="141" t="str">
        <f t="shared" si="9"/>
        <v/>
      </c>
      <c r="AU20" s="143">
        <f t="shared" si="10"/>
        <v>0</v>
      </c>
      <c r="AV20" s="144" t="str">
        <f t="shared" si="11"/>
        <v/>
      </c>
      <c r="AW20" s="143" t="b">
        <f t="shared" si="12"/>
        <v>0</v>
      </c>
      <c r="AX20" s="145" t="b">
        <f t="shared" si="13"/>
        <v>0</v>
      </c>
      <c r="AY20" s="143" t="b">
        <f t="shared" si="14"/>
        <v>0</v>
      </c>
      <c r="AZ20" s="145" t="b">
        <f t="shared" si="15"/>
        <v>0</v>
      </c>
      <c r="BA20" s="453" t="b">
        <f t="shared" si="16"/>
        <v>0</v>
      </c>
      <c r="BB20" s="453" t="b">
        <f t="shared" si="17"/>
        <v>0</v>
      </c>
      <c r="BC20" s="143" t="b">
        <f t="shared" si="18"/>
        <v>0</v>
      </c>
      <c r="BD20" s="146" t="b">
        <f t="shared" si="31"/>
        <v>0</v>
      </c>
      <c r="BE20" s="145" t="b">
        <f t="shared" si="19"/>
        <v>0</v>
      </c>
      <c r="BF20" s="147" t="b">
        <f t="shared" si="20"/>
        <v>0</v>
      </c>
      <c r="BG20" s="453" t="b">
        <f t="shared" si="21"/>
        <v>0</v>
      </c>
      <c r="BH20" s="453" t="str">
        <f t="shared" si="32"/>
        <v/>
      </c>
      <c r="BI20" s="453" t="str">
        <f t="shared" si="22"/>
        <v/>
      </c>
      <c r="BJ20" s="453" t="str">
        <f t="shared" si="23"/>
        <v/>
      </c>
      <c r="BK20" s="453" t="str">
        <f t="shared" si="24"/>
        <v/>
      </c>
      <c r="BL20" s="148" t="str">
        <f t="shared" si="33"/>
        <v/>
      </c>
      <c r="BM20" s="453" t="str">
        <f t="shared" si="25"/>
        <v/>
      </c>
      <c r="BN20" s="453" t="str">
        <f t="shared" si="26"/>
        <v/>
      </c>
      <c r="BO20" s="300"/>
      <c r="BP20" s="300"/>
      <c r="BQ20" s="300">
        <v>0</v>
      </c>
      <c r="BR20" s="300">
        <v>1</v>
      </c>
      <c r="BS20" s="300">
        <v>2</v>
      </c>
      <c r="BT20" s="300">
        <v>3</v>
      </c>
      <c r="BU20" s="300">
        <v>4</v>
      </c>
    </row>
    <row r="21" spans="2:73" s="94" customFormat="1" ht="12.95" customHeight="1" x14ac:dyDescent="0.2">
      <c r="B21" s="151">
        <f>IF(ISNA(Z21),"",IF(OR(Z21=1,Z21=2),"    ",MAX($B$8:B20)+1))</f>
        <v>10</v>
      </c>
      <c r="C21" s="904" t="str">
        <f t="shared" si="0"/>
        <v xml:space="preserve">      - Rap (Effective Time Delay) (4.2%)</v>
      </c>
      <c r="D21" s="904"/>
      <c r="E21" s="904"/>
      <c r="F21" s="905"/>
      <c r="G21" s="133">
        <f t="shared" si="1"/>
        <v>1</v>
      </c>
      <c r="H21" s="134" t="str">
        <f t="shared" si="2"/>
        <v>2*</v>
      </c>
      <c r="I21" s="152">
        <f t="shared" si="2"/>
        <v>3</v>
      </c>
      <c r="J21" s="157"/>
      <c r="K21" s="154"/>
      <c r="L21" s="1015"/>
      <c r="M21" s="1016"/>
      <c r="N21" s="1016"/>
      <c r="O21" s="1016"/>
      <c r="P21" s="1016"/>
      <c r="Q21" s="1016"/>
      <c r="R21" s="1017"/>
      <c r="T21" s="99">
        <v>14</v>
      </c>
      <c r="U21" s="88" t="s">
        <v>678</v>
      </c>
      <c r="V21" s="453">
        <v>1</v>
      </c>
      <c r="W21" s="453">
        <v>1</v>
      </c>
      <c r="X21" s="453" t="s">
        <v>340</v>
      </c>
      <c r="Y21" s="453" t="s">
        <v>340</v>
      </c>
      <c r="Z21" s="146" t="s">
        <v>340</v>
      </c>
      <c r="AA21" s="146">
        <v>2</v>
      </c>
      <c r="AB21" s="146">
        <v>1</v>
      </c>
      <c r="AC21" s="453">
        <v>3</v>
      </c>
      <c r="AD21" s="453">
        <v>2</v>
      </c>
      <c r="AE21" s="453">
        <v>1</v>
      </c>
      <c r="AF21" s="453" t="b">
        <v>1</v>
      </c>
      <c r="AG21" s="453">
        <f t="shared" si="3"/>
        <v>3</v>
      </c>
      <c r="AH21" s="453">
        <f t="shared" si="4"/>
        <v>2</v>
      </c>
      <c r="AI21" s="138">
        <f>IF(NOT(OR(Z21=1,Z21=2)),IF(AQ21&gt;0,$AR$44*AQ21/SUMIF($AQ$8:$AQ$39,"&gt;0"),IF(AU21&gt;0,$AV$44*AU21/SUMIF($AU$8:$AU$39,"&gt;0"),IF(AS21&gt;0,$AT$44*AS21/SUMIF($AS$8:$AS$39,"&gt;0"),""))),IF(SUMIF(AJ22:$AJ$39,"=" &amp; AJ21,AI22:$AI$39)=0,"",SUMIF(AJ22:$AJ$39,"=" &amp; AJ21,AI22:$AI$39)))</f>
        <v>4.1860465116279069E-2</v>
      </c>
      <c r="AJ21" s="139">
        <f t="shared" si="34"/>
        <v>3</v>
      </c>
      <c r="AK21" s="453">
        <f t="shared" si="27"/>
        <v>2</v>
      </c>
      <c r="AL21" s="146" t="str">
        <f t="shared" si="28"/>
        <v/>
      </c>
      <c r="AM21" s="146" t="str">
        <f t="shared" si="35"/>
        <v/>
      </c>
      <c r="AN21" s="146" t="str">
        <f t="shared" si="5"/>
        <v/>
      </c>
      <c r="AO21" s="146" t="str">
        <f t="shared" si="6"/>
        <v/>
      </c>
      <c r="AP21" s="453" t="b">
        <f t="shared" si="7"/>
        <v>1</v>
      </c>
      <c r="AQ21" s="140">
        <f t="shared" si="29"/>
        <v>1</v>
      </c>
      <c r="AR21" s="141" t="str">
        <f t="shared" si="8"/>
        <v/>
      </c>
      <c r="AS21" s="142">
        <f t="shared" si="30"/>
        <v>0</v>
      </c>
      <c r="AT21" s="141" t="str">
        <f t="shared" si="9"/>
        <v/>
      </c>
      <c r="AU21" s="143">
        <f t="shared" si="10"/>
        <v>0</v>
      </c>
      <c r="AV21" s="144" t="str">
        <f t="shared" si="11"/>
        <v/>
      </c>
      <c r="AW21" s="143" t="b">
        <f t="shared" si="12"/>
        <v>0</v>
      </c>
      <c r="AX21" s="145" t="b">
        <f t="shared" si="13"/>
        <v>1</v>
      </c>
      <c r="AY21" s="143" t="b">
        <f t="shared" si="14"/>
        <v>0</v>
      </c>
      <c r="AZ21" s="145" t="b">
        <f t="shared" si="15"/>
        <v>0</v>
      </c>
      <c r="BA21" s="453" t="b">
        <f t="shared" si="16"/>
        <v>0</v>
      </c>
      <c r="BB21" s="453" t="b">
        <f t="shared" si="17"/>
        <v>0</v>
      </c>
      <c r="BC21" s="143" t="b">
        <f t="shared" si="18"/>
        <v>0</v>
      </c>
      <c r="BD21" s="146" t="b">
        <f t="shared" si="31"/>
        <v>0</v>
      </c>
      <c r="BE21" s="145" t="b">
        <f t="shared" si="19"/>
        <v>0</v>
      </c>
      <c r="BF21" s="147" t="b">
        <f t="shared" si="20"/>
        <v>0</v>
      </c>
      <c r="BG21" s="453" t="b">
        <f t="shared" si="21"/>
        <v>1</v>
      </c>
      <c r="BH21" s="453">
        <f t="shared" si="32"/>
        <v>1</v>
      </c>
      <c r="BI21" s="453">
        <f t="shared" si="22"/>
        <v>2</v>
      </c>
      <c r="BJ21" s="453" t="str">
        <f t="shared" si="23"/>
        <v>2*</v>
      </c>
      <c r="BK21" s="453">
        <f t="shared" si="24"/>
        <v>3</v>
      </c>
      <c r="BL21" s="148">
        <f t="shared" si="33"/>
        <v>1</v>
      </c>
      <c r="BM21" s="453">
        <f t="shared" si="25"/>
        <v>2</v>
      </c>
      <c r="BN21" s="453">
        <f t="shared" si="26"/>
        <v>3</v>
      </c>
      <c r="BO21" s="936" t="s">
        <v>358</v>
      </c>
      <c r="BP21" s="300" t="s">
        <v>359</v>
      </c>
      <c r="BQ21" s="162">
        <f t="shared" ref="BQ21:BU29" si="36">AR50</f>
        <v>0.7</v>
      </c>
      <c r="BR21" s="163">
        <f t="shared" si="36"/>
        <v>0.9</v>
      </c>
      <c r="BS21" s="163">
        <f t="shared" si="36"/>
        <v>0.93330000000000002</v>
      </c>
      <c r="BT21" s="163">
        <f t="shared" si="36"/>
        <v>0.9667</v>
      </c>
      <c r="BU21" s="164">
        <f t="shared" si="36"/>
        <v>1</v>
      </c>
    </row>
    <row r="22" spans="2:73" s="94" customFormat="1" ht="12.95" customHeight="1" x14ac:dyDescent="0.2">
      <c r="B22" s="151">
        <f>IF(ISNA(Z22),"",IF(OR(Z22=1,Z22=2),"    ",MAX($B$8:B21)+1))</f>
        <v>11</v>
      </c>
      <c r="C22" s="904" t="str">
        <f t="shared" si="0"/>
        <v xml:space="preserve">      - Step (Roll Mode) (8.4%)</v>
      </c>
      <c r="D22" s="904"/>
      <c r="E22" s="904"/>
      <c r="F22" s="905"/>
      <c r="G22" s="133">
        <f t="shared" si="1"/>
        <v>1</v>
      </c>
      <c r="H22" s="134" t="str">
        <f t="shared" si="2"/>
        <v>2*</v>
      </c>
      <c r="I22" s="152">
        <f t="shared" si="2"/>
        <v>3</v>
      </c>
      <c r="J22" s="157"/>
      <c r="K22" s="154"/>
      <c r="L22" s="1015"/>
      <c r="M22" s="1016"/>
      <c r="N22" s="1016"/>
      <c r="O22" s="1016"/>
      <c r="P22" s="1016"/>
      <c r="Q22" s="1016"/>
      <c r="R22" s="1017"/>
      <c r="T22" s="99">
        <v>15</v>
      </c>
      <c r="U22" s="88" t="s">
        <v>679</v>
      </c>
      <c r="V22" s="453">
        <v>1</v>
      </c>
      <c r="W22" s="453">
        <v>2</v>
      </c>
      <c r="X22" s="453" t="s">
        <v>340</v>
      </c>
      <c r="Y22" s="453" t="s">
        <v>340</v>
      </c>
      <c r="Z22" s="146" t="s">
        <v>340</v>
      </c>
      <c r="AA22" s="146">
        <v>2</v>
      </c>
      <c r="AB22" s="146">
        <v>1</v>
      </c>
      <c r="AC22" s="453">
        <v>3</v>
      </c>
      <c r="AD22" s="453">
        <v>2</v>
      </c>
      <c r="AE22" s="453">
        <v>1</v>
      </c>
      <c r="AF22" s="453" t="b">
        <v>1</v>
      </c>
      <c r="AG22" s="453">
        <f t="shared" si="3"/>
        <v>3</v>
      </c>
      <c r="AH22" s="453">
        <f t="shared" si="4"/>
        <v>2</v>
      </c>
      <c r="AI22" s="138">
        <f>IF(NOT(OR(Z22=1,Z22=2)),IF(AQ22&gt;0,$AR$44*AQ22/SUMIF($AQ$8:$AQ$39,"&gt;0"),IF(AU22&gt;0,$AV$44*AU22/SUMIF($AU$8:$AU$39,"&gt;0"),IF(AS22&gt;0,$AT$44*AS22/SUMIF($AS$8:$AS$39,"&gt;0"),""))),IF(SUMIF(AJ23:$AJ$39,"=" &amp; AJ22,AI23:$AI$39)=0,"",SUMIF(AJ23:$AJ$39,"=" &amp; AJ22,AI23:$AI$39)))</f>
        <v>8.3720930232558138E-2</v>
      </c>
      <c r="AJ22" s="139">
        <f t="shared" si="34"/>
        <v>3</v>
      </c>
      <c r="AK22" s="453">
        <f t="shared" si="27"/>
        <v>2</v>
      </c>
      <c r="AL22" s="146" t="str">
        <f t="shared" si="28"/>
        <v/>
      </c>
      <c r="AM22" s="146" t="str">
        <f t="shared" si="35"/>
        <v/>
      </c>
      <c r="AN22" s="146" t="str">
        <f t="shared" si="5"/>
        <v/>
      </c>
      <c r="AO22" s="146" t="str">
        <f t="shared" si="6"/>
        <v/>
      </c>
      <c r="AP22" s="453" t="b">
        <f t="shared" si="7"/>
        <v>1</v>
      </c>
      <c r="AQ22" s="140">
        <f t="shared" si="29"/>
        <v>2</v>
      </c>
      <c r="AR22" s="141" t="str">
        <f t="shared" si="8"/>
        <v/>
      </c>
      <c r="AS22" s="142">
        <f t="shared" si="30"/>
        <v>0</v>
      </c>
      <c r="AT22" s="141" t="str">
        <f t="shared" si="9"/>
        <v/>
      </c>
      <c r="AU22" s="143">
        <f t="shared" si="10"/>
        <v>0</v>
      </c>
      <c r="AV22" s="144" t="str">
        <f t="shared" si="11"/>
        <v/>
      </c>
      <c r="AW22" s="143" t="b">
        <f t="shared" si="12"/>
        <v>0</v>
      </c>
      <c r="AX22" s="145" t="b">
        <f t="shared" si="13"/>
        <v>1</v>
      </c>
      <c r="AY22" s="143" t="b">
        <f t="shared" si="14"/>
        <v>0</v>
      </c>
      <c r="AZ22" s="145" t="b">
        <f t="shared" si="15"/>
        <v>0</v>
      </c>
      <c r="BA22" s="453" t="b">
        <f t="shared" si="16"/>
        <v>0</v>
      </c>
      <c r="BB22" s="453" t="b">
        <f t="shared" si="17"/>
        <v>0</v>
      </c>
      <c r="BC22" s="143" t="b">
        <f t="shared" si="18"/>
        <v>0</v>
      </c>
      <c r="BD22" s="146" t="b">
        <f t="shared" si="31"/>
        <v>0</v>
      </c>
      <c r="BE22" s="145" t="b">
        <f>IF(OR(ISNA($Z22),K22&lt;&gt;"D"),FALSE,IF(OR(AND(H22="NG",J22=0),AND(H22&lt;&gt;"NG",NOT(OR(J22="NA",J22=0)))),TRUE,FALSE))</f>
        <v>0</v>
      </c>
      <c r="BF22" s="147" t="b">
        <f t="shared" si="20"/>
        <v>0</v>
      </c>
      <c r="BG22" s="453" t="b">
        <f>IF(ISNA($Z22),"NA",IF(OR(AZ22,AY22,AX22,AW22,AP22,BA22,BB22),TRUE,FALSE))</f>
        <v>1</v>
      </c>
      <c r="BH22" s="453">
        <f t="shared" si="32"/>
        <v>1</v>
      </c>
      <c r="BI22" s="453">
        <f t="shared" si="22"/>
        <v>2</v>
      </c>
      <c r="BJ22" s="453" t="str">
        <f t="shared" si="23"/>
        <v>2*</v>
      </c>
      <c r="BK22" s="453">
        <f t="shared" si="24"/>
        <v>3</v>
      </c>
      <c r="BL22" s="148">
        <f t="shared" si="33"/>
        <v>1</v>
      </c>
      <c r="BM22" s="453">
        <f t="shared" si="25"/>
        <v>2</v>
      </c>
      <c r="BN22" s="453">
        <f t="shared" si="26"/>
        <v>3</v>
      </c>
      <c r="BO22" s="936"/>
      <c r="BP22" s="300" t="s">
        <v>360</v>
      </c>
      <c r="BQ22" s="165">
        <f t="shared" si="36"/>
        <v>0.7</v>
      </c>
      <c r="BR22" s="166">
        <f t="shared" si="36"/>
        <v>0.8</v>
      </c>
      <c r="BS22" s="166">
        <f t="shared" si="36"/>
        <v>0.9</v>
      </c>
      <c r="BT22" s="166">
        <f t="shared" si="36"/>
        <v>0.95</v>
      </c>
      <c r="BU22" s="167">
        <f t="shared" si="36"/>
        <v>1</v>
      </c>
    </row>
    <row r="23" spans="2:73" s="94" customFormat="1" ht="12.95" customHeight="1" x14ac:dyDescent="0.2">
      <c r="B23" s="151">
        <f>IF(ISNA(Z23),"",IF(OR(Z23=1,Z23=2),"    ",MAX($B$8:B22)+1))</f>
        <v>12</v>
      </c>
      <c r="C23" s="904" t="str">
        <f t="shared" si="0"/>
        <v xml:space="preserve">      - Doublet (Short Period and Dutch Roll) (8.4%)</v>
      </c>
      <c r="D23" s="904"/>
      <c r="E23" s="904"/>
      <c r="F23" s="905"/>
      <c r="G23" s="133">
        <f t="shared" si="1"/>
        <v>1</v>
      </c>
      <c r="H23" s="134" t="str">
        <f t="shared" si="2"/>
        <v>2*</v>
      </c>
      <c r="I23" s="152">
        <f t="shared" si="2"/>
        <v>3</v>
      </c>
      <c r="J23" s="157"/>
      <c r="K23" s="154"/>
      <c r="L23" s="1015"/>
      <c r="M23" s="1016"/>
      <c r="N23" s="1016"/>
      <c r="O23" s="1016"/>
      <c r="P23" s="1016"/>
      <c r="Q23" s="1016"/>
      <c r="R23" s="1017"/>
      <c r="T23" s="99">
        <v>16</v>
      </c>
      <c r="U23" s="88" t="s">
        <v>680</v>
      </c>
      <c r="V23" s="453">
        <v>1</v>
      </c>
      <c r="W23" s="453">
        <v>2</v>
      </c>
      <c r="X23" s="453" t="s">
        <v>340</v>
      </c>
      <c r="Y23" s="453" t="s">
        <v>340</v>
      </c>
      <c r="Z23" s="146" t="s">
        <v>340</v>
      </c>
      <c r="AA23" s="146">
        <v>2</v>
      </c>
      <c r="AB23" s="146">
        <v>1</v>
      </c>
      <c r="AC23" s="453">
        <v>3</v>
      </c>
      <c r="AD23" s="453">
        <v>2</v>
      </c>
      <c r="AE23" s="453">
        <v>1</v>
      </c>
      <c r="AF23" s="453" t="b">
        <v>1</v>
      </c>
      <c r="AG23" s="453">
        <f t="shared" si="3"/>
        <v>3</v>
      </c>
      <c r="AH23" s="453">
        <f t="shared" si="4"/>
        <v>2</v>
      </c>
      <c r="AI23" s="138">
        <f>IF(NOT(OR(Z23=1,Z23=2)),IF(AQ23&gt;0,$AR$44*AQ23/SUMIF($AQ$8:$AQ$39,"&gt;0"),IF(AU23&gt;0,$AV$44*AU23/SUMIF($AU$8:$AU$39,"&gt;0"),IF(AS23&gt;0,$AT$44*AS23/SUMIF($AS$8:$AS$39,"&gt;0"),""))),IF(SUMIF(AJ24:$AJ$39,"=" &amp; AJ23,AI24:$AI$39)=0,"",SUMIF(AJ24:$AJ$39,"=" &amp; AJ23,AI24:$AI$39)))</f>
        <v>8.3720930232558138E-2</v>
      </c>
      <c r="AJ23" s="139">
        <f t="shared" si="34"/>
        <v>3</v>
      </c>
      <c r="AK23" s="453">
        <f t="shared" si="27"/>
        <v>2</v>
      </c>
      <c r="AL23" s="146" t="str">
        <f t="shared" si="28"/>
        <v/>
      </c>
      <c r="AM23" s="146" t="str">
        <f t="shared" si="35"/>
        <v/>
      </c>
      <c r="AN23" s="146" t="str">
        <f t="shared" si="5"/>
        <v/>
      </c>
      <c r="AO23" s="146" t="str">
        <f t="shared" si="6"/>
        <v/>
      </c>
      <c r="AP23" s="453" t="b">
        <f t="shared" si="7"/>
        <v>1</v>
      </c>
      <c r="AQ23" s="140">
        <f t="shared" si="29"/>
        <v>2</v>
      </c>
      <c r="AR23" s="141" t="str">
        <f t="shared" si="8"/>
        <v/>
      </c>
      <c r="AS23" s="142">
        <f t="shared" si="30"/>
        <v>0</v>
      </c>
      <c r="AT23" s="141" t="str">
        <f t="shared" si="9"/>
        <v/>
      </c>
      <c r="AU23" s="143">
        <f t="shared" si="10"/>
        <v>0</v>
      </c>
      <c r="AV23" s="144" t="str">
        <f t="shared" si="11"/>
        <v/>
      </c>
      <c r="AW23" s="143" t="b">
        <f t="shared" si="12"/>
        <v>0</v>
      </c>
      <c r="AX23" s="145" t="b">
        <f t="shared" si="13"/>
        <v>1</v>
      </c>
      <c r="AY23" s="143" t="b">
        <f t="shared" si="14"/>
        <v>0</v>
      </c>
      <c r="AZ23" s="145" t="b">
        <f t="shared" si="15"/>
        <v>0</v>
      </c>
      <c r="BA23" s="453" t="b">
        <f t="shared" si="16"/>
        <v>0</v>
      </c>
      <c r="BB23" s="453" t="b">
        <f t="shared" si="17"/>
        <v>0</v>
      </c>
      <c r="BC23" s="143" t="b">
        <f t="shared" si="18"/>
        <v>0</v>
      </c>
      <c r="BD23" s="146" t="b">
        <f t="shared" si="31"/>
        <v>0</v>
      </c>
      <c r="BE23" s="145" t="b">
        <f t="shared" ref="BE23:BE39" si="37">IF(OR(ISNA($Z23),K23&lt;&gt;"D"),FALSE,IF(OR(AND(H23="NG",J23=0),AND(H23&lt;&gt;"NG",NOT(OR(J23="NA",J23=0)))),TRUE,FALSE))</f>
        <v>0</v>
      </c>
      <c r="BF23" s="147" t="b">
        <f t="shared" si="20"/>
        <v>0</v>
      </c>
      <c r="BG23" s="453" t="b">
        <f t="shared" ref="BG23:BG39" si="38">IF(ISNA($Z23),"NA",IF(OR(AZ23,AY23,AX23,AW23,AP23,BA23,BB23),TRUE,FALSE))</f>
        <v>1</v>
      </c>
      <c r="BH23" s="453">
        <f t="shared" si="32"/>
        <v>1</v>
      </c>
      <c r="BI23" s="453">
        <f t="shared" si="22"/>
        <v>2</v>
      </c>
      <c r="BJ23" s="453" t="str">
        <f t="shared" si="23"/>
        <v>2*</v>
      </c>
      <c r="BK23" s="453">
        <f t="shared" si="24"/>
        <v>3</v>
      </c>
      <c r="BL23" s="148">
        <f t="shared" si="33"/>
        <v>1</v>
      </c>
      <c r="BM23" s="453">
        <f t="shared" si="25"/>
        <v>2</v>
      </c>
      <c r="BN23" s="453">
        <f t="shared" si="26"/>
        <v>3</v>
      </c>
      <c r="BO23" s="936"/>
      <c r="BP23" s="300" t="s">
        <v>361</v>
      </c>
      <c r="BQ23" s="165">
        <f t="shared" si="36"/>
        <v>0.7</v>
      </c>
      <c r="BR23" s="166">
        <f t="shared" si="36"/>
        <v>0.76670000000000005</v>
      </c>
      <c r="BS23" s="166">
        <f t="shared" si="36"/>
        <v>0.83330000000000004</v>
      </c>
      <c r="BT23" s="166">
        <f t="shared" si="36"/>
        <v>0.9</v>
      </c>
      <c r="BU23" s="167">
        <f t="shared" si="36"/>
        <v>1</v>
      </c>
    </row>
    <row r="24" spans="2:73" s="94" customFormat="1" ht="12.95" customHeight="1" x14ac:dyDescent="0.2">
      <c r="B24" s="151">
        <f>IF(ISNA(Z24),"",IF(OR(Z24=1,Z24=2),"    ",MAX($B$8:B23)+1))</f>
        <v>13</v>
      </c>
      <c r="C24" s="904" t="str">
        <f t="shared" si="0"/>
        <v xml:space="preserve">      - Pitch Frequency Sweep (2.1%)</v>
      </c>
      <c r="D24" s="904"/>
      <c r="E24" s="904"/>
      <c r="F24" s="905"/>
      <c r="G24" s="133">
        <f t="shared" si="1"/>
        <v>1</v>
      </c>
      <c r="H24" s="134" t="str">
        <f t="shared" si="2"/>
        <v>2*</v>
      </c>
      <c r="I24" s="152">
        <f t="shared" si="2"/>
        <v>3</v>
      </c>
      <c r="J24" s="157"/>
      <c r="K24" s="154"/>
      <c r="L24" s="1015"/>
      <c r="M24" s="1016"/>
      <c r="N24" s="1016"/>
      <c r="O24" s="1016"/>
      <c r="P24" s="1016"/>
      <c r="Q24" s="1016"/>
      <c r="R24" s="1017"/>
      <c r="T24" s="99">
        <v>17</v>
      </c>
      <c r="U24" s="88" t="s">
        <v>681</v>
      </c>
      <c r="V24" s="453">
        <v>1</v>
      </c>
      <c r="W24" s="453">
        <v>0.5</v>
      </c>
      <c r="X24" s="453" t="s">
        <v>340</v>
      </c>
      <c r="Y24" s="453" t="s">
        <v>340</v>
      </c>
      <c r="Z24" s="146" t="s">
        <v>340</v>
      </c>
      <c r="AA24" s="146">
        <v>2</v>
      </c>
      <c r="AB24" s="146">
        <v>1</v>
      </c>
      <c r="AC24" s="453">
        <v>3</v>
      </c>
      <c r="AD24" s="453">
        <v>2</v>
      </c>
      <c r="AE24" s="453">
        <v>1</v>
      </c>
      <c r="AF24" s="453" t="b">
        <v>1</v>
      </c>
      <c r="AG24" s="453">
        <f t="shared" si="3"/>
        <v>3</v>
      </c>
      <c r="AH24" s="453">
        <f t="shared" si="4"/>
        <v>2</v>
      </c>
      <c r="AI24" s="138">
        <f>IF(NOT(OR(Z24=1,Z24=2)),IF(AQ24&gt;0,$AR$44*AQ24/SUMIF($AQ$8:$AQ$39,"&gt;0"),IF(AU24&gt;0,$AV$44*AU24/SUMIF($AU$8:$AU$39,"&gt;0"),IF(AS24&gt;0,$AT$44*AS24/SUMIF($AS$8:$AS$39,"&gt;0"),""))),IF(SUMIF(AJ25:$AJ$39,"=" &amp; AJ24,AI25:$AI$39)=0,"",SUMIF(AJ25:$AJ$39,"=" &amp; AJ24,AI25:$AI$39)))</f>
        <v>2.0930232558139535E-2</v>
      </c>
      <c r="AJ24" s="139">
        <f t="shared" si="34"/>
        <v>3</v>
      </c>
      <c r="AK24" s="453">
        <f t="shared" si="27"/>
        <v>2</v>
      </c>
      <c r="AL24" s="146" t="str">
        <f t="shared" si="28"/>
        <v/>
      </c>
      <c r="AM24" s="146" t="str">
        <f t="shared" si="35"/>
        <v/>
      </c>
      <c r="AN24" s="146" t="str">
        <f t="shared" si="5"/>
        <v/>
      </c>
      <c r="AO24" s="146" t="str">
        <f t="shared" si="6"/>
        <v/>
      </c>
      <c r="AP24" s="453" t="b">
        <f t="shared" si="7"/>
        <v>1</v>
      </c>
      <c r="AQ24" s="140">
        <f t="shared" si="29"/>
        <v>0.5</v>
      </c>
      <c r="AR24" s="141" t="str">
        <f t="shared" si="8"/>
        <v/>
      </c>
      <c r="AS24" s="142">
        <f t="shared" si="30"/>
        <v>0</v>
      </c>
      <c r="AT24" s="141" t="str">
        <f t="shared" si="9"/>
        <v/>
      </c>
      <c r="AU24" s="143">
        <f t="shared" si="10"/>
        <v>0</v>
      </c>
      <c r="AV24" s="144" t="str">
        <f t="shared" si="11"/>
        <v/>
      </c>
      <c r="AW24" s="143" t="b">
        <f t="shared" si="12"/>
        <v>0</v>
      </c>
      <c r="AX24" s="145" t="b">
        <f t="shared" si="13"/>
        <v>1</v>
      </c>
      <c r="AY24" s="143" t="b">
        <f t="shared" si="14"/>
        <v>0</v>
      </c>
      <c r="AZ24" s="145" t="b">
        <f t="shared" si="15"/>
        <v>0</v>
      </c>
      <c r="BA24" s="453" t="b">
        <f t="shared" si="16"/>
        <v>0</v>
      </c>
      <c r="BB24" s="453" t="b">
        <f t="shared" si="17"/>
        <v>0</v>
      </c>
      <c r="BC24" s="143" t="b">
        <f t="shared" si="18"/>
        <v>0</v>
      </c>
      <c r="BD24" s="146" t="b">
        <f t="shared" si="31"/>
        <v>0</v>
      </c>
      <c r="BE24" s="145" t="b">
        <f t="shared" si="37"/>
        <v>0</v>
      </c>
      <c r="BF24" s="147" t="b">
        <f t="shared" si="20"/>
        <v>0</v>
      </c>
      <c r="BG24" s="453" t="b">
        <f t="shared" si="38"/>
        <v>1</v>
      </c>
      <c r="BH24" s="453">
        <f t="shared" si="32"/>
        <v>1</v>
      </c>
      <c r="BI24" s="453">
        <f t="shared" si="22"/>
        <v>2</v>
      </c>
      <c r="BJ24" s="453" t="str">
        <f t="shared" si="23"/>
        <v>2*</v>
      </c>
      <c r="BK24" s="453">
        <f t="shared" si="24"/>
        <v>3</v>
      </c>
      <c r="BL24" s="148">
        <f t="shared" si="33"/>
        <v>1</v>
      </c>
      <c r="BM24" s="453">
        <f t="shared" si="25"/>
        <v>2</v>
      </c>
      <c r="BN24" s="453">
        <f t="shared" si="26"/>
        <v>3</v>
      </c>
      <c r="BO24" s="936"/>
      <c r="BP24" s="300" t="s">
        <v>362</v>
      </c>
      <c r="BQ24" s="165">
        <f t="shared" si="36"/>
        <v>0.6</v>
      </c>
      <c r="BR24" s="166">
        <f t="shared" si="36"/>
        <v>0.9</v>
      </c>
      <c r="BS24" s="166">
        <f t="shared" si="36"/>
        <v>0.93330000000000002</v>
      </c>
      <c r="BT24" s="166">
        <f t="shared" si="36"/>
        <v>0.9667</v>
      </c>
      <c r="BU24" s="167">
        <f t="shared" si="36"/>
        <v>1</v>
      </c>
    </row>
    <row r="25" spans="2:73" s="94" customFormat="1" ht="12.95" customHeight="1" x14ac:dyDescent="0.2">
      <c r="B25" s="151">
        <f>IF(ISNA(Z25),"",IF(OR(Z25=1,Z25=2),"    ",MAX($B$8:B24)+1))</f>
        <v>14</v>
      </c>
      <c r="C25" s="904" t="str">
        <f t="shared" si="0"/>
        <v xml:space="preserve">      - Step (Spiral Mode) (6.3%)</v>
      </c>
      <c r="D25" s="904"/>
      <c r="E25" s="904"/>
      <c r="F25" s="905"/>
      <c r="G25" s="133">
        <f t="shared" si="1"/>
        <v>1</v>
      </c>
      <c r="H25" s="134" t="str">
        <f t="shared" si="2"/>
        <v>2*</v>
      </c>
      <c r="I25" s="152">
        <f t="shared" si="2"/>
        <v>3</v>
      </c>
      <c r="J25" s="157"/>
      <c r="K25" s="154"/>
      <c r="L25" s="1015"/>
      <c r="M25" s="1016"/>
      <c r="N25" s="1016"/>
      <c r="O25" s="1016"/>
      <c r="P25" s="1016"/>
      <c r="Q25" s="1016"/>
      <c r="R25" s="1017"/>
      <c r="T25" s="99">
        <v>18</v>
      </c>
      <c r="U25" s="88" t="s">
        <v>682</v>
      </c>
      <c r="V25" s="453">
        <v>1</v>
      </c>
      <c r="W25" s="453">
        <v>1.5</v>
      </c>
      <c r="X25" s="453" t="s">
        <v>340</v>
      </c>
      <c r="Y25" s="453" t="s">
        <v>340</v>
      </c>
      <c r="Z25" s="146" t="s">
        <v>340</v>
      </c>
      <c r="AA25" s="146">
        <v>2</v>
      </c>
      <c r="AB25" s="146">
        <v>1</v>
      </c>
      <c r="AC25" s="453">
        <v>3</v>
      </c>
      <c r="AD25" s="453">
        <v>2</v>
      </c>
      <c r="AE25" s="453">
        <v>1</v>
      </c>
      <c r="AF25" s="453" t="b">
        <v>1</v>
      </c>
      <c r="AG25" s="453">
        <f t="shared" si="3"/>
        <v>3</v>
      </c>
      <c r="AH25" s="453">
        <f t="shared" si="4"/>
        <v>2</v>
      </c>
      <c r="AI25" s="138">
        <f>IF(NOT(OR(Z25=1,Z25=2)),IF(AQ25&gt;0,$AR$44*AQ25/SUMIF($AQ$8:$AQ$39,"&gt;0"),IF(AU25&gt;0,$AV$44*AU25/SUMIF($AU$8:$AU$39,"&gt;0"),IF(AS25&gt;0,$AT$44*AS25/SUMIF($AS$8:$AS$39,"&gt;0"),""))),IF(SUMIF(AJ26:$AJ$39,"=" &amp; AJ25,AI26:$AI$39)=0,"",SUMIF(AJ26:$AJ$39,"=" &amp; AJ25,AI26:$AI$39)))</f>
        <v>6.2790697674418611E-2</v>
      </c>
      <c r="AJ25" s="139">
        <f t="shared" si="34"/>
        <v>3</v>
      </c>
      <c r="AK25" s="453">
        <f t="shared" si="27"/>
        <v>2</v>
      </c>
      <c r="AL25" s="146" t="str">
        <f t="shared" si="28"/>
        <v/>
      </c>
      <c r="AM25" s="146" t="str">
        <f t="shared" si="35"/>
        <v/>
      </c>
      <c r="AN25" s="146" t="str">
        <f t="shared" si="5"/>
        <v/>
      </c>
      <c r="AO25" s="146" t="str">
        <f t="shared" si="6"/>
        <v/>
      </c>
      <c r="AP25" s="453" t="b">
        <f t="shared" si="7"/>
        <v>1</v>
      </c>
      <c r="AQ25" s="140">
        <f t="shared" si="29"/>
        <v>1.5</v>
      </c>
      <c r="AR25" s="141" t="str">
        <f t="shared" si="8"/>
        <v/>
      </c>
      <c r="AS25" s="142">
        <f t="shared" si="30"/>
        <v>0</v>
      </c>
      <c r="AT25" s="141" t="str">
        <f t="shared" si="9"/>
        <v/>
      </c>
      <c r="AU25" s="143">
        <f t="shared" si="10"/>
        <v>0</v>
      </c>
      <c r="AV25" s="144" t="str">
        <f t="shared" si="11"/>
        <v/>
      </c>
      <c r="AW25" s="143" t="b">
        <f t="shared" si="12"/>
        <v>0</v>
      </c>
      <c r="AX25" s="145" t="b">
        <f t="shared" si="13"/>
        <v>1</v>
      </c>
      <c r="AY25" s="143" t="b">
        <f t="shared" si="14"/>
        <v>0</v>
      </c>
      <c r="AZ25" s="145" t="b">
        <f t="shared" si="15"/>
        <v>0</v>
      </c>
      <c r="BA25" s="453" t="b">
        <f t="shared" si="16"/>
        <v>0</v>
      </c>
      <c r="BB25" s="453" t="b">
        <f t="shared" si="17"/>
        <v>0</v>
      </c>
      <c r="BC25" s="143" t="b">
        <f t="shared" si="18"/>
        <v>0</v>
      </c>
      <c r="BD25" s="146" t="b">
        <f t="shared" si="31"/>
        <v>0</v>
      </c>
      <c r="BE25" s="145" t="b">
        <f t="shared" si="37"/>
        <v>0</v>
      </c>
      <c r="BF25" s="147" t="b">
        <f t="shared" si="20"/>
        <v>0</v>
      </c>
      <c r="BG25" s="453" t="b">
        <f t="shared" si="38"/>
        <v>1</v>
      </c>
      <c r="BH25" s="453">
        <f t="shared" si="32"/>
        <v>1</v>
      </c>
      <c r="BI25" s="453">
        <f t="shared" si="22"/>
        <v>2</v>
      </c>
      <c r="BJ25" s="453" t="str">
        <f t="shared" si="23"/>
        <v>2*</v>
      </c>
      <c r="BK25" s="453">
        <f t="shared" si="24"/>
        <v>3</v>
      </c>
      <c r="BL25" s="148">
        <f t="shared" si="33"/>
        <v>1</v>
      </c>
      <c r="BM25" s="453">
        <f t="shared" si="25"/>
        <v>2</v>
      </c>
      <c r="BN25" s="453">
        <f t="shared" si="26"/>
        <v>3</v>
      </c>
      <c r="BO25" s="936"/>
      <c r="BP25" s="300" t="s">
        <v>363</v>
      </c>
      <c r="BQ25" s="165">
        <f t="shared" si="36"/>
        <v>0.6</v>
      </c>
      <c r="BR25" s="166">
        <f t="shared" si="36"/>
        <v>0.7</v>
      </c>
      <c r="BS25" s="166">
        <f t="shared" si="36"/>
        <v>0.9</v>
      </c>
      <c r="BT25" s="166">
        <f t="shared" si="36"/>
        <v>0.95</v>
      </c>
      <c r="BU25" s="167">
        <f t="shared" si="36"/>
        <v>1</v>
      </c>
    </row>
    <row r="26" spans="2:73" s="94" customFormat="1" ht="12.95" customHeight="1" x14ac:dyDescent="0.2">
      <c r="B26" s="151">
        <f>IF(ISNA(Z26),"",IF(OR(Z26=1,Z26=2),"    ",MAX($B$8:B25)+1))</f>
        <v>15</v>
      </c>
      <c r="C26" s="904" t="str">
        <f t="shared" si="0"/>
        <v xml:space="preserve">      - Step (Phugoid Mode) (6.3%)</v>
      </c>
      <c r="D26" s="904"/>
      <c r="E26" s="904"/>
      <c r="F26" s="905"/>
      <c r="G26" s="133">
        <f t="shared" si="1"/>
        <v>1</v>
      </c>
      <c r="H26" s="134" t="str">
        <f t="shared" si="2"/>
        <v>2*</v>
      </c>
      <c r="I26" s="152">
        <f t="shared" si="2"/>
        <v>3</v>
      </c>
      <c r="J26" s="157"/>
      <c r="K26" s="154"/>
      <c r="L26" s="1015"/>
      <c r="M26" s="1016"/>
      <c r="N26" s="1016"/>
      <c r="O26" s="1016"/>
      <c r="P26" s="1016"/>
      <c r="Q26" s="1016"/>
      <c r="R26" s="1017"/>
      <c r="T26" s="99">
        <v>19</v>
      </c>
      <c r="U26" s="88" t="s">
        <v>683</v>
      </c>
      <c r="V26" s="453">
        <v>1</v>
      </c>
      <c r="W26" s="453">
        <v>1.5</v>
      </c>
      <c r="X26" s="453" t="s">
        <v>340</v>
      </c>
      <c r="Y26" s="453" t="s">
        <v>340</v>
      </c>
      <c r="Z26" s="146" t="s">
        <v>340</v>
      </c>
      <c r="AA26" s="146">
        <v>2</v>
      </c>
      <c r="AB26" s="146">
        <v>1</v>
      </c>
      <c r="AC26" s="453">
        <v>3</v>
      </c>
      <c r="AD26" s="453">
        <v>2</v>
      </c>
      <c r="AE26" s="453">
        <v>1</v>
      </c>
      <c r="AF26" s="453" t="b">
        <v>1</v>
      </c>
      <c r="AG26" s="453">
        <f t="shared" si="3"/>
        <v>3</v>
      </c>
      <c r="AH26" s="453">
        <f t="shared" si="4"/>
        <v>2</v>
      </c>
      <c r="AI26" s="138">
        <f>IF(NOT(OR(Z26=1,Z26=2)),IF(AQ26&gt;0,$AR$44*AQ26/SUMIF($AQ$8:$AQ$39,"&gt;0"),IF(AU26&gt;0,$AV$44*AU26/SUMIF($AU$8:$AU$39,"&gt;0"),IF(AS26&gt;0,$AT$44*AS26/SUMIF($AS$8:$AS$39,"&gt;0"),""))),IF(SUMIF(AJ27:$AJ$39,"=" &amp; AJ26,AI27:$AI$39)=0,"",SUMIF(AJ27:$AJ$39,"=" &amp; AJ26,AI27:$AI$39)))</f>
        <v>6.2790697674418611E-2</v>
      </c>
      <c r="AJ26" s="139">
        <f t="shared" si="34"/>
        <v>3</v>
      </c>
      <c r="AK26" s="453">
        <f t="shared" si="27"/>
        <v>2</v>
      </c>
      <c r="AL26" s="146" t="str">
        <f t="shared" si="28"/>
        <v/>
      </c>
      <c r="AM26" s="146" t="str">
        <f t="shared" si="35"/>
        <v/>
      </c>
      <c r="AN26" s="146" t="str">
        <f t="shared" si="5"/>
        <v/>
      </c>
      <c r="AO26" s="146" t="str">
        <f t="shared" si="6"/>
        <v/>
      </c>
      <c r="AP26" s="453" t="b">
        <f t="shared" si="7"/>
        <v>1</v>
      </c>
      <c r="AQ26" s="140">
        <f t="shared" si="29"/>
        <v>1.5</v>
      </c>
      <c r="AR26" s="141" t="str">
        <f t="shared" si="8"/>
        <v/>
      </c>
      <c r="AS26" s="142">
        <f t="shared" si="30"/>
        <v>0</v>
      </c>
      <c r="AT26" s="141" t="str">
        <f t="shared" si="9"/>
        <v/>
      </c>
      <c r="AU26" s="143">
        <f t="shared" si="10"/>
        <v>0</v>
      </c>
      <c r="AV26" s="144" t="str">
        <f t="shared" si="11"/>
        <v/>
      </c>
      <c r="AW26" s="143" t="b">
        <f t="shared" si="12"/>
        <v>0</v>
      </c>
      <c r="AX26" s="145" t="b">
        <f t="shared" si="13"/>
        <v>1</v>
      </c>
      <c r="AY26" s="143" t="b">
        <f t="shared" si="14"/>
        <v>0</v>
      </c>
      <c r="AZ26" s="145" t="b">
        <f t="shared" si="15"/>
        <v>0</v>
      </c>
      <c r="BA26" s="453" t="b">
        <f t="shared" si="16"/>
        <v>0</v>
      </c>
      <c r="BB26" s="453" t="b">
        <f t="shared" si="17"/>
        <v>0</v>
      </c>
      <c r="BC26" s="143" t="b">
        <f t="shared" si="18"/>
        <v>0</v>
      </c>
      <c r="BD26" s="146" t="b">
        <f t="shared" si="31"/>
        <v>0</v>
      </c>
      <c r="BE26" s="145" t="b">
        <f t="shared" si="37"/>
        <v>0</v>
      </c>
      <c r="BF26" s="147" t="b">
        <f t="shared" si="20"/>
        <v>0</v>
      </c>
      <c r="BG26" s="453" t="b">
        <f t="shared" si="38"/>
        <v>1</v>
      </c>
      <c r="BH26" s="453">
        <f t="shared" si="32"/>
        <v>1</v>
      </c>
      <c r="BI26" s="453">
        <f t="shared" si="22"/>
        <v>2</v>
      </c>
      <c r="BJ26" s="453" t="str">
        <f t="shared" si="23"/>
        <v>2*</v>
      </c>
      <c r="BK26" s="453">
        <f t="shared" si="24"/>
        <v>3</v>
      </c>
      <c r="BL26" s="148">
        <f t="shared" si="33"/>
        <v>1</v>
      </c>
      <c r="BM26" s="453">
        <f t="shared" si="25"/>
        <v>2</v>
      </c>
      <c r="BN26" s="453">
        <f t="shared" si="26"/>
        <v>3</v>
      </c>
      <c r="BO26" s="936"/>
      <c r="BP26" s="300" t="s">
        <v>364</v>
      </c>
      <c r="BQ26" s="165">
        <f t="shared" si="36"/>
        <v>0.6</v>
      </c>
      <c r="BR26" s="166">
        <f t="shared" si="36"/>
        <v>0.7</v>
      </c>
      <c r="BS26" s="166">
        <f t="shared" si="36"/>
        <v>0.8</v>
      </c>
      <c r="BT26" s="166">
        <f t="shared" si="36"/>
        <v>0.9</v>
      </c>
      <c r="BU26" s="167">
        <f t="shared" si="36"/>
        <v>1</v>
      </c>
    </row>
    <row r="27" spans="2:73" s="94" customFormat="1" ht="12.95" customHeight="1" x14ac:dyDescent="0.2">
      <c r="B27" s="151">
        <f>IF(ISNA(Z27),"",IF(OR(Z27=1,Z27=2),"    ",MAX($B$8:B26)+1))</f>
        <v>16</v>
      </c>
      <c r="C27" s="904" t="str">
        <f t="shared" si="0"/>
        <v xml:space="preserve">      - Spot Landing: Qualitative HQ (4.2%)</v>
      </c>
      <c r="D27" s="904"/>
      <c r="E27" s="904"/>
      <c r="F27" s="905"/>
      <c r="G27" s="133">
        <f t="shared" si="1"/>
        <v>1</v>
      </c>
      <c r="H27" s="134" t="str">
        <f t="shared" si="2"/>
        <v>1*</v>
      </c>
      <c r="I27" s="152">
        <f t="shared" si="2"/>
        <v>2</v>
      </c>
      <c r="J27" s="157"/>
      <c r="K27" s="154"/>
      <c r="L27" s="1015"/>
      <c r="M27" s="1016"/>
      <c r="N27" s="1016"/>
      <c r="O27" s="1016"/>
      <c r="P27" s="1016"/>
      <c r="Q27" s="1016"/>
      <c r="R27" s="1017"/>
      <c r="T27" s="99">
        <v>20</v>
      </c>
      <c r="U27" s="88" t="s">
        <v>684</v>
      </c>
      <c r="V27" s="453">
        <v>1</v>
      </c>
      <c r="W27" s="453">
        <v>1</v>
      </c>
      <c r="X27" s="453" t="s">
        <v>340</v>
      </c>
      <c r="Y27" s="453" t="s">
        <v>340</v>
      </c>
      <c r="Z27" s="146" t="s">
        <v>340</v>
      </c>
      <c r="AA27" s="146">
        <v>2</v>
      </c>
      <c r="AB27" s="146">
        <v>1</v>
      </c>
      <c r="AC27" s="453">
        <v>2</v>
      </c>
      <c r="AD27" s="453">
        <v>1</v>
      </c>
      <c r="AE27" s="453">
        <v>1</v>
      </c>
      <c r="AF27" s="453" t="b">
        <v>1</v>
      </c>
      <c r="AG27" s="453">
        <f t="shared" si="3"/>
        <v>2</v>
      </c>
      <c r="AH27" s="453">
        <f t="shared" si="4"/>
        <v>1</v>
      </c>
      <c r="AI27" s="138">
        <f>IF(NOT(OR(Z27=1,Z27=2)),IF(AQ27&gt;0,$AR$44*AQ27/SUMIF($AQ$8:$AQ$39,"&gt;0"),IF(AU27&gt;0,$AV$44*AU27/SUMIF($AU$8:$AU$39,"&gt;0"),IF(AS27&gt;0,$AT$44*AS27/SUMIF($AS$8:$AS$39,"&gt;0"),""))),IF(SUMIF(AJ28:$AJ$39,"=" &amp; AJ27,AI28:$AI$39)=0,"",SUMIF(AJ28:$AJ$39,"=" &amp; AJ27,AI28:$AI$39)))</f>
        <v>4.1860465116279069E-2</v>
      </c>
      <c r="AJ27" s="139">
        <f t="shared" si="34"/>
        <v>3</v>
      </c>
      <c r="AK27" s="453">
        <f t="shared" si="27"/>
        <v>1</v>
      </c>
      <c r="AL27" s="146" t="str">
        <f t="shared" si="28"/>
        <v/>
      </c>
      <c r="AM27" s="146" t="str">
        <f t="shared" si="35"/>
        <v/>
      </c>
      <c r="AN27" s="146" t="str">
        <f t="shared" si="5"/>
        <v/>
      </c>
      <c r="AO27" s="146" t="str">
        <f t="shared" si="6"/>
        <v/>
      </c>
      <c r="AP27" s="453" t="b">
        <f t="shared" si="7"/>
        <v>1</v>
      </c>
      <c r="AQ27" s="140">
        <f t="shared" si="29"/>
        <v>1</v>
      </c>
      <c r="AR27" s="141" t="str">
        <f t="shared" si="8"/>
        <v/>
      </c>
      <c r="AS27" s="142">
        <f t="shared" si="30"/>
        <v>0</v>
      </c>
      <c r="AT27" s="141" t="str">
        <f t="shared" si="9"/>
        <v/>
      </c>
      <c r="AU27" s="143">
        <f t="shared" si="10"/>
        <v>0</v>
      </c>
      <c r="AV27" s="144" t="str">
        <f t="shared" si="11"/>
        <v/>
      </c>
      <c r="AW27" s="143" t="b">
        <f t="shared" si="12"/>
        <v>0</v>
      </c>
      <c r="AX27" s="145" t="b">
        <f t="shared" si="13"/>
        <v>1</v>
      </c>
      <c r="AY27" s="143" t="b">
        <f t="shared" si="14"/>
        <v>0</v>
      </c>
      <c r="AZ27" s="145" t="b">
        <f t="shared" si="15"/>
        <v>0</v>
      </c>
      <c r="BA27" s="453" t="b">
        <f t="shared" si="16"/>
        <v>0</v>
      </c>
      <c r="BB27" s="453" t="b">
        <f t="shared" si="17"/>
        <v>0</v>
      </c>
      <c r="BC27" s="143" t="b">
        <f t="shared" si="18"/>
        <v>0</v>
      </c>
      <c r="BD27" s="146" t="b">
        <f t="shared" si="31"/>
        <v>0</v>
      </c>
      <c r="BE27" s="145" t="b">
        <f t="shared" si="37"/>
        <v>0</v>
      </c>
      <c r="BF27" s="147" t="b">
        <f t="shared" si="20"/>
        <v>0</v>
      </c>
      <c r="BG27" s="453" t="b">
        <f t="shared" si="38"/>
        <v>1</v>
      </c>
      <c r="BH27" s="453">
        <f t="shared" si="32"/>
        <v>1</v>
      </c>
      <c r="BI27" s="453">
        <f t="shared" si="22"/>
        <v>1</v>
      </c>
      <c r="BJ27" s="453" t="str">
        <f t="shared" si="23"/>
        <v>1*</v>
      </c>
      <c r="BK27" s="453">
        <f t="shared" si="24"/>
        <v>2</v>
      </c>
      <c r="BL27" s="148">
        <f t="shared" si="33"/>
        <v>1</v>
      </c>
      <c r="BM27" s="453">
        <f t="shared" si="25"/>
        <v>1</v>
      </c>
      <c r="BN27" s="453">
        <f t="shared" si="26"/>
        <v>2</v>
      </c>
      <c r="BO27" s="936"/>
      <c r="BP27" s="300" t="s">
        <v>365</v>
      </c>
      <c r="BQ27" s="165">
        <f t="shared" si="36"/>
        <v>0.3</v>
      </c>
      <c r="BR27" s="166">
        <f t="shared" si="36"/>
        <v>0.6</v>
      </c>
      <c r="BS27" s="166">
        <f t="shared" si="36"/>
        <v>0.9</v>
      </c>
      <c r="BT27" s="166">
        <f t="shared" si="36"/>
        <v>0.95</v>
      </c>
      <c r="BU27" s="167">
        <f t="shared" si="36"/>
        <v>1</v>
      </c>
    </row>
    <row r="28" spans="2:73" s="94" customFormat="1" ht="12.95" customHeight="1" x14ac:dyDescent="0.2">
      <c r="B28" s="151" t="str">
        <f>IF(ISNA(Z28),"",IF(OR(Z28=1,Z28=2),"    ",MAX($B$8:B27)+1))</f>
        <v xml:space="preserve">    </v>
      </c>
      <c r="C28" s="904" t="str">
        <f t="shared" si="0"/>
        <v>Hand-Held Data (25.1%)</v>
      </c>
      <c r="D28" s="904"/>
      <c r="E28" s="904"/>
      <c r="F28" s="905"/>
      <c r="G28" s="133" t="str">
        <f t="shared" si="1"/>
        <v/>
      </c>
      <c r="H28" s="134" t="str">
        <f t="shared" si="2"/>
        <v/>
      </c>
      <c r="I28" s="152" t="str">
        <f t="shared" si="2"/>
        <v/>
      </c>
      <c r="J28" s="158"/>
      <c r="K28" s="159"/>
      <c r="L28" s="1015"/>
      <c r="M28" s="1016"/>
      <c r="N28" s="1016"/>
      <c r="O28" s="1016"/>
      <c r="P28" s="1016"/>
      <c r="Q28" s="1016"/>
      <c r="R28" s="1017"/>
      <c r="T28" s="99">
        <v>21</v>
      </c>
      <c r="U28" s="88" t="s">
        <v>685</v>
      </c>
      <c r="V28" s="453" t="s">
        <v>340</v>
      </c>
      <c r="W28" s="453" t="s">
        <v>340</v>
      </c>
      <c r="X28" s="453" t="s">
        <v>340</v>
      </c>
      <c r="Y28" s="453" t="s">
        <v>340</v>
      </c>
      <c r="Z28" s="146">
        <v>2</v>
      </c>
      <c r="AA28" s="146">
        <v>1</v>
      </c>
      <c r="AB28" s="146">
        <v>1</v>
      </c>
      <c r="AC28" s="453" t="s">
        <v>340</v>
      </c>
      <c r="AD28" s="453" t="s">
        <v>340</v>
      </c>
      <c r="AE28" s="453" t="s">
        <v>340</v>
      </c>
      <c r="AF28" s="453" t="s">
        <v>340</v>
      </c>
      <c r="AG28" s="453" t="str">
        <f t="shared" si="3"/>
        <v/>
      </c>
      <c r="AH28" s="453" t="str">
        <f t="shared" si="4"/>
        <v/>
      </c>
      <c r="AI28" s="138">
        <f>IF(NOT(OR(Z28=1,Z28=2)),IF(AQ28&gt;0,$AR$44*AQ28/SUMIF($AQ$8:$AQ$39,"&gt;0"),IF(AU28&gt;0,$AV$44*AU28/SUMIF($AU$8:$AU$39,"&gt;0"),IF(AS28&gt;0,$AT$44*AS28/SUMIF($AS$8:$AS$39,"&gt;0"),""))),IF(SUMIF(AJ29:$AJ$39,"=" &amp; AJ28,AI29:$AI$39)=0,"",SUMIF(AJ29:$AJ$39,"=" &amp; AJ28,AI29:$AI$39)))</f>
        <v>0.25116279069767444</v>
      </c>
      <c r="AJ28" s="139">
        <f t="shared" si="34"/>
        <v>4</v>
      </c>
      <c r="AK28" s="453" t="str">
        <f t="shared" si="27"/>
        <v/>
      </c>
      <c r="AL28" s="146" t="str">
        <f t="shared" si="28"/>
        <v/>
      </c>
      <c r="AM28" s="146" t="str">
        <f t="shared" si="35"/>
        <v/>
      </c>
      <c r="AN28" s="146" t="str">
        <f t="shared" si="5"/>
        <v/>
      </c>
      <c r="AO28" s="146" t="str">
        <f t="shared" si="6"/>
        <v/>
      </c>
      <c r="AP28" s="453" t="str">
        <f t="shared" si="7"/>
        <v/>
      </c>
      <c r="AQ28" s="140">
        <f t="shared" si="29"/>
        <v>0</v>
      </c>
      <c r="AR28" s="141" t="str">
        <f t="shared" si="8"/>
        <v/>
      </c>
      <c r="AS28" s="142">
        <f t="shared" si="30"/>
        <v>0</v>
      </c>
      <c r="AT28" s="141" t="str">
        <f t="shared" si="9"/>
        <v/>
      </c>
      <c r="AU28" s="143">
        <f t="shared" si="10"/>
        <v>0</v>
      </c>
      <c r="AV28" s="144" t="str">
        <f t="shared" si="11"/>
        <v/>
      </c>
      <c r="AW28" s="143" t="b">
        <f t="shared" si="12"/>
        <v>0</v>
      </c>
      <c r="AX28" s="145" t="b">
        <f t="shared" si="13"/>
        <v>0</v>
      </c>
      <c r="AY28" s="143" t="b">
        <f t="shared" si="14"/>
        <v>0</v>
      </c>
      <c r="AZ28" s="145" t="b">
        <f t="shared" si="15"/>
        <v>0</v>
      </c>
      <c r="BA28" s="453" t="b">
        <f t="shared" si="16"/>
        <v>0</v>
      </c>
      <c r="BB28" s="453" t="b">
        <f t="shared" si="17"/>
        <v>0</v>
      </c>
      <c r="BC28" s="143" t="b">
        <f t="shared" si="18"/>
        <v>0</v>
      </c>
      <c r="BD28" s="146" t="b">
        <f t="shared" si="31"/>
        <v>0</v>
      </c>
      <c r="BE28" s="145" t="b">
        <f t="shared" si="37"/>
        <v>0</v>
      </c>
      <c r="BF28" s="147" t="b">
        <f t="shared" si="20"/>
        <v>0</v>
      </c>
      <c r="BG28" s="453" t="b">
        <f t="shared" si="38"/>
        <v>0</v>
      </c>
      <c r="BH28" s="453" t="str">
        <f t="shared" si="32"/>
        <v/>
      </c>
      <c r="BI28" s="453" t="str">
        <f t="shared" si="22"/>
        <v/>
      </c>
      <c r="BJ28" s="453" t="str">
        <f t="shared" si="23"/>
        <v/>
      </c>
      <c r="BK28" s="453" t="str">
        <f t="shared" si="24"/>
        <v/>
      </c>
      <c r="BL28" s="148" t="str">
        <f t="shared" si="33"/>
        <v/>
      </c>
      <c r="BM28" s="453" t="str">
        <f t="shared" si="25"/>
        <v/>
      </c>
      <c r="BN28" s="453" t="str">
        <f t="shared" si="26"/>
        <v/>
      </c>
      <c r="BO28" s="936"/>
      <c r="BP28" s="300" t="s">
        <v>366</v>
      </c>
      <c r="BQ28" s="165">
        <f t="shared" si="36"/>
        <v>0.3</v>
      </c>
      <c r="BR28" s="166">
        <f t="shared" si="36"/>
        <v>0.6</v>
      </c>
      <c r="BS28" s="166">
        <f t="shared" si="36"/>
        <v>0.7</v>
      </c>
      <c r="BT28" s="166">
        <f t="shared" si="36"/>
        <v>0.9</v>
      </c>
      <c r="BU28" s="167">
        <f t="shared" si="36"/>
        <v>1</v>
      </c>
    </row>
    <row r="29" spans="2:73" s="94" customFormat="1" ht="12.95" customHeight="1" x14ac:dyDescent="0.2">
      <c r="B29" s="151">
        <f>IF(ISNA(Z29),"",IF(OR(Z29=1,Z29=2),"    ",MAX($B$8:B28)+1))</f>
        <v>17</v>
      </c>
      <c r="C29" s="904" t="str">
        <f t="shared" si="0"/>
        <v xml:space="preserve">      - Oscillation Damping and Period (12.6%)</v>
      </c>
      <c r="D29" s="904"/>
      <c r="E29" s="904"/>
      <c r="F29" s="905"/>
      <c r="G29" s="133">
        <f t="shared" si="1"/>
        <v>1</v>
      </c>
      <c r="H29" s="134" t="str">
        <f t="shared" si="2"/>
        <v>2*</v>
      </c>
      <c r="I29" s="152">
        <f t="shared" si="2"/>
        <v>3</v>
      </c>
      <c r="J29" s="157"/>
      <c r="K29" s="154"/>
      <c r="L29" s="1015"/>
      <c r="M29" s="1016"/>
      <c r="N29" s="1016"/>
      <c r="O29" s="1016"/>
      <c r="P29" s="1016"/>
      <c r="Q29" s="1016"/>
      <c r="R29" s="1017"/>
      <c r="T29" s="99">
        <v>22</v>
      </c>
      <c r="U29" s="88" t="s">
        <v>686</v>
      </c>
      <c r="V29" s="453">
        <v>1</v>
      </c>
      <c r="W29" s="453">
        <v>3</v>
      </c>
      <c r="X29" s="453" t="s">
        <v>340</v>
      </c>
      <c r="Y29" s="453" t="s">
        <v>340</v>
      </c>
      <c r="Z29" s="146" t="s">
        <v>340</v>
      </c>
      <c r="AA29" s="146">
        <v>2</v>
      </c>
      <c r="AB29" s="146">
        <v>1</v>
      </c>
      <c r="AC29" s="453">
        <v>3</v>
      </c>
      <c r="AD29" s="453">
        <v>2</v>
      </c>
      <c r="AE29" s="453">
        <v>1</v>
      </c>
      <c r="AF29" s="453" t="b">
        <v>1</v>
      </c>
      <c r="AG29" s="453">
        <f t="shared" si="3"/>
        <v>3</v>
      </c>
      <c r="AH29" s="453">
        <f t="shared" si="4"/>
        <v>2</v>
      </c>
      <c r="AI29" s="138">
        <f>IF(NOT(OR(Z29=1,Z29=2)),IF(AQ29&gt;0,$AR$44*AQ29/SUMIF($AQ$8:$AQ$39,"&gt;0"),IF(AU29&gt;0,$AV$44*AU29/SUMIF($AU$8:$AU$39,"&gt;0"),IF(AS29&gt;0,$AT$44*AS29/SUMIF($AS$8:$AS$39,"&gt;0"),""))),IF(SUMIF(AJ30:$AJ$39,"=" &amp; AJ29,AI30:$AI$39)=0,"",SUMIF(AJ30:$AJ$39,"=" &amp; AJ29,AI30:$AI$39)))</f>
        <v>0.12558139534883722</v>
      </c>
      <c r="AJ29" s="139">
        <f t="shared" si="34"/>
        <v>4</v>
      </c>
      <c r="AK29" s="453">
        <f t="shared" si="27"/>
        <v>2</v>
      </c>
      <c r="AL29" s="146" t="str">
        <f t="shared" si="28"/>
        <v/>
      </c>
      <c r="AM29" s="146" t="str">
        <f t="shared" si="35"/>
        <v/>
      </c>
      <c r="AN29" s="146" t="str">
        <f t="shared" si="5"/>
        <v/>
      </c>
      <c r="AO29" s="146" t="str">
        <f t="shared" si="6"/>
        <v/>
      </c>
      <c r="AP29" s="453" t="b">
        <f t="shared" si="7"/>
        <v>1</v>
      </c>
      <c r="AQ29" s="140">
        <f t="shared" si="29"/>
        <v>3</v>
      </c>
      <c r="AR29" s="141" t="str">
        <f t="shared" si="8"/>
        <v/>
      </c>
      <c r="AS29" s="142">
        <f t="shared" si="30"/>
        <v>0</v>
      </c>
      <c r="AT29" s="141" t="str">
        <f t="shared" si="9"/>
        <v/>
      </c>
      <c r="AU29" s="143">
        <f t="shared" si="10"/>
        <v>0</v>
      </c>
      <c r="AV29" s="144" t="str">
        <f t="shared" si="11"/>
        <v/>
      </c>
      <c r="AW29" s="143" t="b">
        <f t="shared" si="12"/>
        <v>0</v>
      </c>
      <c r="AX29" s="145" t="b">
        <f t="shared" si="13"/>
        <v>1</v>
      </c>
      <c r="AY29" s="143" t="b">
        <f t="shared" si="14"/>
        <v>0</v>
      </c>
      <c r="AZ29" s="145" t="b">
        <f t="shared" si="15"/>
        <v>0</v>
      </c>
      <c r="BA29" s="453" t="b">
        <f t="shared" si="16"/>
        <v>0</v>
      </c>
      <c r="BB29" s="453" t="b">
        <f t="shared" si="17"/>
        <v>0</v>
      </c>
      <c r="BC29" s="143" t="b">
        <f t="shared" si="18"/>
        <v>0</v>
      </c>
      <c r="BD29" s="146" t="b">
        <f t="shared" si="31"/>
        <v>0</v>
      </c>
      <c r="BE29" s="145" t="b">
        <f t="shared" si="37"/>
        <v>0</v>
      </c>
      <c r="BF29" s="147" t="b">
        <f t="shared" si="20"/>
        <v>0</v>
      </c>
      <c r="BG29" s="453" t="b">
        <f t="shared" si="38"/>
        <v>1</v>
      </c>
      <c r="BH29" s="453">
        <f t="shared" si="32"/>
        <v>1</v>
      </c>
      <c r="BI29" s="453">
        <f t="shared" si="22"/>
        <v>2</v>
      </c>
      <c r="BJ29" s="453" t="str">
        <f t="shared" si="23"/>
        <v>2*</v>
      </c>
      <c r="BK29" s="453">
        <f t="shared" si="24"/>
        <v>3</v>
      </c>
      <c r="BL29" s="148">
        <f t="shared" si="33"/>
        <v>1</v>
      </c>
      <c r="BM29" s="453">
        <f t="shared" si="25"/>
        <v>2</v>
      </c>
      <c r="BN29" s="453">
        <f t="shared" si="26"/>
        <v>3</v>
      </c>
      <c r="BO29" s="936"/>
      <c r="BP29" s="300" t="s">
        <v>367</v>
      </c>
      <c r="BQ29" s="168">
        <f t="shared" si="36"/>
        <v>0</v>
      </c>
      <c r="BR29" s="169">
        <f t="shared" si="36"/>
        <v>0.3</v>
      </c>
      <c r="BS29" s="169">
        <f t="shared" si="36"/>
        <v>0.6</v>
      </c>
      <c r="BT29" s="169">
        <f t="shared" si="36"/>
        <v>0.9</v>
      </c>
      <c r="BU29" s="170">
        <f t="shared" si="36"/>
        <v>1</v>
      </c>
    </row>
    <row r="30" spans="2:73" s="94" customFormat="1" ht="12.95" customHeight="1" x14ac:dyDescent="0.2">
      <c r="B30" s="151">
        <f>IF(ISNA(Z30),"",IF(OR(Z30=1,Z30=2),"    ",MAX($B$8:B29)+1))</f>
        <v>18</v>
      </c>
      <c r="C30" s="904" t="str">
        <f t="shared" si="0"/>
        <v xml:space="preserve">      - Time Measurement (12.6%)</v>
      </c>
      <c r="D30" s="904"/>
      <c r="E30" s="904"/>
      <c r="F30" s="905"/>
      <c r="G30" s="133">
        <f t="shared" si="1"/>
        <v>1</v>
      </c>
      <c r="H30" s="134" t="str">
        <f t="shared" si="2"/>
        <v>2*</v>
      </c>
      <c r="I30" s="152">
        <f t="shared" si="2"/>
        <v>3</v>
      </c>
      <c r="J30" s="157"/>
      <c r="K30" s="154"/>
      <c r="L30" s="1015"/>
      <c r="M30" s="1016"/>
      <c r="N30" s="1016"/>
      <c r="O30" s="1016"/>
      <c r="P30" s="1016"/>
      <c r="Q30" s="1016"/>
      <c r="R30" s="1017"/>
      <c r="T30" s="99">
        <v>23</v>
      </c>
      <c r="U30" s="88" t="s">
        <v>687</v>
      </c>
      <c r="V30" s="453">
        <v>1</v>
      </c>
      <c r="W30" s="453">
        <v>3</v>
      </c>
      <c r="X30" s="453" t="s">
        <v>340</v>
      </c>
      <c r="Y30" s="453" t="s">
        <v>340</v>
      </c>
      <c r="Z30" s="146" t="s">
        <v>340</v>
      </c>
      <c r="AA30" s="146">
        <v>2</v>
      </c>
      <c r="AB30" s="146">
        <v>1</v>
      </c>
      <c r="AC30" s="453">
        <v>3</v>
      </c>
      <c r="AD30" s="453">
        <v>2</v>
      </c>
      <c r="AE30" s="453">
        <v>1</v>
      </c>
      <c r="AF30" s="453" t="b">
        <v>1</v>
      </c>
      <c r="AG30" s="453">
        <f t="shared" si="3"/>
        <v>3</v>
      </c>
      <c r="AH30" s="453">
        <f t="shared" si="4"/>
        <v>2</v>
      </c>
      <c r="AI30" s="138">
        <f>IF(NOT(OR(Z30=1,Z30=2)),IF(AQ30&gt;0,$AR$44*AQ30/SUMIF($AQ$8:$AQ$39,"&gt;0"),IF(AU30&gt;0,$AV$44*AU30/SUMIF($AU$8:$AU$39,"&gt;0"),IF(AS30&gt;0,$AT$44*AS30/SUMIF($AS$8:$AS$39,"&gt;0"),""))),IF(SUMIF(AJ31:$AJ$39,"=" &amp; AJ30,AI31:$AI$39)=0,"",SUMIF(AJ31:$AJ$39,"=" &amp; AJ30,AI31:$AI$39)))</f>
        <v>0.12558139534883722</v>
      </c>
      <c r="AJ30" s="139">
        <f t="shared" si="34"/>
        <v>4</v>
      </c>
      <c r="AK30" s="453">
        <f t="shared" si="27"/>
        <v>2</v>
      </c>
      <c r="AL30" s="146" t="str">
        <f t="shared" si="28"/>
        <v/>
      </c>
      <c r="AM30" s="146" t="str">
        <f t="shared" si="35"/>
        <v/>
      </c>
      <c r="AN30" s="146" t="str">
        <f t="shared" si="5"/>
        <v/>
      </c>
      <c r="AO30" s="146" t="str">
        <f t="shared" si="6"/>
        <v/>
      </c>
      <c r="AP30" s="453" t="b">
        <f t="shared" si="7"/>
        <v>1</v>
      </c>
      <c r="AQ30" s="140">
        <f t="shared" si="29"/>
        <v>3</v>
      </c>
      <c r="AR30" s="141" t="str">
        <f t="shared" si="8"/>
        <v/>
      </c>
      <c r="AS30" s="142">
        <f t="shared" si="30"/>
        <v>0</v>
      </c>
      <c r="AT30" s="141" t="str">
        <f t="shared" si="9"/>
        <v/>
      </c>
      <c r="AU30" s="143">
        <f t="shared" si="10"/>
        <v>0</v>
      </c>
      <c r="AV30" s="144" t="str">
        <f t="shared" si="11"/>
        <v/>
      </c>
      <c r="AW30" s="143" t="b">
        <f t="shared" si="12"/>
        <v>0</v>
      </c>
      <c r="AX30" s="145" t="b">
        <f t="shared" si="13"/>
        <v>1</v>
      </c>
      <c r="AY30" s="143" t="b">
        <f t="shared" si="14"/>
        <v>0</v>
      </c>
      <c r="AZ30" s="145" t="b">
        <f t="shared" si="15"/>
        <v>0</v>
      </c>
      <c r="BA30" s="453" t="b">
        <f t="shared" si="16"/>
        <v>0</v>
      </c>
      <c r="BB30" s="453" t="b">
        <f t="shared" si="17"/>
        <v>0</v>
      </c>
      <c r="BC30" s="143" t="b">
        <f t="shared" si="18"/>
        <v>0</v>
      </c>
      <c r="BD30" s="146" t="b">
        <f t="shared" si="31"/>
        <v>0</v>
      </c>
      <c r="BE30" s="145" t="b">
        <f t="shared" si="37"/>
        <v>0</v>
      </c>
      <c r="BF30" s="147" t="b">
        <f t="shared" si="20"/>
        <v>0</v>
      </c>
      <c r="BG30" s="453" t="b">
        <f t="shared" si="38"/>
        <v>1</v>
      </c>
      <c r="BH30" s="453">
        <f t="shared" si="32"/>
        <v>1</v>
      </c>
      <c r="BI30" s="453">
        <f t="shared" si="22"/>
        <v>2</v>
      </c>
      <c r="BJ30" s="453" t="str">
        <f t="shared" si="23"/>
        <v>2*</v>
      </c>
      <c r="BK30" s="453">
        <f t="shared" si="24"/>
        <v>3</v>
      </c>
      <c r="BL30" s="148">
        <f t="shared" si="33"/>
        <v>1</v>
      </c>
      <c r="BM30" s="453">
        <f t="shared" si="25"/>
        <v>2</v>
      </c>
      <c r="BN30" s="453">
        <f t="shared" si="26"/>
        <v>3</v>
      </c>
      <c r="BO30" s="90"/>
    </row>
    <row r="31" spans="2:73" s="94" customFormat="1" ht="12.95" customHeight="1" x14ac:dyDescent="0.2">
      <c r="B31" s="151" t="str">
        <f>IF(ISNA(Z31),"",IF(OR(Z31=1,Z31=2),"    ",MAX($B$8:B30)+1))</f>
        <v/>
      </c>
      <c r="C31" s="904" t="str">
        <f t="shared" si="0"/>
        <v/>
      </c>
      <c r="D31" s="904"/>
      <c r="E31" s="904"/>
      <c r="F31" s="905"/>
      <c r="G31" s="133" t="str">
        <f t="shared" si="1"/>
        <v/>
      </c>
      <c r="H31" s="134" t="str">
        <f t="shared" si="2"/>
        <v/>
      </c>
      <c r="I31" s="152" t="str">
        <f t="shared" si="2"/>
        <v/>
      </c>
      <c r="J31" s="158"/>
      <c r="K31" s="159"/>
      <c r="L31" s="1015"/>
      <c r="M31" s="1016"/>
      <c r="N31" s="1016"/>
      <c r="O31" s="1016"/>
      <c r="P31" s="1016"/>
      <c r="Q31" s="1016"/>
      <c r="R31" s="1017"/>
      <c r="T31" s="99">
        <v>24</v>
      </c>
      <c r="U31" s="88" t="e">
        <v>#N/A</v>
      </c>
      <c r="V31" s="453" t="e">
        <v>#N/A</v>
      </c>
      <c r="W31" s="453" t="e">
        <v>#N/A</v>
      </c>
      <c r="X31" s="453" t="e">
        <v>#N/A</v>
      </c>
      <c r="Y31" s="453" t="e">
        <v>#N/A</v>
      </c>
      <c r="Z31" s="146" t="e">
        <v>#N/A</v>
      </c>
      <c r="AA31" s="146" t="e">
        <v>#N/A</v>
      </c>
      <c r="AB31" s="146" t="e">
        <v>#N/A</v>
      </c>
      <c r="AC31" s="453" t="e">
        <v>#N/A</v>
      </c>
      <c r="AD31" s="453" t="e">
        <v>#N/A</v>
      </c>
      <c r="AE31" s="453" t="e">
        <v>#N/A</v>
      </c>
      <c r="AF31" s="453" t="e">
        <v>#N/A</v>
      </c>
      <c r="AG31" s="453" t="e">
        <f t="shared" si="3"/>
        <v>#N/A</v>
      </c>
      <c r="AH31" s="453" t="str">
        <f t="shared" si="4"/>
        <v/>
      </c>
      <c r="AI31" s="138" t="e">
        <f>IF(NOT(OR(Z31=1,Z31=2)),IF(AQ31&gt;0,$AR$44*AQ31/SUMIF($AQ$8:$AQ$39,"&gt;0"),IF(AU31&gt;0,$AV$44*AU31/SUMIF($AU$8:$AU$39,"&gt;0"),IF(AS31&gt;0,$AT$44*AS31/SUMIF($AS$8:$AS$39,"&gt;0"),""))),IF(SUMIF(AJ32:$AJ$39,"=" &amp; AJ31,AI32:$AI$39)=0,"",SUMIF(AJ32:$AJ$39,"=" &amp; AJ31,AI32:$AI$39)))</f>
        <v>#N/A</v>
      </c>
      <c r="AJ31" s="139" t="e">
        <f t="shared" si="34"/>
        <v>#N/A</v>
      </c>
      <c r="AK31" s="453" t="str">
        <f t="shared" si="27"/>
        <v/>
      </c>
      <c r="AL31" s="146" t="str">
        <f t="shared" si="28"/>
        <v/>
      </c>
      <c r="AM31" s="146" t="str">
        <f t="shared" si="35"/>
        <v/>
      </c>
      <c r="AN31" s="146" t="str">
        <f t="shared" si="5"/>
        <v/>
      </c>
      <c r="AO31" s="146" t="e">
        <f t="shared" si="6"/>
        <v>#N/A</v>
      </c>
      <c r="AP31" s="453" t="str">
        <f t="shared" si="7"/>
        <v/>
      </c>
      <c r="AQ31" s="140">
        <f t="shared" si="29"/>
        <v>0</v>
      </c>
      <c r="AR31" s="141" t="str">
        <f t="shared" si="8"/>
        <v/>
      </c>
      <c r="AS31" s="142">
        <f t="shared" si="30"/>
        <v>0</v>
      </c>
      <c r="AT31" s="141" t="str">
        <f t="shared" si="9"/>
        <v/>
      </c>
      <c r="AU31" s="143">
        <f t="shared" si="10"/>
        <v>0</v>
      </c>
      <c r="AV31" s="144" t="str">
        <f t="shared" si="11"/>
        <v/>
      </c>
      <c r="AW31" s="143" t="b">
        <f t="shared" si="12"/>
        <v>0</v>
      </c>
      <c r="AX31" s="145" t="b">
        <f t="shared" si="13"/>
        <v>0</v>
      </c>
      <c r="AY31" s="143" t="b">
        <f t="shared" si="14"/>
        <v>0</v>
      </c>
      <c r="AZ31" s="145" t="b">
        <f t="shared" si="15"/>
        <v>0</v>
      </c>
      <c r="BA31" s="453" t="b">
        <f t="shared" si="16"/>
        <v>0</v>
      </c>
      <c r="BB31" s="453" t="b">
        <f t="shared" si="17"/>
        <v>0</v>
      </c>
      <c r="BC31" s="143" t="b">
        <f t="shared" si="18"/>
        <v>0</v>
      </c>
      <c r="BD31" s="146" t="b">
        <f>IF(OR(ISNA($Z31),ISNUMBER($Z31),NOT(ISNUMBER(K31))),FALSE,OR(NOT(ISNUMBER(J31)),J31=0,AND(J31=0,K31&lt;&gt;0)))</f>
        <v>0</v>
      </c>
      <c r="BE31" s="145" t="b">
        <f t="shared" si="37"/>
        <v>0</v>
      </c>
      <c r="BF31" s="147" t="b">
        <f>IF(OR(ISNA($Z31),H31&lt;&gt;"NG"),FALSE,IF(AND(J31="NA",K31&lt;&gt;""),TRUE,FALSE))</f>
        <v>0</v>
      </c>
      <c r="BG31" s="453" t="str">
        <f t="shared" si="38"/>
        <v>NA</v>
      </c>
      <c r="BH31" s="453" t="str">
        <f t="shared" si="32"/>
        <v/>
      </c>
      <c r="BI31" s="453" t="str">
        <f t="shared" si="22"/>
        <v/>
      </c>
      <c r="BJ31" s="453" t="str">
        <f t="shared" si="23"/>
        <v/>
      </c>
      <c r="BK31" s="453" t="str">
        <f t="shared" si="24"/>
        <v/>
      </c>
      <c r="BL31" s="148" t="str">
        <f t="shared" si="33"/>
        <v/>
      </c>
      <c r="BM31" s="453" t="str">
        <f t="shared" si="25"/>
        <v/>
      </c>
      <c r="BN31" s="453" t="str">
        <f t="shared" si="26"/>
        <v/>
      </c>
      <c r="BO31" s="155" t="s">
        <v>368</v>
      </c>
      <c r="BP31" s="161" t="s">
        <v>369</v>
      </c>
    </row>
    <row r="32" spans="2:73" s="94" customFormat="1" ht="12.95" customHeight="1" x14ac:dyDescent="0.2">
      <c r="B32" s="151" t="str">
        <f>IF(ISNA(Z32),"",IF(OR(Z32=1,Z32=2),"    ",MAX($B$8:B31)+1))</f>
        <v/>
      </c>
      <c r="C32" s="904" t="str">
        <f t="shared" si="0"/>
        <v/>
      </c>
      <c r="D32" s="904"/>
      <c r="E32" s="904"/>
      <c r="F32" s="905"/>
      <c r="G32" s="133" t="str">
        <f t="shared" si="1"/>
        <v/>
      </c>
      <c r="H32" s="134" t="str">
        <f t="shared" si="2"/>
        <v/>
      </c>
      <c r="I32" s="152" t="str">
        <f t="shared" si="2"/>
        <v/>
      </c>
      <c r="J32" s="158"/>
      <c r="K32" s="159"/>
      <c r="L32" s="1015"/>
      <c r="M32" s="1016"/>
      <c r="N32" s="1016"/>
      <c r="O32" s="1016"/>
      <c r="P32" s="1016"/>
      <c r="Q32" s="1016"/>
      <c r="R32" s="1017"/>
      <c r="T32" s="99">
        <v>25</v>
      </c>
      <c r="U32" s="88" t="e">
        <v>#N/A</v>
      </c>
      <c r="V32" s="453" t="e">
        <v>#N/A</v>
      </c>
      <c r="W32" s="453" t="e">
        <v>#N/A</v>
      </c>
      <c r="X32" s="453" t="e">
        <v>#N/A</v>
      </c>
      <c r="Y32" s="453" t="e">
        <v>#N/A</v>
      </c>
      <c r="Z32" s="146" t="e">
        <v>#N/A</v>
      </c>
      <c r="AA32" s="146" t="e">
        <v>#N/A</v>
      </c>
      <c r="AB32" s="146" t="e">
        <v>#N/A</v>
      </c>
      <c r="AC32" s="453" t="e">
        <v>#N/A</v>
      </c>
      <c r="AD32" s="453" t="e">
        <v>#N/A</v>
      </c>
      <c r="AE32" s="453" t="e">
        <v>#N/A</v>
      </c>
      <c r="AF32" s="453" t="e">
        <v>#N/A</v>
      </c>
      <c r="AG32" s="453" t="e">
        <f t="shared" si="3"/>
        <v>#N/A</v>
      </c>
      <c r="AH32" s="453" t="str">
        <f t="shared" si="4"/>
        <v/>
      </c>
      <c r="AI32" s="138" t="e">
        <f>IF(NOT(OR(Z32=1,Z32=2)),IF(AQ32&gt;0,$AR$44*AQ32/SUMIF($AQ$8:$AQ$39,"&gt;0"),IF(AU32&gt;0,$AV$44*AU32/SUMIF($AU$8:$AU$39,"&gt;0"),IF(AS32&gt;0,$AT$44*AS32/SUMIF($AS$8:$AS$39,"&gt;0"),""))),IF(SUMIF(AJ33:$AJ$39,"=" &amp; AJ32,AI33:$AI$39)=0,"",SUMIF(AJ33:$AJ$39,"=" &amp; AJ32,AI33:$AI$39)))</f>
        <v>#N/A</v>
      </c>
      <c r="AJ32" s="139" t="e">
        <f t="shared" si="34"/>
        <v>#N/A</v>
      </c>
      <c r="AK32" s="453" t="str">
        <f t="shared" si="27"/>
        <v/>
      </c>
      <c r="AL32" s="146" t="str">
        <f t="shared" si="28"/>
        <v/>
      </c>
      <c r="AM32" s="146" t="str">
        <f t="shared" si="35"/>
        <v/>
      </c>
      <c r="AN32" s="146" t="str">
        <f t="shared" si="5"/>
        <v/>
      </c>
      <c r="AO32" s="146" t="e">
        <f t="shared" si="6"/>
        <v>#N/A</v>
      </c>
      <c r="AP32" s="453" t="str">
        <f t="shared" si="7"/>
        <v/>
      </c>
      <c r="AQ32" s="140">
        <f t="shared" si="29"/>
        <v>0</v>
      </c>
      <c r="AR32" s="141" t="str">
        <f t="shared" si="8"/>
        <v/>
      </c>
      <c r="AS32" s="142">
        <f t="shared" si="30"/>
        <v>0</v>
      </c>
      <c r="AT32" s="141" t="str">
        <f t="shared" si="9"/>
        <v/>
      </c>
      <c r="AU32" s="143">
        <f t="shared" si="10"/>
        <v>0</v>
      </c>
      <c r="AV32" s="144" t="str">
        <f t="shared" si="11"/>
        <v/>
      </c>
      <c r="AW32" s="143" t="b">
        <f t="shared" si="12"/>
        <v>0</v>
      </c>
      <c r="AX32" s="145" t="b">
        <f t="shared" si="13"/>
        <v>0</v>
      </c>
      <c r="AY32" s="143" t="b">
        <f t="shared" si="14"/>
        <v>0</v>
      </c>
      <c r="AZ32" s="145" t="b">
        <f t="shared" si="15"/>
        <v>0</v>
      </c>
      <c r="BA32" s="453" t="b">
        <f t="shared" si="16"/>
        <v>0</v>
      </c>
      <c r="BB32" s="453" t="b">
        <f t="shared" si="17"/>
        <v>0</v>
      </c>
      <c r="BC32" s="143" t="b">
        <f t="shared" si="18"/>
        <v>0</v>
      </c>
      <c r="BD32" s="146" t="b">
        <f t="shared" si="31"/>
        <v>0</v>
      </c>
      <c r="BE32" s="145" t="b">
        <f t="shared" si="37"/>
        <v>0</v>
      </c>
      <c r="BF32" s="147" t="b">
        <f t="shared" ref="BF32:BF39" si="39">IF(OR(ISNA($Z32),H32&lt;&gt;"NG"),FALSE,IF(AND(J32="NA",K32&lt;&gt;""),TRUE,FALSE))</f>
        <v>0</v>
      </c>
      <c r="BG32" s="453" t="str">
        <f t="shared" si="38"/>
        <v>NA</v>
      </c>
      <c r="BH32" s="453" t="str">
        <f t="shared" si="32"/>
        <v/>
      </c>
      <c r="BI32" s="453" t="str">
        <f t="shared" si="22"/>
        <v/>
      </c>
      <c r="BJ32" s="453" t="str">
        <f t="shared" si="23"/>
        <v/>
      </c>
      <c r="BK32" s="453" t="str">
        <f t="shared" si="24"/>
        <v/>
      </c>
      <c r="BL32" s="148" t="str">
        <f t="shared" si="33"/>
        <v/>
      </c>
      <c r="BM32" s="453" t="str">
        <f t="shared" si="25"/>
        <v/>
      </c>
      <c r="BN32" s="453" t="str">
        <f t="shared" si="26"/>
        <v/>
      </c>
      <c r="BO32" s="155" t="s">
        <v>370</v>
      </c>
      <c r="BP32" s="161" t="s">
        <v>371</v>
      </c>
    </row>
    <row r="33" spans="2:73" s="94" customFormat="1" ht="12.95" customHeight="1" x14ac:dyDescent="0.2">
      <c r="B33" s="151" t="str">
        <f>IF(ISNA(Z33),"",IF(OR(Z33=1,Z33=2),"    ",MAX($B$8:B32)+1))</f>
        <v/>
      </c>
      <c r="C33" s="904" t="str">
        <f t="shared" si="0"/>
        <v/>
      </c>
      <c r="D33" s="904"/>
      <c r="E33" s="904"/>
      <c r="F33" s="905"/>
      <c r="G33" s="133" t="str">
        <f t="shared" si="1"/>
        <v/>
      </c>
      <c r="H33" s="134" t="str">
        <f t="shared" si="2"/>
        <v/>
      </c>
      <c r="I33" s="152" t="str">
        <f t="shared" si="2"/>
        <v/>
      </c>
      <c r="J33" s="158"/>
      <c r="K33" s="159"/>
      <c r="L33" s="1015"/>
      <c r="M33" s="1016"/>
      <c r="N33" s="1016"/>
      <c r="O33" s="1016"/>
      <c r="P33" s="1016"/>
      <c r="Q33" s="1016"/>
      <c r="R33" s="1017"/>
      <c r="T33" s="99">
        <v>26</v>
      </c>
      <c r="U33" s="88" t="e">
        <v>#N/A</v>
      </c>
      <c r="V33" s="453" t="e">
        <v>#N/A</v>
      </c>
      <c r="W33" s="453" t="e">
        <v>#N/A</v>
      </c>
      <c r="X33" s="453" t="e">
        <v>#N/A</v>
      </c>
      <c r="Y33" s="453" t="e">
        <v>#N/A</v>
      </c>
      <c r="Z33" s="146" t="e">
        <v>#N/A</v>
      </c>
      <c r="AA33" s="146" t="e">
        <v>#N/A</v>
      </c>
      <c r="AB33" s="146" t="e">
        <v>#N/A</v>
      </c>
      <c r="AC33" s="453" t="e">
        <v>#N/A</v>
      </c>
      <c r="AD33" s="453" t="e">
        <v>#N/A</v>
      </c>
      <c r="AE33" s="453" t="e">
        <v>#N/A</v>
      </c>
      <c r="AF33" s="453" t="e">
        <v>#N/A</v>
      </c>
      <c r="AG33" s="453" t="e">
        <f t="shared" si="3"/>
        <v>#N/A</v>
      </c>
      <c r="AH33" s="453" t="str">
        <f t="shared" si="4"/>
        <v/>
      </c>
      <c r="AI33" s="138" t="e">
        <f>IF(NOT(OR(Z33=1,Z33=2)),IF(AQ33&gt;0,$AR$44*AQ33/SUMIF($AQ$8:$AQ$39,"&gt;0"),IF(AU33&gt;0,$AV$44*AU33/SUMIF($AU$8:$AU$39,"&gt;0"),IF(AS33&gt;0,$AT$44*AS33/SUMIF($AS$8:$AS$39,"&gt;0"),""))),IF(SUMIF(AJ34:$AJ$39,"=" &amp; AJ33,AI34:$AI$39)=0,"",SUMIF(AJ34:$AJ$39,"=" &amp; AJ33,AI34:$AI$39)))</f>
        <v>#N/A</v>
      </c>
      <c r="AJ33" s="139" t="e">
        <f t="shared" si="34"/>
        <v>#N/A</v>
      </c>
      <c r="AK33" s="453" t="str">
        <f t="shared" si="27"/>
        <v/>
      </c>
      <c r="AL33" s="146" t="str">
        <f t="shared" si="28"/>
        <v/>
      </c>
      <c r="AM33" s="146" t="str">
        <f t="shared" si="35"/>
        <v/>
      </c>
      <c r="AN33" s="146" t="str">
        <f t="shared" si="5"/>
        <v/>
      </c>
      <c r="AO33" s="146" t="e">
        <f t="shared" si="6"/>
        <v>#N/A</v>
      </c>
      <c r="AP33" s="453" t="str">
        <f t="shared" si="7"/>
        <v/>
      </c>
      <c r="AQ33" s="140">
        <f t="shared" si="29"/>
        <v>0</v>
      </c>
      <c r="AR33" s="141" t="str">
        <f t="shared" si="8"/>
        <v/>
      </c>
      <c r="AS33" s="142">
        <f t="shared" si="30"/>
        <v>0</v>
      </c>
      <c r="AT33" s="141" t="str">
        <f t="shared" si="9"/>
        <v/>
      </c>
      <c r="AU33" s="143">
        <f t="shared" si="10"/>
        <v>0</v>
      </c>
      <c r="AV33" s="144" t="str">
        <f t="shared" si="11"/>
        <v/>
      </c>
      <c r="AW33" s="143" t="b">
        <f t="shared" si="12"/>
        <v>0</v>
      </c>
      <c r="AX33" s="145" t="b">
        <f t="shared" si="13"/>
        <v>0</v>
      </c>
      <c r="AY33" s="143" t="b">
        <f t="shared" si="14"/>
        <v>0</v>
      </c>
      <c r="AZ33" s="145" t="b">
        <f t="shared" si="15"/>
        <v>0</v>
      </c>
      <c r="BA33" s="453" t="b">
        <f t="shared" si="16"/>
        <v>0</v>
      </c>
      <c r="BB33" s="453" t="b">
        <f t="shared" si="17"/>
        <v>0</v>
      </c>
      <c r="BC33" s="143" t="b">
        <f t="shared" si="18"/>
        <v>0</v>
      </c>
      <c r="BD33" s="146" t="b">
        <f t="shared" si="31"/>
        <v>0</v>
      </c>
      <c r="BE33" s="145" t="b">
        <f t="shared" si="37"/>
        <v>0</v>
      </c>
      <c r="BF33" s="147" t="b">
        <f t="shared" si="39"/>
        <v>0</v>
      </c>
      <c r="BG33" s="453" t="str">
        <f t="shared" si="38"/>
        <v>NA</v>
      </c>
      <c r="BH33" s="453" t="str">
        <f t="shared" si="32"/>
        <v/>
      </c>
      <c r="BI33" s="453" t="str">
        <f t="shared" si="22"/>
        <v/>
      </c>
      <c r="BJ33" s="453" t="str">
        <f t="shared" si="23"/>
        <v/>
      </c>
      <c r="BK33" s="453" t="str">
        <f t="shared" si="24"/>
        <v/>
      </c>
      <c r="BL33" s="148" t="str">
        <f t="shared" si="33"/>
        <v/>
      </c>
      <c r="BM33" s="453" t="str">
        <f t="shared" si="25"/>
        <v/>
      </c>
      <c r="BN33" s="453" t="str">
        <f t="shared" si="26"/>
        <v/>
      </c>
      <c r="BO33" s="150" t="s">
        <v>372</v>
      </c>
      <c r="BP33" s="161"/>
      <c r="BQ33" s="161"/>
      <c r="BR33" s="161"/>
      <c r="BS33" s="161"/>
      <c r="BT33" s="161"/>
      <c r="BU33" s="161"/>
    </row>
    <row r="34" spans="2:73" s="94" customFormat="1" ht="12.95" customHeight="1" x14ac:dyDescent="0.2">
      <c r="B34" s="151" t="str">
        <f>IF(ISNA(Z34),"",IF(OR(Z34=1,Z34=2),"    ",MAX($B$8:B33)+1))</f>
        <v/>
      </c>
      <c r="C34" s="904" t="str">
        <f t="shared" si="0"/>
        <v/>
      </c>
      <c r="D34" s="904"/>
      <c r="E34" s="904"/>
      <c r="F34" s="905"/>
      <c r="G34" s="133" t="str">
        <f t="shared" si="1"/>
        <v/>
      </c>
      <c r="H34" s="134" t="str">
        <f t="shared" si="2"/>
        <v/>
      </c>
      <c r="I34" s="152" t="str">
        <f t="shared" si="2"/>
        <v/>
      </c>
      <c r="J34" s="158"/>
      <c r="K34" s="159"/>
      <c r="L34" s="1015"/>
      <c r="M34" s="1016"/>
      <c r="N34" s="1016"/>
      <c r="O34" s="1016"/>
      <c r="P34" s="1016"/>
      <c r="Q34" s="1016"/>
      <c r="R34" s="1017"/>
      <c r="T34" s="99">
        <v>27</v>
      </c>
      <c r="U34" s="88" t="e">
        <v>#N/A</v>
      </c>
      <c r="V34" s="453" t="e">
        <v>#N/A</v>
      </c>
      <c r="W34" s="453" t="e">
        <v>#N/A</v>
      </c>
      <c r="X34" s="453" t="e">
        <v>#N/A</v>
      </c>
      <c r="Y34" s="453" t="e">
        <v>#N/A</v>
      </c>
      <c r="Z34" s="146" t="e">
        <v>#N/A</v>
      </c>
      <c r="AA34" s="146" t="e">
        <v>#N/A</v>
      </c>
      <c r="AB34" s="146" t="e">
        <v>#N/A</v>
      </c>
      <c r="AC34" s="453" t="e">
        <v>#N/A</v>
      </c>
      <c r="AD34" s="453" t="e">
        <v>#N/A</v>
      </c>
      <c r="AE34" s="453" t="e">
        <v>#N/A</v>
      </c>
      <c r="AF34" s="453" t="e">
        <v>#N/A</v>
      </c>
      <c r="AG34" s="453" t="e">
        <f t="shared" si="3"/>
        <v>#N/A</v>
      </c>
      <c r="AH34" s="453" t="str">
        <f t="shared" si="4"/>
        <v/>
      </c>
      <c r="AI34" s="138" t="e">
        <f>IF(NOT(OR(Z34=1,Z34=2)),IF(AQ34&gt;0,$AR$44*AQ34/SUMIF($AQ$8:$AQ$39,"&gt;0"),IF(AU34&gt;0,$AV$44*AU34/SUMIF($AU$8:$AU$39,"&gt;0"),IF(AS34&gt;0,$AT$44*AS34/SUMIF($AS$8:$AS$39,"&gt;0"),""))),IF(SUMIF(AJ35:$AJ$39,"=" &amp; AJ34,AI35:$AI$39)=0,"",SUMIF(AJ35:$AJ$39,"=" &amp; AJ34,AI35:$AI$39)))</f>
        <v>#N/A</v>
      </c>
      <c r="AJ34" s="139" t="e">
        <f t="shared" si="34"/>
        <v>#N/A</v>
      </c>
      <c r="AK34" s="453" t="str">
        <f t="shared" si="27"/>
        <v/>
      </c>
      <c r="AL34" s="146" t="str">
        <f t="shared" si="28"/>
        <v/>
      </c>
      <c r="AM34" s="146" t="str">
        <f t="shared" si="35"/>
        <v/>
      </c>
      <c r="AN34" s="146" t="str">
        <f t="shared" si="5"/>
        <v/>
      </c>
      <c r="AO34" s="146" t="e">
        <f t="shared" si="6"/>
        <v>#N/A</v>
      </c>
      <c r="AP34" s="453" t="str">
        <f t="shared" si="7"/>
        <v/>
      </c>
      <c r="AQ34" s="140">
        <f t="shared" si="29"/>
        <v>0</v>
      </c>
      <c r="AR34" s="141" t="str">
        <f t="shared" si="8"/>
        <v/>
      </c>
      <c r="AS34" s="142">
        <f t="shared" si="30"/>
        <v>0</v>
      </c>
      <c r="AT34" s="141" t="str">
        <f t="shared" si="9"/>
        <v/>
      </c>
      <c r="AU34" s="143">
        <f t="shared" si="10"/>
        <v>0</v>
      </c>
      <c r="AV34" s="144" t="str">
        <f t="shared" si="11"/>
        <v/>
      </c>
      <c r="AW34" s="143" t="b">
        <f t="shared" si="12"/>
        <v>0</v>
      </c>
      <c r="AX34" s="145" t="b">
        <f t="shared" si="13"/>
        <v>0</v>
      </c>
      <c r="AY34" s="143" t="b">
        <f t="shared" si="14"/>
        <v>0</v>
      </c>
      <c r="AZ34" s="145" t="b">
        <f t="shared" si="15"/>
        <v>0</v>
      </c>
      <c r="BA34" s="453" t="b">
        <f t="shared" si="16"/>
        <v>0</v>
      </c>
      <c r="BB34" s="453" t="b">
        <f t="shared" si="17"/>
        <v>0</v>
      </c>
      <c r="BC34" s="143" t="b">
        <f t="shared" si="18"/>
        <v>0</v>
      </c>
      <c r="BD34" s="146" t="b">
        <f t="shared" si="31"/>
        <v>0</v>
      </c>
      <c r="BE34" s="145" t="b">
        <f t="shared" si="37"/>
        <v>0</v>
      </c>
      <c r="BF34" s="147" t="b">
        <f t="shared" si="39"/>
        <v>0</v>
      </c>
      <c r="BG34" s="453" t="str">
        <f t="shared" si="38"/>
        <v>NA</v>
      </c>
      <c r="BH34" s="453" t="str">
        <f t="shared" si="32"/>
        <v/>
      </c>
      <c r="BI34" s="453" t="str">
        <f t="shared" si="22"/>
        <v/>
      </c>
      <c r="BJ34" s="453" t="str">
        <f t="shared" si="23"/>
        <v/>
      </c>
      <c r="BK34" s="453" t="str">
        <f t="shared" si="24"/>
        <v/>
      </c>
      <c r="BL34" s="148" t="str">
        <f t="shared" si="33"/>
        <v/>
      </c>
      <c r="BM34" s="453" t="str">
        <f t="shared" si="25"/>
        <v/>
      </c>
      <c r="BN34" s="453" t="str">
        <f t="shared" si="26"/>
        <v/>
      </c>
      <c r="BO34" s="1023"/>
      <c r="BP34" s="1024"/>
      <c r="BQ34" s="1024"/>
      <c r="BR34" s="1024"/>
      <c r="BS34" s="1024"/>
      <c r="BT34" s="1024"/>
      <c r="BU34" s="1025"/>
    </row>
    <row r="35" spans="2:73" s="94" customFormat="1" ht="12.95" customHeight="1" x14ac:dyDescent="0.2">
      <c r="B35" s="151" t="str">
        <f>IF(ISNA(Z35),"",IF(OR(Z35=1,Z35=2),"    ",MAX($B$8:B34)+1))</f>
        <v/>
      </c>
      <c r="C35" s="904" t="str">
        <f t="shared" si="0"/>
        <v/>
      </c>
      <c r="D35" s="904"/>
      <c r="E35" s="904"/>
      <c r="F35" s="905"/>
      <c r="G35" s="133" t="str">
        <f t="shared" si="1"/>
        <v/>
      </c>
      <c r="H35" s="134" t="str">
        <f t="shared" si="2"/>
        <v/>
      </c>
      <c r="I35" s="152" t="str">
        <f t="shared" si="2"/>
        <v/>
      </c>
      <c r="J35" s="158"/>
      <c r="K35" s="159"/>
      <c r="L35" s="1015"/>
      <c r="M35" s="1016"/>
      <c r="N35" s="1016"/>
      <c r="O35" s="1016"/>
      <c r="P35" s="1016"/>
      <c r="Q35" s="1016"/>
      <c r="R35" s="1017"/>
      <c r="T35" s="99">
        <v>28</v>
      </c>
      <c r="U35" s="88" t="e">
        <v>#N/A</v>
      </c>
      <c r="V35" s="453" t="e">
        <v>#N/A</v>
      </c>
      <c r="W35" s="453" t="e">
        <v>#N/A</v>
      </c>
      <c r="X35" s="453" t="e">
        <v>#N/A</v>
      </c>
      <c r="Y35" s="453" t="e">
        <v>#N/A</v>
      </c>
      <c r="Z35" s="146" t="e">
        <v>#N/A</v>
      </c>
      <c r="AA35" s="146" t="e">
        <v>#N/A</v>
      </c>
      <c r="AB35" s="146" t="e">
        <v>#N/A</v>
      </c>
      <c r="AC35" s="453" t="e">
        <v>#N/A</v>
      </c>
      <c r="AD35" s="453" t="e">
        <v>#N/A</v>
      </c>
      <c r="AE35" s="453" t="e">
        <v>#N/A</v>
      </c>
      <c r="AF35" s="453" t="e">
        <v>#N/A</v>
      </c>
      <c r="AG35" s="453" t="e">
        <f t="shared" si="3"/>
        <v>#N/A</v>
      </c>
      <c r="AH35" s="453" t="str">
        <f t="shared" si="4"/>
        <v/>
      </c>
      <c r="AI35" s="138" t="e">
        <f>IF(NOT(OR(Z35=1,Z35=2)),IF(AQ35&gt;0,$AR$44*AQ35/SUMIF($AQ$8:$AQ$39,"&gt;0"),IF(AU35&gt;0,$AV$44*AU35/SUMIF($AU$8:$AU$39,"&gt;0"),IF(AS35&gt;0,$AT$44*AS35/SUMIF($AS$8:$AS$39,"&gt;0"),""))),IF(SUMIF(AJ36:$AJ$39,"=" &amp; AJ35,AI36:$AI$39)=0,"",SUMIF(AJ36:$AJ$39,"=" &amp; AJ35,AI36:$AI$39)))</f>
        <v>#N/A</v>
      </c>
      <c r="AJ35" s="139" t="e">
        <f t="shared" si="34"/>
        <v>#N/A</v>
      </c>
      <c r="AK35" s="453" t="str">
        <f t="shared" si="27"/>
        <v/>
      </c>
      <c r="AL35" s="146" t="str">
        <f t="shared" si="28"/>
        <v/>
      </c>
      <c r="AM35" s="146" t="str">
        <f t="shared" si="35"/>
        <v/>
      </c>
      <c r="AN35" s="146" t="str">
        <f t="shared" si="5"/>
        <v/>
      </c>
      <c r="AO35" s="146" t="e">
        <f t="shared" si="6"/>
        <v>#N/A</v>
      </c>
      <c r="AP35" s="453" t="str">
        <f t="shared" si="7"/>
        <v/>
      </c>
      <c r="AQ35" s="140">
        <f t="shared" si="29"/>
        <v>0</v>
      </c>
      <c r="AR35" s="141" t="str">
        <f t="shared" si="8"/>
        <v/>
      </c>
      <c r="AS35" s="142">
        <f t="shared" si="30"/>
        <v>0</v>
      </c>
      <c r="AT35" s="141" t="str">
        <f t="shared" si="9"/>
        <v/>
      </c>
      <c r="AU35" s="143">
        <f t="shared" si="10"/>
        <v>0</v>
      </c>
      <c r="AV35" s="144" t="str">
        <f t="shared" si="11"/>
        <v/>
      </c>
      <c r="AW35" s="143" t="b">
        <f t="shared" si="12"/>
        <v>0</v>
      </c>
      <c r="AX35" s="145" t="b">
        <f t="shared" si="13"/>
        <v>0</v>
      </c>
      <c r="AY35" s="143" t="b">
        <f t="shared" si="14"/>
        <v>0</v>
      </c>
      <c r="AZ35" s="145" t="b">
        <f t="shared" si="15"/>
        <v>0</v>
      </c>
      <c r="BA35" s="453" t="b">
        <f t="shared" si="16"/>
        <v>0</v>
      </c>
      <c r="BB35" s="453" t="b">
        <f t="shared" si="17"/>
        <v>0</v>
      </c>
      <c r="BC35" s="143" t="b">
        <f t="shared" si="18"/>
        <v>0</v>
      </c>
      <c r="BD35" s="146" t="b">
        <f t="shared" si="31"/>
        <v>0</v>
      </c>
      <c r="BE35" s="145" t="b">
        <f t="shared" si="37"/>
        <v>0</v>
      </c>
      <c r="BF35" s="147" t="b">
        <f t="shared" si="39"/>
        <v>0</v>
      </c>
      <c r="BG35" s="453" t="str">
        <f t="shared" si="38"/>
        <v>NA</v>
      </c>
      <c r="BH35" s="453" t="str">
        <f t="shared" si="32"/>
        <v/>
      </c>
      <c r="BI35" s="453" t="str">
        <f t="shared" si="22"/>
        <v/>
      </c>
      <c r="BJ35" s="453" t="str">
        <f t="shared" si="23"/>
        <v/>
      </c>
      <c r="BK35" s="453" t="str">
        <f t="shared" si="24"/>
        <v/>
      </c>
      <c r="BL35" s="148" t="str">
        <f t="shared" si="33"/>
        <v/>
      </c>
      <c r="BM35" s="453" t="str">
        <f t="shared" si="25"/>
        <v/>
      </c>
      <c r="BN35" s="453" t="str">
        <f t="shared" si="26"/>
        <v/>
      </c>
      <c r="BO35" s="1026"/>
      <c r="BP35" s="1027"/>
      <c r="BQ35" s="1027"/>
      <c r="BR35" s="1027"/>
      <c r="BS35" s="1027"/>
      <c r="BT35" s="1027"/>
      <c r="BU35" s="1028"/>
    </row>
    <row r="36" spans="2:73" s="94" customFormat="1" ht="12.95" customHeight="1" x14ac:dyDescent="0.2">
      <c r="B36" s="151" t="str">
        <f>IF(ISNA(Z36),"",IF(OR(Z36=1,Z36=2),"    ",MAX($B$8:B35)+1))</f>
        <v/>
      </c>
      <c r="C36" s="904" t="str">
        <f t="shared" si="0"/>
        <v/>
      </c>
      <c r="D36" s="904"/>
      <c r="E36" s="904"/>
      <c r="F36" s="905"/>
      <c r="G36" s="133" t="str">
        <f t="shared" si="1"/>
        <v/>
      </c>
      <c r="H36" s="134" t="str">
        <f t="shared" si="2"/>
        <v/>
      </c>
      <c r="I36" s="152" t="str">
        <f t="shared" si="2"/>
        <v/>
      </c>
      <c r="J36" s="158"/>
      <c r="K36" s="159"/>
      <c r="L36" s="1015"/>
      <c r="M36" s="1016"/>
      <c r="N36" s="1016"/>
      <c r="O36" s="1016"/>
      <c r="P36" s="1016"/>
      <c r="Q36" s="1016"/>
      <c r="R36" s="1017"/>
      <c r="T36" s="99">
        <v>29</v>
      </c>
      <c r="U36" s="88" t="e">
        <v>#N/A</v>
      </c>
      <c r="V36" s="453" t="e">
        <v>#N/A</v>
      </c>
      <c r="W36" s="453" t="e">
        <v>#N/A</v>
      </c>
      <c r="X36" s="453" t="e">
        <v>#N/A</v>
      </c>
      <c r="Y36" s="453" t="e">
        <v>#N/A</v>
      </c>
      <c r="Z36" s="146" t="e">
        <v>#N/A</v>
      </c>
      <c r="AA36" s="146" t="e">
        <v>#N/A</v>
      </c>
      <c r="AB36" s="146" t="e">
        <v>#N/A</v>
      </c>
      <c r="AC36" s="453" t="e">
        <v>#N/A</v>
      </c>
      <c r="AD36" s="453" t="e">
        <v>#N/A</v>
      </c>
      <c r="AE36" s="453" t="e">
        <v>#N/A</v>
      </c>
      <c r="AF36" s="453" t="e">
        <v>#N/A</v>
      </c>
      <c r="AG36" s="453" t="e">
        <f t="shared" si="3"/>
        <v>#N/A</v>
      </c>
      <c r="AH36" s="453" t="str">
        <f t="shared" si="4"/>
        <v/>
      </c>
      <c r="AI36" s="138" t="e">
        <f>IF(NOT(OR(Z36=1,Z36=2)),IF(AQ36&gt;0,$AR$44*AQ36/SUMIF($AQ$8:$AQ$39,"&gt;0"),IF(AU36&gt;0,$AV$44*AU36/SUMIF($AU$8:$AU$39,"&gt;0"),IF(AS36&gt;0,$AT$44*AS36/SUMIF($AS$8:$AS$39,"&gt;0"),""))),IF(SUMIF(AJ37:$AJ$39,"=" &amp; AJ36,AI37:$AI$39)=0,"",SUMIF(AJ37:$AJ$39,"=" &amp; AJ36,AI37:$AI$39)))</f>
        <v>#N/A</v>
      </c>
      <c r="AJ36" s="139" t="e">
        <f t="shared" si="34"/>
        <v>#N/A</v>
      </c>
      <c r="AK36" s="453" t="str">
        <f t="shared" si="27"/>
        <v/>
      </c>
      <c r="AL36" s="146" t="str">
        <f t="shared" si="28"/>
        <v/>
      </c>
      <c r="AM36" s="146" t="str">
        <f t="shared" si="35"/>
        <v/>
      </c>
      <c r="AN36" s="146" t="str">
        <f t="shared" si="5"/>
        <v/>
      </c>
      <c r="AO36" s="146" t="e">
        <f t="shared" si="6"/>
        <v>#N/A</v>
      </c>
      <c r="AP36" s="453" t="str">
        <f t="shared" si="7"/>
        <v/>
      </c>
      <c r="AQ36" s="140">
        <f t="shared" si="29"/>
        <v>0</v>
      </c>
      <c r="AR36" s="141" t="str">
        <f t="shared" si="8"/>
        <v/>
      </c>
      <c r="AS36" s="142">
        <f t="shared" si="30"/>
        <v>0</v>
      </c>
      <c r="AT36" s="141" t="str">
        <f t="shared" si="9"/>
        <v/>
      </c>
      <c r="AU36" s="143">
        <f t="shared" si="10"/>
        <v>0</v>
      </c>
      <c r="AV36" s="144" t="str">
        <f t="shared" si="11"/>
        <v/>
      </c>
      <c r="AW36" s="143" t="b">
        <f t="shared" si="12"/>
        <v>0</v>
      </c>
      <c r="AX36" s="145" t="b">
        <f t="shared" si="13"/>
        <v>0</v>
      </c>
      <c r="AY36" s="143" t="b">
        <f t="shared" si="14"/>
        <v>0</v>
      </c>
      <c r="AZ36" s="145" t="b">
        <f t="shared" si="15"/>
        <v>0</v>
      </c>
      <c r="BA36" s="453" t="b">
        <f t="shared" si="16"/>
        <v>0</v>
      </c>
      <c r="BB36" s="453" t="b">
        <f t="shared" si="17"/>
        <v>0</v>
      </c>
      <c r="BC36" s="143" t="b">
        <f t="shared" si="18"/>
        <v>0</v>
      </c>
      <c r="BD36" s="146" t="b">
        <f t="shared" si="31"/>
        <v>0</v>
      </c>
      <c r="BE36" s="145" t="b">
        <f t="shared" si="37"/>
        <v>0</v>
      </c>
      <c r="BF36" s="147" t="b">
        <f t="shared" si="39"/>
        <v>0</v>
      </c>
      <c r="BG36" s="453" t="str">
        <f t="shared" si="38"/>
        <v>NA</v>
      </c>
      <c r="BH36" s="453" t="str">
        <f t="shared" si="32"/>
        <v/>
      </c>
      <c r="BI36" s="453" t="str">
        <f t="shared" si="22"/>
        <v/>
      </c>
      <c r="BJ36" s="453" t="str">
        <f t="shared" si="23"/>
        <v/>
      </c>
      <c r="BK36" s="453" t="str">
        <f t="shared" si="24"/>
        <v/>
      </c>
      <c r="BL36" s="148" t="str">
        <f t="shared" si="33"/>
        <v/>
      </c>
      <c r="BM36" s="453" t="str">
        <f t="shared" si="25"/>
        <v/>
      </c>
      <c r="BN36" s="453" t="str">
        <f t="shared" si="26"/>
        <v/>
      </c>
      <c r="BO36" s="1026"/>
      <c r="BP36" s="1027"/>
      <c r="BQ36" s="1027"/>
      <c r="BR36" s="1027"/>
      <c r="BS36" s="1027"/>
      <c r="BT36" s="1027"/>
      <c r="BU36" s="1028"/>
    </row>
    <row r="37" spans="2:73" s="94" customFormat="1" ht="12.95" customHeight="1" x14ac:dyDescent="0.2">
      <c r="B37" s="151" t="str">
        <f>IF(ISNA(Z37),"",IF(OR(Z37=1,Z37=2),"    ",MAX($B$8:B36)+1))</f>
        <v/>
      </c>
      <c r="C37" s="904" t="str">
        <f>IF(ISNA(Z37),"",CONCATENATE($U37,IF(ISNUMBER(AI37),TEXT(ROUND($AI37,3)," (0.0%)"),""),IF(AU37&gt;0," Bonus","")))</f>
        <v/>
      </c>
      <c r="D37" s="904"/>
      <c r="E37" s="904"/>
      <c r="F37" s="905"/>
      <c r="G37" s="133" t="str">
        <f t="shared" si="1"/>
        <v/>
      </c>
      <c r="H37" s="134" t="str">
        <f t="shared" si="2"/>
        <v/>
      </c>
      <c r="I37" s="152" t="str">
        <f t="shared" si="2"/>
        <v/>
      </c>
      <c r="J37" s="158"/>
      <c r="K37" s="159"/>
      <c r="L37" s="1015"/>
      <c r="M37" s="1016"/>
      <c r="N37" s="1016"/>
      <c r="O37" s="1016"/>
      <c r="P37" s="1016"/>
      <c r="Q37" s="1016"/>
      <c r="R37" s="1017"/>
      <c r="T37" s="99">
        <v>30</v>
      </c>
      <c r="U37" s="88" t="e">
        <v>#N/A</v>
      </c>
      <c r="V37" s="453" t="e">
        <v>#N/A</v>
      </c>
      <c r="W37" s="453" t="e">
        <v>#N/A</v>
      </c>
      <c r="X37" s="453" t="e">
        <v>#N/A</v>
      </c>
      <c r="Y37" s="453" t="e">
        <v>#N/A</v>
      </c>
      <c r="Z37" s="146" t="e">
        <v>#N/A</v>
      </c>
      <c r="AA37" s="146" t="e">
        <v>#N/A</v>
      </c>
      <c r="AB37" s="146" t="e">
        <v>#N/A</v>
      </c>
      <c r="AC37" s="453" t="e">
        <v>#N/A</v>
      </c>
      <c r="AD37" s="453" t="e">
        <v>#N/A</v>
      </c>
      <c r="AE37" s="453" t="e">
        <v>#N/A</v>
      </c>
      <c r="AF37" s="453" t="e">
        <v>#N/A</v>
      </c>
      <c r="AG37" s="453" t="e">
        <f t="shared" si="3"/>
        <v>#N/A</v>
      </c>
      <c r="AH37" s="453" t="str">
        <f t="shared" si="4"/>
        <v/>
      </c>
      <c r="AI37" s="138" t="e">
        <f>IF(NOT(OR(Z37=1,Z37=2)),IF(AQ37&gt;0,$AR$44*AQ37/SUMIF($AQ$8:$AQ$39,"&gt;0"),IF(AU37&gt;0,$AV$44*AU37/SUMIF($AU$8:$AU$39,"&gt;0"),IF(AS37&gt;0,$AT$44*AS37/SUMIF($AS$8:$AS$39,"&gt;0"),""))),IF(SUMIF(AJ38:$AJ$39,"=" &amp; AJ37,AI38:$AI$39)=0,"",SUMIF(AJ38:$AJ$39,"=" &amp; AJ37,AI38:$AI$39)))</f>
        <v>#N/A</v>
      </c>
      <c r="AJ37" s="139" t="e">
        <f t="shared" si="34"/>
        <v>#N/A</v>
      </c>
      <c r="AK37" s="453" t="str">
        <f t="shared" si="27"/>
        <v/>
      </c>
      <c r="AL37" s="146" t="str">
        <f t="shared" si="28"/>
        <v/>
      </c>
      <c r="AM37" s="146" t="str">
        <f t="shared" si="35"/>
        <v/>
      </c>
      <c r="AN37" s="146" t="str">
        <f>IF(ISNUMBER(AH37),IF(AND(AB37=0,ISNUMBER(AC37),ISNUMBER(AL37)),1,""),"")</f>
        <v/>
      </c>
      <c r="AO37" s="146" t="e">
        <f t="shared" si="6"/>
        <v>#N/A</v>
      </c>
      <c r="AP37" s="453" t="str">
        <f t="shared" si="7"/>
        <v/>
      </c>
      <c r="AQ37" s="140">
        <f t="shared" si="29"/>
        <v>0</v>
      </c>
      <c r="AR37" s="141" t="str">
        <f t="shared" si="8"/>
        <v/>
      </c>
      <c r="AS37" s="142">
        <f t="shared" si="30"/>
        <v>0</v>
      </c>
      <c r="AT37" s="141" t="str">
        <f t="shared" si="9"/>
        <v/>
      </c>
      <c r="AU37" s="143">
        <f t="shared" si="10"/>
        <v>0</v>
      </c>
      <c r="AV37" s="144" t="str">
        <f t="shared" si="11"/>
        <v/>
      </c>
      <c r="AW37" s="143" t="b">
        <f t="shared" si="12"/>
        <v>0</v>
      </c>
      <c r="AX37" s="145" t="b">
        <f t="shared" si="13"/>
        <v>0</v>
      </c>
      <c r="AY37" s="143" t="b">
        <f t="shared" si="14"/>
        <v>0</v>
      </c>
      <c r="AZ37" s="145" t="b">
        <f t="shared" si="15"/>
        <v>0</v>
      </c>
      <c r="BA37" s="453" t="b">
        <f t="shared" si="16"/>
        <v>0</v>
      </c>
      <c r="BB37" s="453" t="b">
        <f t="shared" si="17"/>
        <v>0</v>
      </c>
      <c r="BC37" s="143" t="b">
        <f t="shared" si="18"/>
        <v>0</v>
      </c>
      <c r="BD37" s="146" t="b">
        <f t="shared" si="31"/>
        <v>0</v>
      </c>
      <c r="BE37" s="145" t="b">
        <f t="shared" si="37"/>
        <v>0</v>
      </c>
      <c r="BF37" s="147" t="b">
        <f t="shared" si="39"/>
        <v>0</v>
      </c>
      <c r="BG37" s="453" t="str">
        <f t="shared" si="38"/>
        <v>NA</v>
      </c>
      <c r="BH37" s="453" t="str">
        <f t="shared" si="32"/>
        <v/>
      </c>
      <c r="BI37" s="453" t="str">
        <f t="shared" si="22"/>
        <v/>
      </c>
      <c r="BJ37" s="453" t="str">
        <f t="shared" si="23"/>
        <v/>
      </c>
      <c r="BK37" s="453" t="str">
        <f t="shared" si="24"/>
        <v/>
      </c>
      <c r="BL37" s="148" t="str">
        <f t="shared" si="33"/>
        <v/>
      </c>
      <c r="BM37" s="453" t="str">
        <f t="shared" si="25"/>
        <v/>
      </c>
      <c r="BN37" s="453" t="str">
        <f t="shared" si="26"/>
        <v/>
      </c>
      <c r="BO37" s="1029"/>
      <c r="BP37" s="1030"/>
      <c r="BQ37" s="1030"/>
      <c r="BR37" s="1030"/>
      <c r="BS37" s="1030"/>
      <c r="BT37" s="1030"/>
      <c r="BU37" s="1031"/>
    </row>
    <row r="38" spans="2:73" s="94" customFormat="1" ht="12.95" customHeight="1" x14ac:dyDescent="0.2">
      <c r="B38" s="151" t="str">
        <f>IF(ISNA(Z38),"",IF(OR(Z38=1,Z38=2),"    ",MAX($B$8:B37)+1))</f>
        <v/>
      </c>
      <c r="C38" s="904" t="str">
        <f t="shared" ref="C38:C39" si="40">IF(ISNA(Z38),"",CONCATENATE($U38,IF(ISNUMBER(AI38),TEXT(ROUND($AI38,3)," (0.0%)"),""),IF(AU38&gt;0," Bonus","")))</f>
        <v/>
      </c>
      <c r="D38" s="904"/>
      <c r="E38" s="904"/>
      <c r="F38" s="905"/>
      <c r="G38" s="133" t="str">
        <f t="shared" si="1"/>
        <v/>
      </c>
      <c r="H38" s="134" t="str">
        <f t="shared" si="2"/>
        <v/>
      </c>
      <c r="I38" s="152" t="str">
        <f t="shared" si="2"/>
        <v/>
      </c>
      <c r="J38" s="158"/>
      <c r="K38" s="159"/>
      <c r="L38" s="1015"/>
      <c r="M38" s="1016"/>
      <c r="N38" s="1016"/>
      <c r="O38" s="1016"/>
      <c r="P38" s="1016"/>
      <c r="Q38" s="1016"/>
      <c r="R38" s="1017"/>
      <c r="T38" s="99">
        <v>31</v>
      </c>
      <c r="U38" s="88" t="e">
        <v>#N/A</v>
      </c>
      <c r="V38" s="453" t="e">
        <v>#N/A</v>
      </c>
      <c r="W38" s="453" t="e">
        <v>#N/A</v>
      </c>
      <c r="X38" s="453" t="e">
        <v>#N/A</v>
      </c>
      <c r="Y38" s="453" t="e">
        <v>#N/A</v>
      </c>
      <c r="Z38" s="146" t="e">
        <v>#N/A</v>
      </c>
      <c r="AA38" s="146" t="e">
        <v>#N/A</v>
      </c>
      <c r="AB38" s="146" t="e">
        <v>#N/A</v>
      </c>
      <c r="AC38" s="453" t="e">
        <v>#N/A</v>
      </c>
      <c r="AD38" s="453" t="e">
        <v>#N/A</v>
      </c>
      <c r="AE38" s="453" t="e">
        <v>#N/A</v>
      </c>
      <c r="AF38" s="453" t="e">
        <v>#N/A</v>
      </c>
      <c r="AG38" s="453" t="e">
        <f t="shared" si="3"/>
        <v>#N/A</v>
      </c>
      <c r="AH38" s="453" t="str">
        <f t="shared" si="4"/>
        <v/>
      </c>
      <c r="AI38" s="138" t="e">
        <f>IF(NOT(OR(Z38=1,Z38=2)),IF(AQ38&gt;0,$AR$44*AQ38/SUMIF($AQ$8:$AQ$39,"&gt;0"),IF(AU38&gt;0,$AV$44*AU38/SUMIF($AU$8:$AU$39,"&gt;0"),IF(AS38&gt;0,$AT$44*AS38/SUMIF($AS$8:$AS$39,"&gt;0"),""))),IF(SUMIF(AJ39:$AJ$39,"=" &amp; AJ38,AI39:$AI$39)=0,"",SUMIF(AJ39:$AJ$39,"=" &amp; AJ38,AI39:$AI$39)))</f>
        <v>#N/A</v>
      </c>
      <c r="AJ38" s="139" t="e">
        <f t="shared" si="34"/>
        <v>#N/A</v>
      </c>
      <c r="AK38" s="453" t="str">
        <f t="shared" si="27"/>
        <v/>
      </c>
      <c r="AL38" s="146" t="str">
        <f t="shared" si="28"/>
        <v/>
      </c>
      <c r="AM38" s="146" t="str">
        <f t="shared" si="35"/>
        <v/>
      </c>
      <c r="AN38" s="146" t="str">
        <f>IF(ISNUMBER(AH38),IF(AND(AB38=0,ISNUMBER(AC38),ISNUMBER(AL38)),1,""),"")</f>
        <v/>
      </c>
      <c r="AO38" s="146" t="e">
        <f t="shared" si="6"/>
        <v>#N/A</v>
      </c>
      <c r="AP38" s="453" t="str">
        <f t="shared" si="7"/>
        <v/>
      </c>
      <c r="AQ38" s="140">
        <f t="shared" si="29"/>
        <v>0</v>
      </c>
      <c r="AR38" s="141" t="str">
        <f t="shared" si="8"/>
        <v/>
      </c>
      <c r="AS38" s="142">
        <f t="shared" si="30"/>
        <v>0</v>
      </c>
      <c r="AT38" s="141" t="str">
        <f t="shared" si="9"/>
        <v/>
      </c>
      <c r="AU38" s="143">
        <f t="shared" si="10"/>
        <v>0</v>
      </c>
      <c r="AV38" s="144" t="str">
        <f t="shared" si="11"/>
        <v/>
      </c>
      <c r="AW38" s="143" t="b">
        <f t="shared" si="12"/>
        <v>0</v>
      </c>
      <c r="AX38" s="145" t="b">
        <f t="shared" si="13"/>
        <v>0</v>
      </c>
      <c r="AY38" s="143" t="b">
        <f t="shared" si="14"/>
        <v>0</v>
      </c>
      <c r="AZ38" s="145" t="b">
        <f t="shared" si="15"/>
        <v>0</v>
      </c>
      <c r="BA38" s="453" t="b">
        <f t="shared" si="16"/>
        <v>0</v>
      </c>
      <c r="BB38" s="453" t="b">
        <f t="shared" si="17"/>
        <v>0</v>
      </c>
      <c r="BC38" s="143" t="b">
        <f t="shared" si="18"/>
        <v>0</v>
      </c>
      <c r="BD38" s="146" t="b">
        <f t="shared" si="31"/>
        <v>0</v>
      </c>
      <c r="BE38" s="145" t="b">
        <f t="shared" si="37"/>
        <v>0</v>
      </c>
      <c r="BF38" s="147" t="b">
        <f t="shared" si="39"/>
        <v>0</v>
      </c>
      <c r="BG38" s="453" t="str">
        <f t="shared" si="38"/>
        <v>NA</v>
      </c>
      <c r="BH38" s="453" t="str">
        <f t="shared" si="32"/>
        <v/>
      </c>
      <c r="BI38" s="453" t="str">
        <f t="shared" si="22"/>
        <v/>
      </c>
      <c r="BJ38" s="453" t="str">
        <f t="shared" si="23"/>
        <v/>
      </c>
      <c r="BK38" s="453" t="str">
        <f t="shared" si="24"/>
        <v/>
      </c>
      <c r="BL38" s="148" t="str">
        <f t="shared" si="33"/>
        <v/>
      </c>
      <c r="BM38" s="453" t="str">
        <f t="shared" si="25"/>
        <v/>
      </c>
      <c r="BN38" s="453" t="str">
        <f t="shared" si="26"/>
        <v/>
      </c>
      <c r="BO38" s="150" t="s">
        <v>373</v>
      </c>
      <c r="BP38" s="150"/>
      <c r="BQ38" s="150"/>
      <c r="BR38" s="150"/>
      <c r="BS38" s="150"/>
      <c r="BT38" s="150"/>
      <c r="BU38" s="150"/>
    </row>
    <row r="39" spans="2:73" s="94" customFormat="1" ht="12.95" customHeight="1" thickBot="1" x14ac:dyDescent="0.25">
      <c r="B39" s="151" t="str">
        <f>IF(ISNA(Z39),"",IF(OR(Z39=1,Z39=2),"    ",MAX($B$8:B38)+1))</f>
        <v/>
      </c>
      <c r="C39" s="904" t="str">
        <f t="shared" si="40"/>
        <v/>
      </c>
      <c r="D39" s="904"/>
      <c r="E39" s="904"/>
      <c r="F39" s="905"/>
      <c r="G39" s="171" t="str">
        <f t="shared" si="1"/>
        <v/>
      </c>
      <c r="H39" s="134" t="str">
        <f t="shared" si="2"/>
        <v/>
      </c>
      <c r="I39" s="172" t="str">
        <f t="shared" si="2"/>
        <v/>
      </c>
      <c r="J39" s="173"/>
      <c r="K39" s="174"/>
      <c r="L39" s="1018"/>
      <c r="M39" s="1019"/>
      <c r="N39" s="1019"/>
      <c r="O39" s="1019"/>
      <c r="P39" s="1019"/>
      <c r="Q39" s="1019"/>
      <c r="R39" s="1020"/>
      <c r="T39" s="99">
        <v>32</v>
      </c>
      <c r="U39" s="88" t="e">
        <v>#N/A</v>
      </c>
      <c r="V39" s="453" t="e">
        <v>#N/A</v>
      </c>
      <c r="W39" s="453" t="e">
        <v>#N/A</v>
      </c>
      <c r="X39" s="453" t="e">
        <v>#N/A</v>
      </c>
      <c r="Y39" s="453" t="e">
        <v>#N/A</v>
      </c>
      <c r="Z39" s="146" t="e">
        <v>#N/A</v>
      </c>
      <c r="AA39" s="146" t="e">
        <v>#N/A</v>
      </c>
      <c r="AB39" s="146" t="e">
        <v>#N/A</v>
      </c>
      <c r="AC39" s="453" t="e">
        <v>#N/A</v>
      </c>
      <c r="AD39" s="453" t="e">
        <v>#N/A</v>
      </c>
      <c r="AE39" s="453" t="e">
        <v>#N/A</v>
      </c>
      <c r="AF39" s="453" t="e">
        <v>#N/A</v>
      </c>
      <c r="AG39" s="453" t="e">
        <f t="shared" si="3"/>
        <v>#N/A</v>
      </c>
      <c r="AH39" s="453" t="str">
        <f t="shared" si="4"/>
        <v/>
      </c>
      <c r="AI39" s="138" t="e">
        <f>IF(NOT(OR(Z39=1,Z39=2)),IF(AQ39&gt;0,$AR$44*AQ39/SUMIF($AQ$8:$AQ$39,"&gt;0"),IF(AU39&gt;0,$AV$44*AU39/SUMIF($AU$8:$AU$39,"&gt;0"),IF(AS39&gt;0,$AT$44*AS39/SUMIF($AS$8:$AS$39,"&gt;0"),""))),IF(SUMIF(AJ$39:$AJ40,"=" &amp; AJ39,AI$39:$AI40)=0,"",SUMIF(AJ$39:$AJ40,"=" &amp; AJ39,AI$39:$AI40)))</f>
        <v>#N/A</v>
      </c>
      <c r="AJ39" s="139" t="e">
        <f t="shared" si="34"/>
        <v>#N/A</v>
      </c>
      <c r="AK39" s="453" t="str">
        <f t="shared" si="27"/>
        <v/>
      </c>
      <c r="AL39" s="146" t="str">
        <f t="shared" si="28"/>
        <v/>
      </c>
      <c r="AM39" s="146" t="str">
        <f t="shared" si="35"/>
        <v/>
      </c>
      <c r="AN39" s="146" t="str">
        <f>IF(ISNUMBER(AH39),IF(AND(AB39=0,ISNUMBER(AC39),ISNUMBER(AL39)),1,""),"")</f>
        <v/>
      </c>
      <c r="AO39" s="146" t="e">
        <f t="shared" si="6"/>
        <v>#N/A</v>
      </c>
      <c r="AP39" s="453" t="str">
        <f t="shared" si="7"/>
        <v/>
      </c>
      <c r="AQ39" s="140">
        <f t="shared" si="29"/>
        <v>0</v>
      </c>
      <c r="AR39" s="141" t="str">
        <f t="shared" si="8"/>
        <v/>
      </c>
      <c r="AS39" s="142">
        <f t="shared" si="30"/>
        <v>0</v>
      </c>
      <c r="AT39" s="141" t="str">
        <f t="shared" si="9"/>
        <v/>
      </c>
      <c r="AU39" s="143">
        <f t="shared" si="10"/>
        <v>0</v>
      </c>
      <c r="AV39" s="144" t="str">
        <f t="shared" si="11"/>
        <v/>
      </c>
      <c r="AW39" s="143" t="b">
        <f t="shared" si="12"/>
        <v>0</v>
      </c>
      <c r="AX39" s="145" t="b">
        <f t="shared" si="13"/>
        <v>0</v>
      </c>
      <c r="AY39" s="143" t="b">
        <f t="shared" si="14"/>
        <v>0</v>
      </c>
      <c r="AZ39" s="145" t="b">
        <f t="shared" si="15"/>
        <v>0</v>
      </c>
      <c r="BA39" s="453" t="b">
        <f t="shared" si="16"/>
        <v>0</v>
      </c>
      <c r="BB39" s="453" t="b">
        <f t="shared" si="17"/>
        <v>0</v>
      </c>
      <c r="BC39" s="143" t="b">
        <f t="shared" si="18"/>
        <v>0</v>
      </c>
      <c r="BD39" s="146" t="b">
        <f t="shared" si="31"/>
        <v>0</v>
      </c>
      <c r="BE39" s="145" t="b">
        <f t="shared" si="37"/>
        <v>0</v>
      </c>
      <c r="BF39" s="147" t="b">
        <f t="shared" si="39"/>
        <v>0</v>
      </c>
      <c r="BG39" s="453" t="str">
        <f t="shared" si="38"/>
        <v>NA</v>
      </c>
      <c r="BH39" s="453" t="str">
        <f t="shared" si="32"/>
        <v/>
      </c>
      <c r="BI39" s="453" t="str">
        <f t="shared" si="22"/>
        <v/>
      </c>
      <c r="BJ39" s="453" t="str">
        <f t="shared" si="23"/>
        <v/>
      </c>
      <c r="BK39" s="453" t="str">
        <f t="shared" si="24"/>
        <v/>
      </c>
      <c r="BL39" s="453" t="str">
        <f t="shared" si="33"/>
        <v/>
      </c>
      <c r="BM39" s="453" t="str">
        <f t="shared" si="25"/>
        <v/>
      </c>
      <c r="BN39" s="453" t="str">
        <f t="shared" si="26"/>
        <v/>
      </c>
      <c r="BO39" s="1023"/>
      <c r="BP39" s="1024"/>
      <c r="BQ39" s="1024"/>
      <c r="BR39" s="1024"/>
      <c r="BS39" s="1024"/>
      <c r="BT39" s="1024"/>
      <c r="BU39" s="1025"/>
    </row>
    <row r="40" spans="2:73" s="91" customFormat="1" ht="8.25" customHeight="1" x14ac:dyDescent="0.2">
      <c r="B40" s="915" t="s">
        <v>374</v>
      </c>
      <c r="C40" s="916"/>
      <c r="D40" s="917"/>
      <c r="E40" s="452" t="s">
        <v>375</v>
      </c>
      <c r="F40" s="918" t="s">
        <v>376</v>
      </c>
      <c r="G40" s="919"/>
      <c r="H40" s="919" t="s">
        <v>377</v>
      </c>
      <c r="I40" s="919"/>
      <c r="J40" s="920" t="s">
        <v>378</v>
      </c>
      <c r="K40" s="921"/>
      <c r="L40" s="175" t="s">
        <v>379</v>
      </c>
      <c r="M40" s="922" t="s">
        <v>380</v>
      </c>
      <c r="N40" s="922"/>
      <c r="O40" s="923" t="str">
        <f>IF(U44,"DO REVIEW","DO REV N/A")</f>
        <v>DO REVIEW</v>
      </c>
      <c r="P40" s="924"/>
      <c r="Q40" s="176" t="str">
        <f>IF(U45,"ED REVIEW","ED REV N/A")</f>
        <v>ED REVIEW</v>
      </c>
      <c r="R40" s="177"/>
      <c r="S40" s="178">
        <v>0</v>
      </c>
      <c r="AI40" s="179"/>
      <c r="AJ40" s="92"/>
      <c r="AK40" s="92"/>
      <c r="AL40" s="92"/>
      <c r="AM40" s="92"/>
      <c r="AN40" s="92"/>
      <c r="AO40" s="88"/>
      <c r="AP40" s="92"/>
      <c r="AQ40" s="180"/>
      <c r="AR40" s="92"/>
      <c r="AS40" s="180"/>
      <c r="AT40" s="92"/>
      <c r="AU40" s="180"/>
      <c r="AV40" s="181"/>
      <c r="AW40" s="92"/>
      <c r="AX40" s="92"/>
      <c r="AY40" s="92"/>
      <c r="AZ40" s="92"/>
      <c r="BA40" s="92"/>
      <c r="BB40" s="92"/>
      <c r="BC40" s="92"/>
      <c r="BD40" s="92"/>
      <c r="BE40" s="92"/>
      <c r="BF40" s="92"/>
      <c r="BG40" s="92"/>
      <c r="BH40" s="88"/>
      <c r="BI40" s="88"/>
      <c r="BJ40" s="88"/>
      <c r="BK40" s="88"/>
      <c r="BL40" s="88"/>
      <c r="BM40" s="88"/>
      <c r="BN40" s="88"/>
      <c r="BO40" s="1026"/>
      <c r="BP40" s="1027"/>
      <c r="BQ40" s="1027"/>
      <c r="BR40" s="1027"/>
      <c r="BS40" s="1027"/>
      <c r="BT40" s="1027"/>
      <c r="BU40" s="1028"/>
    </row>
    <row r="41" spans="2:73" ht="18.75" customHeight="1" thickBot="1" x14ac:dyDescent="0.25">
      <c r="B41" s="925" t="str">
        <f>IF(ISERROR(AR46),"",TEXT(AR45,"0.0%"))</f>
        <v>0.0%</v>
      </c>
      <c r="C41" s="926"/>
      <c r="D41" s="927"/>
      <c r="E41" s="182" t="str">
        <f>IF(AU41=0,"N/A",CONCATENATE(TEXT(AV45,"0.0%")," of ",TEXT(AV44,"0.0%")))</f>
        <v>N/A</v>
      </c>
      <c r="F41" s="929" t="str">
        <f>IF((graded_aca_events+graded_amn_events)&lt;1,"---",IF(AND(AW4,AX4),"INCOMPLETE",IF(AND(NOT(AW4),AX4),"ACA INC",IF(AND(AW4,NOT(AX4)),"AMN INC","COMPLETE"))))</f>
        <v>---</v>
      </c>
      <c r="G41" s="929"/>
      <c r="H41" s="929" t="str">
        <f>IF(AU4,IF(OR(AY4="UNK",NOT(AN6)),"---",IF(AY4,"UNSAT",IF(AVERAGEIFS(AT8:AT39,AS8:AS39,"&gt;0")&lt;0.9,"MARG","SAT"))),"N/A")</f>
        <v>---</v>
      </c>
      <c r="I41" s="929"/>
      <c r="J41" s="930" t="str">
        <f>IF(OR(AZ4="UNK",NOT(AM6)),"---",IF(OR(AZ4,AR45&lt;0.7),"FAIL","PASS"))</f>
        <v>---</v>
      </c>
      <c r="K41" s="931"/>
      <c r="L41" s="430"/>
      <c r="M41" s="932"/>
      <c r="N41" s="932"/>
      <c r="O41" s="1021" t="s">
        <v>265</v>
      </c>
      <c r="P41" s="1021"/>
      <c r="Q41" s="1021" t="s">
        <v>265</v>
      </c>
      <c r="R41" s="1022"/>
      <c r="S41" s="183"/>
      <c r="T41" s="99" t="s">
        <v>381</v>
      </c>
      <c r="U41" s="146" t="s">
        <v>382</v>
      </c>
      <c r="V41" s="184"/>
      <c r="W41" s="184"/>
      <c r="X41" s="184"/>
      <c r="Y41" s="184"/>
      <c r="Z41" s="184"/>
      <c r="AA41" s="184"/>
      <c r="AB41" s="184"/>
      <c r="AC41" s="184"/>
      <c r="AD41" s="184"/>
      <c r="AE41" s="184"/>
      <c r="AF41" s="184"/>
      <c r="AG41" s="184"/>
      <c r="AH41" s="184"/>
      <c r="AI41" s="86"/>
      <c r="AJ41" s="85"/>
      <c r="AK41" s="184"/>
      <c r="AL41" s="184"/>
      <c r="AM41" s="184">
        <f>SUM(AM8:AM39)</f>
        <v>0</v>
      </c>
      <c r="AN41" s="184">
        <f>SUM(AN8:AN39)</f>
        <v>0</v>
      </c>
      <c r="AO41" s="99"/>
      <c r="AP41" s="85"/>
      <c r="AQ41" s="185">
        <f>SUMIF(AQ8:AQ39,"&gt;0")</f>
        <v>21.5</v>
      </c>
      <c r="AR41" s="186">
        <f>IF(AQ41=0,0,SUMPRODUCT($AQ$8:$AQ$39,AR8:AR39)/SUM($AQ$8:$AQ$39))</f>
        <v>0</v>
      </c>
      <c r="AS41" s="187">
        <f>SUMIF(AS8:AS39,"&gt;0")</f>
        <v>5</v>
      </c>
      <c r="AT41" s="186">
        <f>IF(AS41=0,0,SUMPRODUCT($AS$8:$AS$39,AT8:AT39)/SUM($AS$8:$AS$39))</f>
        <v>0</v>
      </c>
      <c r="AU41" s="187">
        <f>SUM(AU9:AU39)</f>
        <v>0</v>
      </c>
      <c r="AV41" s="186">
        <f>IF(AU41=0,0,SUMPRODUCT($AU$8:$AU$39,AV8:AV39)/SUM($AU$8:$AU$39))</f>
        <v>0</v>
      </c>
      <c r="AW41" s="188"/>
      <c r="AX41" s="188"/>
      <c r="AY41" s="188"/>
      <c r="AZ41" s="188"/>
      <c r="BA41" s="188"/>
      <c r="BB41" s="188"/>
      <c r="BC41" s="88" t="s">
        <v>383</v>
      </c>
      <c r="BD41" s="88" t="s">
        <v>384</v>
      </c>
      <c r="BE41" s="88" t="s">
        <v>385</v>
      </c>
      <c r="BO41" s="1026"/>
      <c r="BP41" s="1027"/>
      <c r="BQ41" s="1027"/>
      <c r="BR41" s="1027"/>
      <c r="BS41" s="1027"/>
      <c r="BT41" s="1027"/>
      <c r="BU41" s="1028"/>
    </row>
    <row r="42" spans="2:73" ht="7.5" customHeight="1" thickTop="1" x14ac:dyDescent="0.2">
      <c r="L42" s="928" t="s">
        <v>688</v>
      </c>
      <c r="M42" s="928"/>
      <c r="N42" s="928"/>
      <c r="O42" s="928"/>
      <c r="P42" s="928"/>
      <c r="Q42" s="928"/>
      <c r="R42" s="928"/>
      <c r="AP42" s="184"/>
      <c r="AQ42" s="85"/>
      <c r="AR42" s="85"/>
      <c r="AT42" s="186"/>
      <c r="AU42" s="186"/>
      <c r="AV42" s="186"/>
      <c r="AW42" s="85"/>
      <c r="AX42" s="186"/>
      <c r="BO42" s="1029"/>
      <c r="BP42" s="1030"/>
      <c r="BQ42" s="1030"/>
      <c r="BR42" s="1030"/>
      <c r="BS42" s="1030"/>
      <c r="BT42" s="1030"/>
      <c r="BU42" s="1031"/>
    </row>
    <row r="43" spans="2:73" ht="30.75" customHeight="1" x14ac:dyDescent="0.2">
      <c r="T43" s="189" t="s">
        <v>386</v>
      </c>
      <c r="U43" s="146" t="b">
        <v>0</v>
      </c>
      <c r="AI43" s="89">
        <f ca="1">SUMIF(AJ8:$AJ$39,"=" &amp; AJ8,AI9:$AI$39)</f>
        <v>0.1</v>
      </c>
      <c r="AO43" s="190"/>
      <c r="AS43" s="118" t="s">
        <v>387</v>
      </c>
      <c r="AT43" s="191">
        <f>SUMIF(X8:X39,"&gt;0")/SUMIF(W8:W39,"&gt;0")</f>
        <v>0.23255813953488372</v>
      </c>
      <c r="AU43" s="118" t="s">
        <v>388</v>
      </c>
      <c r="AV43" s="192">
        <f>SUMIF(AU8:AU39,"&gt;0")/SUMIF(AQ8:AQ39,"&gt;0")</f>
        <v>0</v>
      </c>
      <c r="AW43" s="193"/>
      <c r="BE43" s="88" t="b">
        <f>AND(ISBLANK($K30),J30&gt;0)</f>
        <v>0</v>
      </c>
      <c r="BO43" s="88"/>
      <c r="BP43" s="88"/>
      <c r="BQ43" s="90"/>
    </row>
    <row r="44" spans="2:73" ht="30.75" customHeight="1" x14ac:dyDescent="0.2">
      <c r="J44" s="194"/>
      <c r="T44" s="195" t="s">
        <v>389</v>
      </c>
      <c r="U44" s="88" t="b">
        <f>IF(AND(Flight?,OR(AW4,AY4,BA4,AZ4,AR45&lt;0.7,H41="MARG")),TRUE,FALSE)</f>
        <v>1</v>
      </c>
      <c r="AO44" s="196"/>
      <c r="AQ44" s="118" t="s">
        <v>390</v>
      </c>
      <c r="AR44" s="191">
        <f>1-AT44</f>
        <v>0.9</v>
      </c>
      <c r="AS44" s="118" t="s">
        <v>391</v>
      </c>
      <c r="AT44" s="191">
        <f>MIN(AT43,AT6)</f>
        <v>0.1</v>
      </c>
      <c r="AU44" s="118" t="s">
        <v>392</v>
      </c>
      <c r="AV44" s="89">
        <f>MIN(AV43,AV6)</f>
        <v>0</v>
      </c>
      <c r="BO44" s="88"/>
      <c r="BP44" s="88"/>
      <c r="BQ44" s="90"/>
    </row>
    <row r="45" spans="2:73" ht="25.5" x14ac:dyDescent="0.2">
      <c r="T45" s="195" t="s">
        <v>393</v>
      </c>
      <c r="U45" s="88" t="b">
        <f>IF(OR(AX4,AY4,AZ4,BB4,AR45&lt;0.7),TRUE,FALSE)</f>
        <v>1</v>
      </c>
      <c r="AO45" s="197"/>
      <c r="AQ45" s="118" t="s">
        <v>394</v>
      </c>
      <c r="AR45" s="89">
        <f>AR41*(1-AT44)+(AT41*AT44)</f>
        <v>0</v>
      </c>
      <c r="AU45" s="88" t="s">
        <v>324</v>
      </c>
      <c r="AV45" s="89">
        <f>AV41*AV44</f>
        <v>0</v>
      </c>
      <c r="BO45" s="88"/>
      <c r="BP45" s="88"/>
      <c r="BQ45" s="90"/>
    </row>
    <row r="46" spans="2:73" ht="25.5" x14ac:dyDescent="0.2">
      <c r="T46" s="195" t="s">
        <v>395</v>
      </c>
      <c r="U46" s="88" t="b">
        <v>0</v>
      </c>
      <c r="AO46" s="197"/>
      <c r="AQ46" s="118" t="s">
        <v>396</v>
      </c>
      <c r="AR46" s="89">
        <f>MIN(1,IF(NOT(OR(AY4,AZ4)),AR45+AV45,MIN(0.69,AR45+AV45)))</f>
        <v>0</v>
      </c>
      <c r="BO46" s="88"/>
      <c r="BP46" s="88"/>
      <c r="BQ46" s="90"/>
    </row>
    <row r="47" spans="2:73" x14ac:dyDescent="0.2">
      <c r="T47" s="195" t="s">
        <v>397</v>
      </c>
      <c r="U47" s="88" t="b">
        <f>IF(NOT(Flight?),TRUE,NOT(OR(ISBLANK(comments),ISBLANK(hdr_class),ISBLANK(hdr_date),ISBLANK(hdr_stud),ISBLANK(hdr_instr),ISBLANK(hdr_acft),ISBLANK(hdr_time),F41="---")))</f>
        <v>0</v>
      </c>
      <c r="AO47" s="197"/>
      <c r="AR47" s="118"/>
      <c r="AS47" s="89"/>
    </row>
    <row r="48" spans="2:73" x14ac:dyDescent="0.2">
      <c r="T48" s="195" t="s">
        <v>398</v>
      </c>
      <c r="U48" s="88" t="b">
        <f>IF(Flight?,TRUE,NOT(OR(ISBLANK(comments),ISBLANK(hdr_class),ISBLANK(hdr_date),ISBLANK(hdr_stud),ISBLANK(hdr_instr),F41="---")))</f>
        <v>1</v>
      </c>
      <c r="AO48" s="196"/>
      <c r="AP48" s="85" t="s">
        <v>399</v>
      </c>
      <c r="AQ48" s="85"/>
      <c r="AR48" s="85"/>
      <c r="AS48" s="85"/>
      <c r="AT48" s="85"/>
    </row>
    <row r="49" spans="20:50" x14ac:dyDescent="0.2">
      <c r="T49" s="195" t="s">
        <v>400</v>
      </c>
      <c r="U49" s="88" t="b">
        <f>AND(U47:U48)</f>
        <v>0</v>
      </c>
      <c r="AO49" s="196"/>
      <c r="AP49" s="85"/>
      <c r="AQ49" s="85"/>
      <c r="AR49" s="85">
        <v>0</v>
      </c>
      <c r="AS49" s="85">
        <v>1</v>
      </c>
      <c r="AT49" s="85">
        <v>2</v>
      </c>
      <c r="AU49" s="85">
        <v>3</v>
      </c>
      <c r="AV49" s="85">
        <v>4</v>
      </c>
    </row>
    <row r="50" spans="20:50" x14ac:dyDescent="0.2">
      <c r="AO50" s="196"/>
      <c r="AP50" s="85" t="s">
        <v>359</v>
      </c>
      <c r="AQ50" s="85">
        <v>1</v>
      </c>
      <c r="AR50" s="198">
        <v>0.7</v>
      </c>
      <c r="AS50" s="198">
        <v>0.9</v>
      </c>
      <c r="AT50" s="198">
        <v>0.93330000000000002</v>
      </c>
      <c r="AU50" s="198">
        <v>0.9667</v>
      </c>
      <c r="AV50" s="198">
        <v>1</v>
      </c>
    </row>
    <row r="51" spans="20:50" x14ac:dyDescent="0.2">
      <c r="AO51" s="196"/>
      <c r="AP51" s="85" t="s">
        <v>360</v>
      </c>
      <c r="AQ51" s="85">
        <v>2</v>
      </c>
      <c r="AR51" s="198">
        <v>0.7</v>
      </c>
      <c r="AS51" s="198">
        <v>0.8</v>
      </c>
      <c r="AT51" s="198">
        <v>0.9</v>
      </c>
      <c r="AU51" s="198">
        <v>0.95</v>
      </c>
      <c r="AV51" s="198">
        <v>1</v>
      </c>
    </row>
    <row r="52" spans="20:50" x14ac:dyDescent="0.2">
      <c r="AO52" s="196"/>
      <c r="AP52" s="85" t="s">
        <v>361</v>
      </c>
      <c r="AQ52" s="85">
        <v>3</v>
      </c>
      <c r="AR52" s="198">
        <v>0.7</v>
      </c>
      <c r="AS52" s="198">
        <v>0.76670000000000005</v>
      </c>
      <c r="AT52" s="198">
        <v>0.83330000000000004</v>
      </c>
      <c r="AU52" s="198">
        <v>0.9</v>
      </c>
      <c r="AV52" s="198">
        <v>1</v>
      </c>
    </row>
    <row r="53" spans="20:50" x14ac:dyDescent="0.2">
      <c r="AP53" s="199" t="s">
        <v>362</v>
      </c>
      <c r="AQ53" s="85">
        <v>11</v>
      </c>
      <c r="AR53" s="198">
        <v>0.6</v>
      </c>
      <c r="AS53" s="198">
        <v>0.9</v>
      </c>
      <c r="AT53" s="198">
        <v>0.93330000000000002</v>
      </c>
      <c r="AU53" s="198">
        <v>0.9667</v>
      </c>
      <c r="AV53" s="198">
        <v>1</v>
      </c>
    </row>
    <row r="54" spans="20:50" x14ac:dyDescent="0.2">
      <c r="AP54" s="199" t="s">
        <v>363</v>
      </c>
      <c r="AQ54" s="85">
        <v>12</v>
      </c>
      <c r="AR54" s="198">
        <v>0.6</v>
      </c>
      <c r="AS54" s="198">
        <v>0.7</v>
      </c>
      <c r="AT54" s="198">
        <v>0.9</v>
      </c>
      <c r="AU54" s="198">
        <v>0.95</v>
      </c>
      <c r="AV54" s="198">
        <v>1</v>
      </c>
    </row>
    <row r="55" spans="20:50" x14ac:dyDescent="0.2">
      <c r="AP55" s="199" t="s">
        <v>364</v>
      </c>
      <c r="AQ55" s="85">
        <v>13</v>
      </c>
      <c r="AR55" s="198">
        <v>0.6</v>
      </c>
      <c r="AS55" s="198">
        <v>0.7</v>
      </c>
      <c r="AT55" s="198">
        <v>0.8</v>
      </c>
      <c r="AU55" s="198">
        <v>0.9</v>
      </c>
      <c r="AV55" s="198">
        <v>1</v>
      </c>
    </row>
    <row r="56" spans="20:50" x14ac:dyDescent="0.2">
      <c r="AP56" s="199" t="s">
        <v>365</v>
      </c>
      <c r="AQ56" s="85">
        <v>22</v>
      </c>
      <c r="AR56" s="198">
        <v>0.3</v>
      </c>
      <c r="AS56" s="198">
        <v>0.6</v>
      </c>
      <c r="AT56" s="198">
        <v>0.9</v>
      </c>
      <c r="AU56" s="198">
        <v>0.95</v>
      </c>
      <c r="AV56" s="198">
        <v>1</v>
      </c>
    </row>
    <row r="57" spans="20:50" x14ac:dyDescent="0.2">
      <c r="AP57" s="199" t="s">
        <v>366</v>
      </c>
      <c r="AQ57" s="85">
        <v>23</v>
      </c>
      <c r="AR57" s="198">
        <v>0.3</v>
      </c>
      <c r="AS57" s="198">
        <v>0.6</v>
      </c>
      <c r="AT57" s="198">
        <v>0.7</v>
      </c>
      <c r="AU57" s="198">
        <v>0.9</v>
      </c>
      <c r="AV57" s="198">
        <v>1</v>
      </c>
    </row>
    <row r="58" spans="20:50" x14ac:dyDescent="0.2">
      <c r="AP58" s="199" t="s">
        <v>367</v>
      </c>
      <c r="AQ58" s="85">
        <v>33</v>
      </c>
      <c r="AR58" s="198">
        <v>0</v>
      </c>
      <c r="AS58" s="198">
        <v>0.3</v>
      </c>
      <c r="AT58" s="198">
        <v>0.6</v>
      </c>
      <c r="AU58" s="198">
        <v>0.9</v>
      </c>
      <c r="AV58" s="198">
        <v>1</v>
      </c>
      <c r="AW58" s="85"/>
    </row>
    <row r="60" spans="20:50" x14ac:dyDescent="0.2">
      <c r="AQ60" s="85"/>
      <c r="AW60" s="85"/>
      <c r="AX60" s="85"/>
    </row>
    <row r="61" spans="20:50" x14ac:dyDescent="0.2">
      <c r="AP61" s="200"/>
      <c r="AQ61" s="85"/>
      <c r="AW61" s="85"/>
      <c r="AX61" s="85"/>
    </row>
    <row r="62" spans="20:50" x14ac:dyDescent="0.2">
      <c r="AP62" s="85"/>
      <c r="AQ62" s="85"/>
      <c r="AW62" s="85"/>
      <c r="AX62" s="85"/>
    </row>
    <row r="63" spans="20:50" x14ac:dyDescent="0.2">
      <c r="AP63" s="85"/>
      <c r="AQ63" s="85"/>
      <c r="AW63" s="85"/>
    </row>
    <row r="64" spans="20:50" x14ac:dyDescent="0.2">
      <c r="AP64" s="85"/>
      <c r="AQ64" s="85"/>
      <c r="AW64" s="85"/>
    </row>
    <row r="65" spans="42:43" x14ac:dyDescent="0.2">
      <c r="AP65" s="85"/>
      <c r="AQ65" s="85"/>
    </row>
    <row r="66" spans="42:43" x14ac:dyDescent="0.2">
      <c r="AP66" s="85"/>
      <c r="AQ66" s="85"/>
    </row>
  </sheetData>
  <sheetProtection algorithmName="SHA-512" hashValue="+IHpDbbeXA+e2aue9KtHvowE7jxO2MkPNNp7Q2t1O0QWOkdOTZOaBbMwFV6SozYQK9EhMQBzenAI4mfDtcV45Q==" saltValue="sndgNqbhm22qAKv1qYjStQ==" spinCount="100000" sheet="1" selectLockedCells="1"/>
  <mergeCells count="76">
    <mergeCell ref="Q5:R5"/>
    <mergeCell ref="B6:E6"/>
    <mergeCell ref="B4:G4"/>
    <mergeCell ref="H4:N4"/>
    <mergeCell ref="O4:P4"/>
    <mergeCell ref="Q4:R4"/>
    <mergeCell ref="B5:E5"/>
    <mergeCell ref="F5:G5"/>
    <mergeCell ref="H5:L5"/>
    <mergeCell ref="M5:N5"/>
    <mergeCell ref="O5:P5"/>
    <mergeCell ref="C31:F31"/>
    <mergeCell ref="C32:F32"/>
    <mergeCell ref="BP3:BU4"/>
    <mergeCell ref="F6:G6"/>
    <mergeCell ref="H6:L6"/>
    <mergeCell ref="M6:N6"/>
    <mergeCell ref="O6:P6"/>
    <mergeCell ref="Q6:R6"/>
    <mergeCell ref="B3:G3"/>
    <mergeCell ref="H3:N3"/>
    <mergeCell ref="O3:P3"/>
    <mergeCell ref="Q3:R3"/>
    <mergeCell ref="B7:F7"/>
    <mergeCell ref="L7:R7"/>
    <mergeCell ref="BH4:BK6"/>
    <mergeCell ref="BL4:BN6"/>
    <mergeCell ref="C33:F33"/>
    <mergeCell ref="C34:F34"/>
    <mergeCell ref="BO34:BU37"/>
    <mergeCell ref="C8:F8"/>
    <mergeCell ref="L8:R39"/>
    <mergeCell ref="C9:F9"/>
    <mergeCell ref="C10:F10"/>
    <mergeCell ref="C11:F11"/>
    <mergeCell ref="C12:F12"/>
    <mergeCell ref="C13:F13"/>
    <mergeCell ref="C14:F14"/>
    <mergeCell ref="C15:F15"/>
    <mergeCell ref="C16:F16"/>
    <mergeCell ref="C30:F30"/>
    <mergeCell ref="C17:F17"/>
    <mergeCell ref="C18:F18"/>
    <mergeCell ref="BQ19:BU19"/>
    <mergeCell ref="C20:F20"/>
    <mergeCell ref="C21:F21"/>
    <mergeCell ref="BO21:BO29"/>
    <mergeCell ref="C22:F22"/>
    <mergeCell ref="C23:F23"/>
    <mergeCell ref="C24:F24"/>
    <mergeCell ref="C25:F25"/>
    <mergeCell ref="C26:F26"/>
    <mergeCell ref="C27:F27"/>
    <mergeCell ref="C28:F28"/>
    <mergeCell ref="C29:F29"/>
    <mergeCell ref="C19:F19"/>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s>
  <conditionalFormatting sqref="B8:F39">
    <cfRule type="expression" dxfId="303" priority="8" stopIfTrue="1">
      <formula>IF($Z8=1,TRUE,FALSE)</formula>
    </cfRule>
    <cfRule type="expression" dxfId="302" priority="9">
      <formula>IF($Z8=2,TRUE,FALSE)</formula>
    </cfRule>
  </conditionalFormatting>
  <conditionalFormatting sqref="C8:F39">
    <cfRule type="expression" dxfId="301" priority="1" stopIfTrue="1">
      <formula>IF($AF8=FALSE,TRUE,FALSE)</formula>
    </cfRule>
  </conditionalFormatting>
  <conditionalFormatting sqref="F5:G6 M5:P6">
    <cfRule type="expression" dxfId="300" priority="4" stopIfTrue="1">
      <formula>NOT($AU$4)</formula>
    </cfRule>
  </conditionalFormatting>
  <conditionalFormatting sqref="F6:G6">
    <cfRule type="cellIs" dxfId="299" priority="3" operator="equal">
      <formula>""</formula>
    </cfRule>
  </conditionalFormatting>
  <conditionalFormatting sqref="G8:K39">
    <cfRule type="expression" dxfId="298" priority="6" stopIfTrue="1">
      <formula>IF($Z8=1,TRUE,FALSE)</formula>
    </cfRule>
    <cfRule type="expression" dxfId="297" priority="7" stopIfTrue="1">
      <formula>IF($Z8=2,TRUE,FALSE)</formula>
    </cfRule>
  </conditionalFormatting>
  <conditionalFormatting sqref="H8:H39">
    <cfRule type="expression" dxfId="296" priority="10" stopIfTrue="1">
      <formula>IF($AB8=0,TRUE,FALSE)</formula>
    </cfRule>
  </conditionalFormatting>
  <conditionalFormatting sqref="H40:I41">
    <cfRule type="expression" dxfId="295" priority="2" stopIfTrue="1">
      <formula>IF($H$41="N/A",TRUE,FALSE)</formula>
    </cfRule>
  </conditionalFormatting>
  <conditionalFormatting sqref="H6:P6 O4:R4 B6 L8 L41 O41:R41">
    <cfRule type="containsBlanks" dxfId="294" priority="5">
      <formula>LEN(TRIM(B4))=0</formula>
    </cfRule>
  </conditionalFormatting>
  <conditionalFormatting sqref="J8:J39">
    <cfRule type="expression" dxfId="293" priority="14">
      <formula>IF($Z8=1,FALSE,OR($BE8,$BD8))</formula>
    </cfRule>
  </conditionalFormatting>
  <conditionalFormatting sqref="J8:K39 C8:F39">
    <cfRule type="expression" dxfId="292" priority="13">
      <formula>IF($Z8=1,FALSE,OR($AW8,$AX8,$AY8,$AZ8))</formula>
    </cfRule>
  </conditionalFormatting>
  <conditionalFormatting sqref="J8:K39">
    <cfRule type="expression" dxfId="291" priority="11" stopIfTrue="1">
      <formula>IF(ISNA($Z8),TRUE,FALSE)</formula>
    </cfRule>
  </conditionalFormatting>
  <conditionalFormatting sqref="K8:K39">
    <cfRule type="expression" dxfId="290" priority="12">
      <formula>IF(OR($Z8=1,$Z8=2),FALSE,OR($BC8,$BE8,$BF8))</formula>
    </cfRule>
  </conditionalFormatting>
  <dataValidations count="6">
    <dataValidation type="list" allowBlank="1" showInputMessage="1" showErrorMessage="1" sqref="F6:G6" xr:uid="{19304369-9A7F-45DD-9630-C18C51216568}">
      <formula1>"No,Yes"</formula1>
    </dataValidation>
    <dataValidation type="list" allowBlank="1" showInputMessage="1" showErrorMessage="1" sqref="J8:J39" xr:uid="{A403AFDD-2F7B-44DB-A914-0C93FA74442F}">
      <formula1>"NA,0,1,2,3,4,5,6,7,8,9,10,11,12,13,14,15"</formula1>
    </dataValidation>
    <dataValidation type="list" allowBlank="1" showInputMessage="1" showErrorMessage="1" sqref="K8:K39" xr:uid="{14300AF8-8BB7-4B64-A553-D46A65429590}">
      <formula1>"D,0,1,2,3,4"</formula1>
    </dataValidation>
    <dataValidation showInputMessage="1" showErrorMessage="1" sqref="O41:R41" xr:uid="{61A3B599-D14B-49B6-82B9-F63BA3DB1F21}"/>
    <dataValidation type="decimal" allowBlank="1" showInputMessage="1" showErrorMessage="1" sqref="O6:P6" xr:uid="{4EA29BD9-E462-4A93-91BB-A4C0A975A819}">
      <formula1>0</formula1>
      <formula2>10</formula2>
    </dataValidation>
    <dataValidation type="date" allowBlank="1" showInputMessage="1" showErrorMessage="1" sqref="Q4:R4" xr:uid="{63CA020B-A313-4E29-809C-A9B577D0A46A}">
      <formula1>41151</formula1>
      <formula2>77433</formula2>
    </dataValidation>
  </dataValidations>
  <hyperlinks>
    <hyperlink ref="BP3" location="PF!A1" display="PF phase Summary Page" xr:uid="{6BDC72B3-16D0-4DFE-B074-B75E1B83FD8F}"/>
    <hyperlink ref="BP3:BU4" location="FQ!A1" display="FQ Summary Page" xr:uid="{03F7F472-1A0F-445D-B221-96C1C0DBBA67}"/>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38595"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238596"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238597"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238598"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238599"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0A3FF2-67C1-4E9B-8F37-4E3CCD28D08C}">
  <sheetPr codeName="Sheet44">
    <tabColor rgb="FF00B050"/>
  </sheetPr>
  <dimension ref="A1:V157"/>
  <sheetViews>
    <sheetView workbookViewId="0">
      <selection activeCell="P2" sqref="P2:Q2"/>
    </sheetView>
  </sheetViews>
  <sheetFormatPr defaultRowHeight="12.75" x14ac:dyDescent="0.2"/>
  <cols>
    <col min="1" max="2" width="2.7109375" style="272" customWidth="1"/>
    <col min="3" max="3" width="9.7109375" style="329" customWidth="1"/>
    <col min="4" max="4" width="4.7109375" style="330" customWidth="1"/>
    <col min="5" max="5" width="9.7109375" style="330" customWidth="1"/>
    <col min="6" max="6" width="0.7109375" style="331" customWidth="1"/>
    <col min="7" max="12" width="8.7109375" style="272" customWidth="1"/>
    <col min="13" max="14" width="2.7109375" style="272" customWidth="1"/>
    <col min="15" max="16" width="9.140625" style="272"/>
    <col min="17" max="17" width="64.28515625" style="272" customWidth="1"/>
    <col min="18" max="18" width="17.85546875" style="272" customWidth="1"/>
    <col min="19" max="256" width="9.140625" style="272"/>
    <col min="257" max="258" width="2.7109375" style="272" customWidth="1"/>
    <col min="259" max="259" width="9.7109375" style="272" customWidth="1"/>
    <col min="260" max="260" width="4.7109375" style="272" customWidth="1"/>
    <col min="261" max="261" width="9.7109375" style="272" customWidth="1"/>
    <col min="262" max="262" width="0.7109375" style="272" customWidth="1"/>
    <col min="263" max="268" width="8.7109375" style="272" customWidth="1"/>
    <col min="269" max="270" width="2.7109375" style="272" customWidth="1"/>
    <col min="271" max="512" width="9.140625" style="272"/>
    <col min="513" max="514" width="2.7109375" style="272" customWidth="1"/>
    <col min="515" max="515" width="9.7109375" style="272" customWidth="1"/>
    <col min="516" max="516" width="4.7109375" style="272" customWidth="1"/>
    <col min="517" max="517" width="9.7109375" style="272" customWidth="1"/>
    <col min="518" max="518" width="0.7109375" style="272" customWidth="1"/>
    <col min="519" max="524" width="8.7109375" style="272" customWidth="1"/>
    <col min="525" max="526" width="2.7109375" style="272" customWidth="1"/>
    <col min="527" max="768" width="9.140625" style="272"/>
    <col min="769" max="770" width="2.7109375" style="272" customWidth="1"/>
    <col min="771" max="771" width="9.7109375" style="272" customWidth="1"/>
    <col min="772" max="772" width="4.7109375" style="272" customWidth="1"/>
    <col min="773" max="773" width="9.7109375" style="272" customWidth="1"/>
    <col min="774" max="774" width="0.7109375" style="272" customWidth="1"/>
    <col min="775" max="780" width="8.7109375" style="272" customWidth="1"/>
    <col min="781" max="782" width="2.7109375" style="272" customWidth="1"/>
    <col min="783" max="1024" width="9.140625" style="272"/>
    <col min="1025" max="1026" width="2.7109375" style="272" customWidth="1"/>
    <col min="1027" max="1027" width="9.7109375" style="272" customWidth="1"/>
    <col min="1028" max="1028" width="4.7109375" style="272" customWidth="1"/>
    <col min="1029" max="1029" width="9.7109375" style="272" customWidth="1"/>
    <col min="1030" max="1030" width="0.7109375" style="272" customWidth="1"/>
    <col min="1031" max="1036" width="8.7109375" style="272" customWidth="1"/>
    <col min="1037" max="1038" width="2.7109375" style="272" customWidth="1"/>
    <col min="1039" max="1280" width="9.140625" style="272"/>
    <col min="1281" max="1282" width="2.7109375" style="272" customWidth="1"/>
    <col min="1283" max="1283" width="9.7109375" style="272" customWidth="1"/>
    <col min="1284" max="1284" width="4.7109375" style="272" customWidth="1"/>
    <col min="1285" max="1285" width="9.7109375" style="272" customWidth="1"/>
    <col min="1286" max="1286" width="0.7109375" style="272" customWidth="1"/>
    <col min="1287" max="1292" width="8.7109375" style="272" customWidth="1"/>
    <col min="1293" max="1294" width="2.7109375" style="272" customWidth="1"/>
    <col min="1295" max="1536" width="9.140625" style="272"/>
    <col min="1537" max="1538" width="2.7109375" style="272" customWidth="1"/>
    <col min="1539" max="1539" width="9.7109375" style="272" customWidth="1"/>
    <col min="1540" max="1540" width="4.7109375" style="272" customWidth="1"/>
    <col min="1541" max="1541" width="9.7109375" style="272" customWidth="1"/>
    <col min="1542" max="1542" width="0.7109375" style="272" customWidth="1"/>
    <col min="1543" max="1548" width="8.7109375" style="272" customWidth="1"/>
    <col min="1549" max="1550" width="2.7109375" style="272" customWidth="1"/>
    <col min="1551" max="1792" width="9.140625" style="272"/>
    <col min="1793" max="1794" width="2.7109375" style="272" customWidth="1"/>
    <col min="1795" max="1795" width="9.7109375" style="272" customWidth="1"/>
    <col min="1796" max="1796" width="4.7109375" style="272" customWidth="1"/>
    <col min="1797" max="1797" width="9.7109375" style="272" customWidth="1"/>
    <col min="1798" max="1798" width="0.7109375" style="272" customWidth="1"/>
    <col min="1799" max="1804" width="8.7109375" style="272" customWidth="1"/>
    <col min="1805" max="1806" width="2.7109375" style="272" customWidth="1"/>
    <col min="1807" max="2048" width="9.140625" style="272"/>
    <col min="2049" max="2050" width="2.7109375" style="272" customWidth="1"/>
    <col min="2051" max="2051" width="9.7109375" style="272" customWidth="1"/>
    <col min="2052" max="2052" width="4.7109375" style="272" customWidth="1"/>
    <col min="2053" max="2053" width="9.7109375" style="272" customWidth="1"/>
    <col min="2054" max="2054" width="0.7109375" style="272" customWidth="1"/>
    <col min="2055" max="2060" width="8.7109375" style="272" customWidth="1"/>
    <col min="2061" max="2062" width="2.7109375" style="272" customWidth="1"/>
    <col min="2063" max="2304" width="9.140625" style="272"/>
    <col min="2305" max="2306" width="2.7109375" style="272" customWidth="1"/>
    <col min="2307" max="2307" width="9.7109375" style="272" customWidth="1"/>
    <col min="2308" max="2308" width="4.7109375" style="272" customWidth="1"/>
    <col min="2309" max="2309" width="9.7109375" style="272" customWidth="1"/>
    <col min="2310" max="2310" width="0.7109375" style="272" customWidth="1"/>
    <col min="2311" max="2316" width="8.7109375" style="272" customWidth="1"/>
    <col min="2317" max="2318" width="2.7109375" style="272" customWidth="1"/>
    <col min="2319" max="2560" width="9.140625" style="272"/>
    <col min="2561" max="2562" width="2.7109375" style="272" customWidth="1"/>
    <col min="2563" max="2563" width="9.7109375" style="272" customWidth="1"/>
    <col min="2564" max="2564" width="4.7109375" style="272" customWidth="1"/>
    <col min="2565" max="2565" width="9.7109375" style="272" customWidth="1"/>
    <col min="2566" max="2566" width="0.7109375" style="272" customWidth="1"/>
    <col min="2567" max="2572" width="8.7109375" style="272" customWidth="1"/>
    <col min="2573" max="2574" width="2.7109375" style="272" customWidth="1"/>
    <col min="2575" max="2816" width="9.140625" style="272"/>
    <col min="2817" max="2818" width="2.7109375" style="272" customWidth="1"/>
    <col min="2819" max="2819" width="9.7109375" style="272" customWidth="1"/>
    <col min="2820" max="2820" width="4.7109375" style="272" customWidth="1"/>
    <col min="2821" max="2821" width="9.7109375" style="272" customWidth="1"/>
    <col min="2822" max="2822" width="0.7109375" style="272" customWidth="1"/>
    <col min="2823" max="2828" width="8.7109375" style="272" customWidth="1"/>
    <col min="2829" max="2830" width="2.7109375" style="272" customWidth="1"/>
    <col min="2831" max="3072" width="9.140625" style="272"/>
    <col min="3073" max="3074" width="2.7109375" style="272" customWidth="1"/>
    <col min="3075" max="3075" width="9.7109375" style="272" customWidth="1"/>
    <col min="3076" max="3076" width="4.7109375" style="272" customWidth="1"/>
    <col min="3077" max="3077" width="9.7109375" style="272" customWidth="1"/>
    <col min="3078" max="3078" width="0.7109375" style="272" customWidth="1"/>
    <col min="3079" max="3084" width="8.7109375" style="272" customWidth="1"/>
    <col min="3085" max="3086" width="2.7109375" style="272" customWidth="1"/>
    <col min="3087" max="3328" width="9.140625" style="272"/>
    <col min="3329" max="3330" width="2.7109375" style="272" customWidth="1"/>
    <col min="3331" max="3331" width="9.7109375" style="272" customWidth="1"/>
    <col min="3332" max="3332" width="4.7109375" style="272" customWidth="1"/>
    <col min="3333" max="3333" width="9.7109375" style="272" customWidth="1"/>
    <col min="3334" max="3334" width="0.7109375" style="272" customWidth="1"/>
    <col min="3335" max="3340" width="8.7109375" style="272" customWidth="1"/>
    <col min="3341" max="3342" width="2.7109375" style="272" customWidth="1"/>
    <col min="3343" max="3584" width="9.140625" style="272"/>
    <col min="3585" max="3586" width="2.7109375" style="272" customWidth="1"/>
    <col min="3587" max="3587" width="9.7109375" style="272" customWidth="1"/>
    <col min="3588" max="3588" width="4.7109375" style="272" customWidth="1"/>
    <col min="3589" max="3589" width="9.7109375" style="272" customWidth="1"/>
    <col min="3590" max="3590" width="0.7109375" style="272" customWidth="1"/>
    <col min="3591" max="3596" width="8.7109375" style="272" customWidth="1"/>
    <col min="3597" max="3598" width="2.7109375" style="272" customWidth="1"/>
    <col min="3599" max="3840" width="9.140625" style="272"/>
    <col min="3841" max="3842" width="2.7109375" style="272" customWidth="1"/>
    <col min="3843" max="3843" width="9.7109375" style="272" customWidth="1"/>
    <col min="3844" max="3844" width="4.7109375" style="272" customWidth="1"/>
    <col min="3845" max="3845" width="9.7109375" style="272" customWidth="1"/>
    <col min="3846" max="3846" width="0.7109375" style="272" customWidth="1"/>
    <col min="3847" max="3852" width="8.7109375" style="272" customWidth="1"/>
    <col min="3853" max="3854" width="2.7109375" style="272" customWidth="1"/>
    <col min="3855" max="4096" width="9.140625" style="272"/>
    <col min="4097" max="4098" width="2.7109375" style="272" customWidth="1"/>
    <col min="4099" max="4099" width="9.7109375" style="272" customWidth="1"/>
    <col min="4100" max="4100" width="4.7109375" style="272" customWidth="1"/>
    <col min="4101" max="4101" width="9.7109375" style="272" customWidth="1"/>
    <col min="4102" max="4102" width="0.7109375" style="272" customWidth="1"/>
    <col min="4103" max="4108" width="8.7109375" style="272" customWidth="1"/>
    <col min="4109" max="4110" width="2.7109375" style="272" customWidth="1"/>
    <col min="4111" max="4352" width="9.140625" style="272"/>
    <col min="4353" max="4354" width="2.7109375" style="272" customWidth="1"/>
    <col min="4355" max="4355" width="9.7109375" style="272" customWidth="1"/>
    <col min="4356" max="4356" width="4.7109375" style="272" customWidth="1"/>
    <col min="4357" max="4357" width="9.7109375" style="272" customWidth="1"/>
    <col min="4358" max="4358" width="0.7109375" style="272" customWidth="1"/>
    <col min="4359" max="4364" width="8.7109375" style="272" customWidth="1"/>
    <col min="4365" max="4366" width="2.7109375" style="272" customWidth="1"/>
    <col min="4367" max="4608" width="9.140625" style="272"/>
    <col min="4609" max="4610" width="2.7109375" style="272" customWidth="1"/>
    <col min="4611" max="4611" width="9.7109375" style="272" customWidth="1"/>
    <col min="4612" max="4612" width="4.7109375" style="272" customWidth="1"/>
    <col min="4613" max="4613" width="9.7109375" style="272" customWidth="1"/>
    <col min="4614" max="4614" width="0.7109375" style="272" customWidth="1"/>
    <col min="4615" max="4620" width="8.7109375" style="272" customWidth="1"/>
    <col min="4621" max="4622" width="2.7109375" style="272" customWidth="1"/>
    <col min="4623" max="4864" width="9.140625" style="272"/>
    <col min="4865" max="4866" width="2.7109375" style="272" customWidth="1"/>
    <col min="4867" max="4867" width="9.7109375" style="272" customWidth="1"/>
    <col min="4868" max="4868" width="4.7109375" style="272" customWidth="1"/>
    <col min="4869" max="4869" width="9.7109375" style="272" customWidth="1"/>
    <col min="4870" max="4870" width="0.7109375" style="272" customWidth="1"/>
    <col min="4871" max="4876" width="8.7109375" style="272" customWidth="1"/>
    <col min="4877" max="4878" width="2.7109375" style="272" customWidth="1"/>
    <col min="4879" max="5120" width="9.140625" style="272"/>
    <col min="5121" max="5122" width="2.7109375" style="272" customWidth="1"/>
    <col min="5123" max="5123" width="9.7109375" style="272" customWidth="1"/>
    <col min="5124" max="5124" width="4.7109375" style="272" customWidth="1"/>
    <col min="5125" max="5125" width="9.7109375" style="272" customWidth="1"/>
    <col min="5126" max="5126" width="0.7109375" style="272" customWidth="1"/>
    <col min="5127" max="5132" width="8.7109375" style="272" customWidth="1"/>
    <col min="5133" max="5134" width="2.7109375" style="272" customWidth="1"/>
    <col min="5135" max="5376" width="9.140625" style="272"/>
    <col min="5377" max="5378" width="2.7109375" style="272" customWidth="1"/>
    <col min="5379" max="5379" width="9.7109375" style="272" customWidth="1"/>
    <col min="5380" max="5380" width="4.7109375" style="272" customWidth="1"/>
    <col min="5381" max="5381" width="9.7109375" style="272" customWidth="1"/>
    <col min="5382" max="5382" width="0.7109375" style="272" customWidth="1"/>
    <col min="5383" max="5388" width="8.7109375" style="272" customWidth="1"/>
    <col min="5389" max="5390" width="2.7109375" style="272" customWidth="1"/>
    <col min="5391" max="5632" width="9.140625" style="272"/>
    <col min="5633" max="5634" width="2.7109375" style="272" customWidth="1"/>
    <col min="5635" max="5635" width="9.7109375" style="272" customWidth="1"/>
    <col min="5636" max="5636" width="4.7109375" style="272" customWidth="1"/>
    <col min="5637" max="5637" width="9.7109375" style="272" customWidth="1"/>
    <col min="5638" max="5638" width="0.7109375" style="272" customWidth="1"/>
    <col min="5639" max="5644" width="8.7109375" style="272" customWidth="1"/>
    <col min="5645" max="5646" width="2.7109375" style="272" customWidth="1"/>
    <col min="5647" max="5888" width="9.140625" style="272"/>
    <col min="5889" max="5890" width="2.7109375" style="272" customWidth="1"/>
    <col min="5891" max="5891" width="9.7109375" style="272" customWidth="1"/>
    <col min="5892" max="5892" width="4.7109375" style="272" customWidth="1"/>
    <col min="5893" max="5893" width="9.7109375" style="272" customWidth="1"/>
    <col min="5894" max="5894" width="0.7109375" style="272" customWidth="1"/>
    <col min="5895" max="5900" width="8.7109375" style="272" customWidth="1"/>
    <col min="5901" max="5902" width="2.7109375" style="272" customWidth="1"/>
    <col min="5903" max="6144" width="9.140625" style="272"/>
    <col min="6145" max="6146" width="2.7109375" style="272" customWidth="1"/>
    <col min="6147" max="6147" width="9.7109375" style="272" customWidth="1"/>
    <col min="6148" max="6148" width="4.7109375" style="272" customWidth="1"/>
    <col min="6149" max="6149" width="9.7109375" style="272" customWidth="1"/>
    <col min="6150" max="6150" width="0.7109375" style="272" customWidth="1"/>
    <col min="6151" max="6156" width="8.7109375" style="272" customWidth="1"/>
    <col min="6157" max="6158" width="2.7109375" style="272" customWidth="1"/>
    <col min="6159" max="6400" width="9.140625" style="272"/>
    <col min="6401" max="6402" width="2.7109375" style="272" customWidth="1"/>
    <col min="6403" max="6403" width="9.7109375" style="272" customWidth="1"/>
    <col min="6404" max="6404" width="4.7109375" style="272" customWidth="1"/>
    <col min="6405" max="6405" width="9.7109375" style="272" customWidth="1"/>
    <col min="6406" max="6406" width="0.7109375" style="272" customWidth="1"/>
    <col min="6407" max="6412" width="8.7109375" style="272" customWidth="1"/>
    <col min="6413" max="6414" width="2.7109375" style="272" customWidth="1"/>
    <col min="6415" max="6656" width="9.140625" style="272"/>
    <col min="6657" max="6658" width="2.7109375" style="272" customWidth="1"/>
    <col min="6659" max="6659" width="9.7109375" style="272" customWidth="1"/>
    <col min="6660" max="6660" width="4.7109375" style="272" customWidth="1"/>
    <col min="6661" max="6661" width="9.7109375" style="272" customWidth="1"/>
    <col min="6662" max="6662" width="0.7109375" style="272" customWidth="1"/>
    <col min="6663" max="6668" width="8.7109375" style="272" customWidth="1"/>
    <col min="6669" max="6670" width="2.7109375" style="272" customWidth="1"/>
    <col min="6671" max="6912" width="9.140625" style="272"/>
    <col min="6913" max="6914" width="2.7109375" style="272" customWidth="1"/>
    <col min="6915" max="6915" width="9.7109375" style="272" customWidth="1"/>
    <col min="6916" max="6916" width="4.7109375" style="272" customWidth="1"/>
    <col min="6917" max="6917" width="9.7109375" style="272" customWidth="1"/>
    <col min="6918" max="6918" width="0.7109375" style="272" customWidth="1"/>
    <col min="6919" max="6924" width="8.7109375" style="272" customWidth="1"/>
    <col min="6925" max="6926" width="2.7109375" style="272" customWidth="1"/>
    <col min="6927" max="7168" width="9.140625" style="272"/>
    <col min="7169" max="7170" width="2.7109375" style="272" customWidth="1"/>
    <col min="7171" max="7171" width="9.7109375" style="272" customWidth="1"/>
    <col min="7172" max="7172" width="4.7109375" style="272" customWidth="1"/>
    <col min="7173" max="7173" width="9.7109375" style="272" customWidth="1"/>
    <col min="7174" max="7174" width="0.7109375" style="272" customWidth="1"/>
    <col min="7175" max="7180" width="8.7109375" style="272" customWidth="1"/>
    <col min="7181" max="7182" width="2.7109375" style="272" customWidth="1"/>
    <col min="7183" max="7424" width="9.140625" style="272"/>
    <col min="7425" max="7426" width="2.7109375" style="272" customWidth="1"/>
    <col min="7427" max="7427" width="9.7109375" style="272" customWidth="1"/>
    <col min="7428" max="7428" width="4.7109375" style="272" customWidth="1"/>
    <col min="7429" max="7429" width="9.7109375" style="272" customWidth="1"/>
    <col min="7430" max="7430" width="0.7109375" style="272" customWidth="1"/>
    <col min="7431" max="7436" width="8.7109375" style="272" customWidth="1"/>
    <col min="7437" max="7438" width="2.7109375" style="272" customWidth="1"/>
    <col min="7439" max="7680" width="9.140625" style="272"/>
    <col min="7681" max="7682" width="2.7109375" style="272" customWidth="1"/>
    <col min="7683" max="7683" width="9.7109375" style="272" customWidth="1"/>
    <col min="7684" max="7684" width="4.7109375" style="272" customWidth="1"/>
    <col min="7685" max="7685" width="9.7109375" style="272" customWidth="1"/>
    <col min="7686" max="7686" width="0.7109375" style="272" customWidth="1"/>
    <col min="7687" max="7692" width="8.7109375" style="272" customWidth="1"/>
    <col min="7693" max="7694" width="2.7109375" style="272" customWidth="1"/>
    <col min="7695" max="7936" width="9.140625" style="272"/>
    <col min="7937" max="7938" width="2.7109375" style="272" customWidth="1"/>
    <col min="7939" max="7939" width="9.7109375" style="272" customWidth="1"/>
    <col min="7940" max="7940" width="4.7109375" style="272" customWidth="1"/>
    <col min="7941" max="7941" width="9.7109375" style="272" customWidth="1"/>
    <col min="7942" max="7942" width="0.7109375" style="272" customWidth="1"/>
    <col min="7943" max="7948" width="8.7109375" style="272" customWidth="1"/>
    <col min="7949" max="7950" width="2.7109375" style="272" customWidth="1"/>
    <col min="7951" max="8192" width="9.140625" style="272"/>
    <col min="8193" max="8194" width="2.7109375" style="272" customWidth="1"/>
    <col min="8195" max="8195" width="9.7109375" style="272" customWidth="1"/>
    <col min="8196" max="8196" width="4.7109375" style="272" customWidth="1"/>
    <col min="8197" max="8197" width="9.7109375" style="272" customWidth="1"/>
    <col min="8198" max="8198" width="0.7109375" style="272" customWidth="1"/>
    <col min="8199" max="8204" width="8.7109375" style="272" customWidth="1"/>
    <col min="8205" max="8206" width="2.7109375" style="272" customWidth="1"/>
    <col min="8207" max="8448" width="9.140625" style="272"/>
    <col min="8449" max="8450" width="2.7109375" style="272" customWidth="1"/>
    <col min="8451" max="8451" width="9.7109375" style="272" customWidth="1"/>
    <col min="8452" max="8452" width="4.7109375" style="272" customWidth="1"/>
    <col min="8453" max="8453" width="9.7109375" style="272" customWidth="1"/>
    <col min="8454" max="8454" width="0.7109375" style="272" customWidth="1"/>
    <col min="8455" max="8460" width="8.7109375" style="272" customWidth="1"/>
    <col min="8461" max="8462" width="2.7109375" style="272" customWidth="1"/>
    <col min="8463" max="8704" width="9.140625" style="272"/>
    <col min="8705" max="8706" width="2.7109375" style="272" customWidth="1"/>
    <col min="8707" max="8707" width="9.7109375" style="272" customWidth="1"/>
    <col min="8708" max="8708" width="4.7109375" style="272" customWidth="1"/>
    <col min="8709" max="8709" width="9.7109375" style="272" customWidth="1"/>
    <col min="8710" max="8710" width="0.7109375" style="272" customWidth="1"/>
    <col min="8711" max="8716" width="8.7109375" style="272" customWidth="1"/>
    <col min="8717" max="8718" width="2.7109375" style="272" customWidth="1"/>
    <col min="8719" max="8960" width="9.140625" style="272"/>
    <col min="8961" max="8962" width="2.7109375" style="272" customWidth="1"/>
    <col min="8963" max="8963" width="9.7109375" style="272" customWidth="1"/>
    <col min="8964" max="8964" width="4.7109375" style="272" customWidth="1"/>
    <col min="8965" max="8965" width="9.7109375" style="272" customWidth="1"/>
    <col min="8966" max="8966" width="0.7109375" style="272" customWidth="1"/>
    <col min="8967" max="8972" width="8.7109375" style="272" customWidth="1"/>
    <col min="8973" max="8974" width="2.7109375" style="272" customWidth="1"/>
    <col min="8975" max="9216" width="9.140625" style="272"/>
    <col min="9217" max="9218" width="2.7109375" style="272" customWidth="1"/>
    <col min="9219" max="9219" width="9.7109375" style="272" customWidth="1"/>
    <col min="9220" max="9220" width="4.7109375" style="272" customWidth="1"/>
    <col min="9221" max="9221" width="9.7109375" style="272" customWidth="1"/>
    <col min="9222" max="9222" width="0.7109375" style="272" customWidth="1"/>
    <col min="9223" max="9228" width="8.7109375" style="272" customWidth="1"/>
    <col min="9229" max="9230" width="2.7109375" style="272" customWidth="1"/>
    <col min="9231" max="9472" width="9.140625" style="272"/>
    <col min="9473" max="9474" width="2.7109375" style="272" customWidth="1"/>
    <col min="9475" max="9475" width="9.7109375" style="272" customWidth="1"/>
    <col min="9476" max="9476" width="4.7109375" style="272" customWidth="1"/>
    <col min="9477" max="9477" width="9.7109375" style="272" customWidth="1"/>
    <col min="9478" max="9478" width="0.7109375" style="272" customWidth="1"/>
    <col min="9479" max="9484" width="8.7109375" style="272" customWidth="1"/>
    <col min="9485" max="9486" width="2.7109375" style="272" customWidth="1"/>
    <col min="9487" max="9728" width="9.140625" style="272"/>
    <col min="9729" max="9730" width="2.7109375" style="272" customWidth="1"/>
    <col min="9731" max="9731" width="9.7109375" style="272" customWidth="1"/>
    <col min="9732" max="9732" width="4.7109375" style="272" customWidth="1"/>
    <col min="9733" max="9733" width="9.7109375" style="272" customWidth="1"/>
    <col min="9734" max="9734" width="0.7109375" style="272" customWidth="1"/>
    <col min="9735" max="9740" width="8.7109375" style="272" customWidth="1"/>
    <col min="9741" max="9742" width="2.7109375" style="272" customWidth="1"/>
    <col min="9743" max="9984" width="9.140625" style="272"/>
    <col min="9985" max="9986" width="2.7109375" style="272" customWidth="1"/>
    <col min="9987" max="9987" width="9.7109375" style="272" customWidth="1"/>
    <col min="9988" max="9988" width="4.7109375" style="272" customWidth="1"/>
    <col min="9989" max="9989" width="9.7109375" style="272" customWidth="1"/>
    <col min="9990" max="9990" width="0.7109375" style="272" customWidth="1"/>
    <col min="9991" max="9996" width="8.7109375" style="272" customWidth="1"/>
    <col min="9997" max="9998" width="2.7109375" style="272" customWidth="1"/>
    <col min="9999" max="10240" width="9.140625" style="272"/>
    <col min="10241" max="10242" width="2.7109375" style="272" customWidth="1"/>
    <col min="10243" max="10243" width="9.7109375" style="272" customWidth="1"/>
    <col min="10244" max="10244" width="4.7109375" style="272" customWidth="1"/>
    <col min="10245" max="10245" width="9.7109375" style="272" customWidth="1"/>
    <col min="10246" max="10246" width="0.7109375" style="272" customWidth="1"/>
    <col min="10247" max="10252" width="8.7109375" style="272" customWidth="1"/>
    <col min="10253" max="10254" width="2.7109375" style="272" customWidth="1"/>
    <col min="10255" max="10496" width="9.140625" style="272"/>
    <col min="10497" max="10498" width="2.7109375" style="272" customWidth="1"/>
    <col min="10499" max="10499" width="9.7109375" style="272" customWidth="1"/>
    <col min="10500" max="10500" width="4.7109375" style="272" customWidth="1"/>
    <col min="10501" max="10501" width="9.7109375" style="272" customWidth="1"/>
    <col min="10502" max="10502" width="0.7109375" style="272" customWidth="1"/>
    <col min="10503" max="10508" width="8.7109375" style="272" customWidth="1"/>
    <col min="10509" max="10510" width="2.7109375" style="272" customWidth="1"/>
    <col min="10511" max="10752" width="9.140625" style="272"/>
    <col min="10753" max="10754" width="2.7109375" style="272" customWidth="1"/>
    <col min="10755" max="10755" width="9.7109375" style="272" customWidth="1"/>
    <col min="10756" max="10756" width="4.7109375" style="272" customWidth="1"/>
    <col min="10757" max="10757" width="9.7109375" style="272" customWidth="1"/>
    <col min="10758" max="10758" width="0.7109375" style="272" customWidth="1"/>
    <col min="10759" max="10764" width="8.7109375" style="272" customWidth="1"/>
    <col min="10765" max="10766" width="2.7109375" style="272" customWidth="1"/>
    <col min="10767" max="11008" width="9.140625" style="272"/>
    <col min="11009" max="11010" width="2.7109375" style="272" customWidth="1"/>
    <col min="11011" max="11011" width="9.7109375" style="272" customWidth="1"/>
    <col min="11012" max="11012" width="4.7109375" style="272" customWidth="1"/>
    <col min="11013" max="11013" width="9.7109375" style="272" customWidth="1"/>
    <col min="11014" max="11014" width="0.7109375" style="272" customWidth="1"/>
    <col min="11015" max="11020" width="8.7109375" style="272" customWidth="1"/>
    <col min="11021" max="11022" width="2.7109375" style="272" customWidth="1"/>
    <col min="11023" max="11264" width="9.140625" style="272"/>
    <col min="11265" max="11266" width="2.7109375" style="272" customWidth="1"/>
    <col min="11267" max="11267" width="9.7109375" style="272" customWidth="1"/>
    <col min="11268" max="11268" width="4.7109375" style="272" customWidth="1"/>
    <col min="11269" max="11269" width="9.7109375" style="272" customWidth="1"/>
    <col min="11270" max="11270" width="0.7109375" style="272" customWidth="1"/>
    <col min="11271" max="11276" width="8.7109375" style="272" customWidth="1"/>
    <col min="11277" max="11278" width="2.7109375" style="272" customWidth="1"/>
    <col min="11279" max="11520" width="9.140625" style="272"/>
    <col min="11521" max="11522" width="2.7109375" style="272" customWidth="1"/>
    <col min="11523" max="11523" width="9.7109375" style="272" customWidth="1"/>
    <col min="11524" max="11524" width="4.7109375" style="272" customWidth="1"/>
    <col min="11525" max="11525" width="9.7109375" style="272" customWidth="1"/>
    <col min="11526" max="11526" width="0.7109375" style="272" customWidth="1"/>
    <col min="11527" max="11532" width="8.7109375" style="272" customWidth="1"/>
    <col min="11533" max="11534" width="2.7109375" style="272" customWidth="1"/>
    <col min="11535" max="11776" width="9.140625" style="272"/>
    <col min="11777" max="11778" width="2.7109375" style="272" customWidth="1"/>
    <col min="11779" max="11779" width="9.7109375" style="272" customWidth="1"/>
    <col min="11780" max="11780" width="4.7109375" style="272" customWidth="1"/>
    <col min="11781" max="11781" width="9.7109375" style="272" customWidth="1"/>
    <col min="11782" max="11782" width="0.7109375" style="272" customWidth="1"/>
    <col min="11783" max="11788" width="8.7109375" style="272" customWidth="1"/>
    <col min="11789" max="11790" width="2.7109375" style="272" customWidth="1"/>
    <col min="11791" max="12032" width="9.140625" style="272"/>
    <col min="12033" max="12034" width="2.7109375" style="272" customWidth="1"/>
    <col min="12035" max="12035" width="9.7109375" style="272" customWidth="1"/>
    <col min="12036" max="12036" width="4.7109375" style="272" customWidth="1"/>
    <col min="12037" max="12037" width="9.7109375" style="272" customWidth="1"/>
    <col min="12038" max="12038" width="0.7109375" style="272" customWidth="1"/>
    <col min="12039" max="12044" width="8.7109375" style="272" customWidth="1"/>
    <col min="12045" max="12046" width="2.7109375" style="272" customWidth="1"/>
    <col min="12047" max="12288" width="9.140625" style="272"/>
    <col min="12289" max="12290" width="2.7109375" style="272" customWidth="1"/>
    <col min="12291" max="12291" width="9.7109375" style="272" customWidth="1"/>
    <col min="12292" max="12292" width="4.7109375" style="272" customWidth="1"/>
    <col min="12293" max="12293" width="9.7109375" style="272" customWidth="1"/>
    <col min="12294" max="12294" width="0.7109375" style="272" customWidth="1"/>
    <col min="12295" max="12300" width="8.7109375" style="272" customWidth="1"/>
    <col min="12301" max="12302" width="2.7109375" style="272" customWidth="1"/>
    <col min="12303" max="12544" width="9.140625" style="272"/>
    <col min="12545" max="12546" width="2.7109375" style="272" customWidth="1"/>
    <col min="12547" max="12547" width="9.7109375" style="272" customWidth="1"/>
    <col min="12548" max="12548" width="4.7109375" style="272" customWidth="1"/>
    <col min="12549" max="12549" width="9.7109375" style="272" customWidth="1"/>
    <col min="12550" max="12550" width="0.7109375" style="272" customWidth="1"/>
    <col min="12551" max="12556" width="8.7109375" style="272" customWidth="1"/>
    <col min="12557" max="12558" width="2.7109375" style="272" customWidth="1"/>
    <col min="12559" max="12800" width="9.140625" style="272"/>
    <col min="12801" max="12802" width="2.7109375" style="272" customWidth="1"/>
    <col min="12803" max="12803" width="9.7109375" style="272" customWidth="1"/>
    <col min="12804" max="12804" width="4.7109375" style="272" customWidth="1"/>
    <col min="12805" max="12805" width="9.7109375" style="272" customWidth="1"/>
    <col min="12806" max="12806" width="0.7109375" style="272" customWidth="1"/>
    <col min="12807" max="12812" width="8.7109375" style="272" customWidth="1"/>
    <col min="12813" max="12814" width="2.7109375" style="272" customWidth="1"/>
    <col min="12815" max="13056" width="9.140625" style="272"/>
    <col min="13057" max="13058" width="2.7109375" style="272" customWidth="1"/>
    <col min="13059" max="13059" width="9.7109375" style="272" customWidth="1"/>
    <col min="13060" max="13060" width="4.7109375" style="272" customWidth="1"/>
    <col min="13061" max="13061" width="9.7109375" style="272" customWidth="1"/>
    <col min="13062" max="13062" width="0.7109375" style="272" customWidth="1"/>
    <col min="13063" max="13068" width="8.7109375" style="272" customWidth="1"/>
    <col min="13069" max="13070" width="2.7109375" style="272" customWidth="1"/>
    <col min="13071" max="13312" width="9.140625" style="272"/>
    <col min="13313" max="13314" width="2.7109375" style="272" customWidth="1"/>
    <col min="13315" max="13315" width="9.7109375" style="272" customWidth="1"/>
    <col min="13316" max="13316" width="4.7109375" style="272" customWidth="1"/>
    <col min="13317" max="13317" width="9.7109375" style="272" customWidth="1"/>
    <col min="13318" max="13318" width="0.7109375" style="272" customWidth="1"/>
    <col min="13319" max="13324" width="8.7109375" style="272" customWidth="1"/>
    <col min="13325" max="13326" width="2.7109375" style="272" customWidth="1"/>
    <col min="13327" max="13568" width="9.140625" style="272"/>
    <col min="13569" max="13570" width="2.7109375" style="272" customWidth="1"/>
    <col min="13571" max="13571" width="9.7109375" style="272" customWidth="1"/>
    <col min="13572" max="13572" width="4.7109375" style="272" customWidth="1"/>
    <col min="13573" max="13573" width="9.7109375" style="272" customWidth="1"/>
    <col min="13574" max="13574" width="0.7109375" style="272" customWidth="1"/>
    <col min="13575" max="13580" width="8.7109375" style="272" customWidth="1"/>
    <col min="13581" max="13582" width="2.7109375" style="272" customWidth="1"/>
    <col min="13583" max="13824" width="9.140625" style="272"/>
    <col min="13825" max="13826" width="2.7109375" style="272" customWidth="1"/>
    <col min="13827" max="13827" width="9.7109375" style="272" customWidth="1"/>
    <col min="13828" max="13828" width="4.7109375" style="272" customWidth="1"/>
    <col min="13829" max="13829" width="9.7109375" style="272" customWidth="1"/>
    <col min="13830" max="13830" width="0.7109375" style="272" customWidth="1"/>
    <col min="13831" max="13836" width="8.7109375" style="272" customWidth="1"/>
    <col min="13837" max="13838" width="2.7109375" style="272" customWidth="1"/>
    <col min="13839" max="14080" width="9.140625" style="272"/>
    <col min="14081" max="14082" width="2.7109375" style="272" customWidth="1"/>
    <col min="14083" max="14083" width="9.7109375" style="272" customWidth="1"/>
    <col min="14084" max="14084" width="4.7109375" style="272" customWidth="1"/>
    <col min="14085" max="14085" width="9.7109375" style="272" customWidth="1"/>
    <col min="14086" max="14086" width="0.7109375" style="272" customWidth="1"/>
    <col min="14087" max="14092" width="8.7109375" style="272" customWidth="1"/>
    <col min="14093" max="14094" width="2.7109375" style="272" customWidth="1"/>
    <col min="14095" max="14336" width="9.140625" style="272"/>
    <col min="14337" max="14338" width="2.7109375" style="272" customWidth="1"/>
    <col min="14339" max="14339" width="9.7109375" style="272" customWidth="1"/>
    <col min="14340" max="14340" width="4.7109375" style="272" customWidth="1"/>
    <col min="14341" max="14341" width="9.7109375" style="272" customWidth="1"/>
    <col min="14342" max="14342" width="0.7109375" style="272" customWidth="1"/>
    <col min="14343" max="14348" width="8.7109375" style="272" customWidth="1"/>
    <col min="14349" max="14350" width="2.7109375" style="272" customWidth="1"/>
    <col min="14351" max="14592" width="9.140625" style="272"/>
    <col min="14593" max="14594" width="2.7109375" style="272" customWidth="1"/>
    <col min="14595" max="14595" width="9.7109375" style="272" customWidth="1"/>
    <col min="14596" max="14596" width="4.7109375" style="272" customWidth="1"/>
    <col min="14597" max="14597" width="9.7109375" style="272" customWidth="1"/>
    <col min="14598" max="14598" width="0.7109375" style="272" customWidth="1"/>
    <col min="14599" max="14604" width="8.7109375" style="272" customWidth="1"/>
    <col min="14605" max="14606" width="2.7109375" style="272" customWidth="1"/>
    <col min="14607" max="14848" width="9.140625" style="272"/>
    <col min="14849" max="14850" width="2.7109375" style="272" customWidth="1"/>
    <col min="14851" max="14851" width="9.7109375" style="272" customWidth="1"/>
    <col min="14852" max="14852" width="4.7109375" style="272" customWidth="1"/>
    <col min="14853" max="14853" width="9.7109375" style="272" customWidth="1"/>
    <col min="14854" max="14854" width="0.7109375" style="272" customWidth="1"/>
    <col min="14855" max="14860" width="8.7109375" style="272" customWidth="1"/>
    <col min="14861" max="14862" width="2.7109375" style="272" customWidth="1"/>
    <col min="14863" max="15104" width="9.140625" style="272"/>
    <col min="15105" max="15106" width="2.7109375" style="272" customWidth="1"/>
    <col min="15107" max="15107" width="9.7109375" style="272" customWidth="1"/>
    <col min="15108" max="15108" width="4.7109375" style="272" customWidth="1"/>
    <col min="15109" max="15109" width="9.7109375" style="272" customWidth="1"/>
    <col min="15110" max="15110" width="0.7109375" style="272" customWidth="1"/>
    <col min="15111" max="15116" width="8.7109375" style="272" customWidth="1"/>
    <col min="15117" max="15118" width="2.7109375" style="272" customWidth="1"/>
    <col min="15119" max="15360" width="9.140625" style="272"/>
    <col min="15361" max="15362" width="2.7109375" style="272" customWidth="1"/>
    <col min="15363" max="15363" width="9.7109375" style="272" customWidth="1"/>
    <col min="15364" max="15364" width="4.7109375" style="272" customWidth="1"/>
    <col min="15365" max="15365" width="9.7109375" style="272" customWidth="1"/>
    <col min="15366" max="15366" width="0.7109375" style="272" customWidth="1"/>
    <col min="15367" max="15372" width="8.7109375" style="272" customWidth="1"/>
    <col min="15373" max="15374" width="2.7109375" style="272" customWidth="1"/>
    <col min="15375" max="15616" width="9.140625" style="272"/>
    <col min="15617" max="15618" width="2.7109375" style="272" customWidth="1"/>
    <col min="15619" max="15619" width="9.7109375" style="272" customWidth="1"/>
    <col min="15620" max="15620" width="4.7109375" style="272" customWidth="1"/>
    <col min="15621" max="15621" width="9.7109375" style="272" customWidth="1"/>
    <col min="15622" max="15622" width="0.7109375" style="272" customWidth="1"/>
    <col min="15623" max="15628" width="8.7109375" style="272" customWidth="1"/>
    <col min="15629" max="15630" width="2.7109375" style="272" customWidth="1"/>
    <col min="15631" max="15872" width="9.140625" style="272"/>
    <col min="15873" max="15874" width="2.7109375" style="272" customWidth="1"/>
    <col min="15875" max="15875" width="9.7109375" style="272" customWidth="1"/>
    <col min="15876" max="15876" width="4.7109375" style="272" customWidth="1"/>
    <col min="15877" max="15877" width="9.7109375" style="272" customWidth="1"/>
    <col min="15878" max="15878" width="0.7109375" style="272" customWidth="1"/>
    <col min="15879" max="15884" width="8.7109375" style="272" customWidth="1"/>
    <col min="15885" max="15886" width="2.7109375" style="272" customWidth="1"/>
    <col min="15887" max="16128" width="9.140625" style="272"/>
    <col min="16129" max="16130" width="2.7109375" style="272" customWidth="1"/>
    <col min="16131" max="16131" width="9.7109375" style="272" customWidth="1"/>
    <col min="16132" max="16132" width="4.7109375" style="272" customWidth="1"/>
    <col min="16133" max="16133" width="9.7109375" style="272" customWidth="1"/>
    <col min="16134" max="16134" width="0.7109375" style="272" customWidth="1"/>
    <col min="16135" max="16140" width="8.7109375" style="272" customWidth="1"/>
    <col min="16141" max="16142" width="2.7109375" style="272" customWidth="1"/>
    <col min="16143" max="16384" width="9.140625" style="272"/>
  </cols>
  <sheetData>
    <row r="1" spans="1:22" ht="12.95" customHeight="1" x14ac:dyDescent="0.2">
      <c r="A1" s="270"/>
      <c r="B1" s="270"/>
      <c r="C1" s="270"/>
      <c r="D1" s="270"/>
      <c r="E1" s="270"/>
      <c r="F1" s="271"/>
      <c r="G1" s="270"/>
      <c r="H1" s="270"/>
      <c r="I1" s="270"/>
      <c r="J1" s="270"/>
      <c r="K1" s="270"/>
      <c r="L1" s="270"/>
      <c r="M1" s="270"/>
      <c r="N1" s="270"/>
      <c r="O1" s="87"/>
      <c r="P1" s="87"/>
      <c r="Q1" s="87"/>
      <c r="R1" s="87"/>
      <c r="S1" s="87"/>
      <c r="T1" s="87"/>
      <c r="U1" s="87"/>
      <c r="V1" s="87"/>
    </row>
    <row r="2" spans="1:22" s="278" customFormat="1" ht="16.5" customHeight="1" x14ac:dyDescent="0.3">
      <c r="A2" s="273"/>
      <c r="B2" s="274"/>
      <c r="C2" s="1173" t="s">
        <v>505</v>
      </c>
      <c r="D2" s="1173"/>
      <c r="E2" s="1173"/>
      <c r="F2" s="1173"/>
      <c r="G2" s="1173"/>
      <c r="H2" s="1173"/>
      <c r="I2" s="1173"/>
      <c r="J2" s="1173"/>
      <c r="K2" s="1173"/>
      <c r="L2" s="1173"/>
      <c r="M2" s="277" t="s">
        <v>402</v>
      </c>
      <c r="N2" s="273"/>
      <c r="O2" s="274"/>
      <c r="P2" s="1174" t="s">
        <v>843</v>
      </c>
      <c r="Q2" s="1174"/>
      <c r="R2" s="445"/>
      <c r="S2" s="445"/>
      <c r="T2" s="445"/>
      <c r="U2" s="445"/>
      <c r="V2" s="274"/>
    </row>
    <row r="3" spans="1:22" s="278" customFormat="1" ht="16.5" customHeight="1" x14ac:dyDescent="0.25">
      <c r="A3" s="273"/>
      <c r="B3" s="274"/>
      <c r="C3" s="275"/>
      <c r="D3" s="275"/>
      <c r="E3" s="275"/>
      <c r="F3" s="276"/>
      <c r="G3" s="275"/>
      <c r="H3" s="275"/>
      <c r="I3" s="275"/>
      <c r="J3" s="275"/>
      <c r="K3" s="275"/>
      <c r="L3" s="275"/>
      <c r="M3" s="277"/>
      <c r="N3" s="273"/>
      <c r="O3" s="274"/>
      <c r="P3" s="274"/>
      <c r="Q3" s="446" t="s">
        <v>506</v>
      </c>
      <c r="R3" s="446" t="s">
        <v>507</v>
      </c>
      <c r="S3" s="274"/>
      <c r="T3" s="274"/>
      <c r="U3" s="274"/>
      <c r="V3" s="274"/>
    </row>
    <row r="4" spans="1:22" s="278" customFormat="1" ht="16.5" customHeight="1" x14ac:dyDescent="0.25">
      <c r="A4" s="273"/>
      <c r="B4" s="274"/>
      <c r="C4" s="1048" t="s">
        <v>403</v>
      </c>
      <c r="D4" s="1049"/>
      <c r="E4" s="1172"/>
      <c r="F4" s="1172"/>
      <c r="G4" s="1172"/>
      <c r="H4" s="208"/>
      <c r="I4" s="213" t="s">
        <v>404</v>
      </c>
      <c r="J4" s="1053"/>
      <c r="K4" s="1054"/>
      <c r="L4" s="275"/>
      <c r="M4" s="277"/>
      <c r="N4" s="273"/>
      <c r="O4" s="274"/>
      <c r="P4" s="274"/>
      <c r="Q4" s="447" t="s">
        <v>508</v>
      </c>
      <c r="R4" s="447" t="s">
        <v>509</v>
      </c>
      <c r="S4" s="274"/>
      <c r="T4" s="274"/>
      <c r="U4" s="274"/>
      <c r="V4" s="274"/>
    </row>
    <row r="5" spans="1:22" s="278" customFormat="1" ht="16.5" customHeight="1" x14ac:dyDescent="0.25">
      <c r="A5" s="273"/>
      <c r="B5" s="274"/>
      <c r="C5" s="208"/>
      <c r="D5" s="208"/>
      <c r="E5" s="208"/>
      <c r="F5" s="209"/>
      <c r="G5" s="208"/>
      <c r="H5" s="208"/>
      <c r="I5" s="208"/>
      <c r="J5" s="208"/>
      <c r="K5" s="208"/>
      <c r="L5" s="275"/>
      <c r="M5" s="277"/>
      <c r="N5" s="273"/>
      <c r="O5" s="274"/>
      <c r="P5" s="274"/>
      <c r="Q5" s="447" t="s">
        <v>510</v>
      </c>
      <c r="R5" s="447" t="s">
        <v>511</v>
      </c>
      <c r="S5" s="274"/>
      <c r="T5" s="274"/>
      <c r="U5" s="274"/>
      <c r="V5" s="274"/>
    </row>
    <row r="6" spans="1:22" s="278" customFormat="1" ht="16.5" customHeight="1" x14ac:dyDescent="0.25">
      <c r="A6" s="273"/>
      <c r="B6" s="274"/>
      <c r="C6" s="214" t="s">
        <v>405</v>
      </c>
      <c r="D6" s="215"/>
      <c r="E6" s="208"/>
      <c r="F6" s="209"/>
      <c r="G6" s="1050"/>
      <c r="H6" s="1051"/>
      <c r="I6" s="1052"/>
      <c r="J6" s="208"/>
      <c r="K6" s="208"/>
      <c r="L6" s="275"/>
      <c r="M6" s="277"/>
      <c r="N6" s="273"/>
      <c r="O6" s="274"/>
      <c r="P6" s="274"/>
      <c r="Q6" s="447" t="s">
        <v>512</v>
      </c>
      <c r="R6" s="447" t="s">
        <v>513</v>
      </c>
      <c r="S6" s="274"/>
      <c r="T6" s="274"/>
      <c r="U6" s="274"/>
      <c r="V6" s="274"/>
    </row>
    <row r="7" spans="1:22" ht="12.95" customHeight="1" x14ac:dyDescent="0.25">
      <c r="A7" s="270"/>
      <c r="B7" s="87"/>
      <c r="C7" s="275"/>
      <c r="D7" s="275"/>
      <c r="E7" s="275"/>
      <c r="F7" s="276"/>
      <c r="G7" s="275"/>
      <c r="H7" s="275"/>
      <c r="I7" s="448"/>
      <c r="J7" s="275"/>
      <c r="K7" s="275"/>
      <c r="L7" s="275"/>
      <c r="M7" s="279"/>
      <c r="N7" s="270"/>
      <c r="O7" s="87"/>
      <c r="P7" s="87"/>
      <c r="Q7" s="447" t="s">
        <v>514</v>
      </c>
      <c r="R7" s="447" t="s">
        <v>515</v>
      </c>
      <c r="S7" s="87"/>
      <c r="T7" s="87"/>
      <c r="U7" s="87"/>
      <c r="V7" s="87"/>
    </row>
    <row r="8" spans="1:22" ht="12.95" customHeight="1" x14ac:dyDescent="0.25">
      <c r="A8" s="270"/>
      <c r="B8" s="87"/>
      <c r="C8" s="449" t="s">
        <v>406</v>
      </c>
      <c r="D8" s="280"/>
      <c r="E8" s="300" t="s">
        <v>407</v>
      </c>
      <c r="F8" s="281"/>
      <c r="G8" s="282"/>
      <c r="H8" s="282"/>
      <c r="I8" s="282"/>
      <c r="J8" s="282"/>
      <c r="K8" s="282"/>
      <c r="L8" s="282"/>
      <c r="M8" s="87"/>
      <c r="N8" s="270"/>
      <c r="O8" s="87"/>
      <c r="P8" s="87"/>
      <c r="Q8" s="447" t="s">
        <v>516</v>
      </c>
      <c r="R8" s="447" t="s">
        <v>517</v>
      </c>
      <c r="S8" s="87"/>
      <c r="T8" s="87"/>
      <c r="U8" s="87"/>
      <c r="V8" s="87"/>
    </row>
    <row r="9" spans="1:22" ht="12.95" customHeight="1" thickBot="1" x14ac:dyDescent="0.3">
      <c r="A9" s="270"/>
      <c r="B9" s="87"/>
      <c r="C9" s="283"/>
      <c r="D9" s="284"/>
      <c r="E9" s="285"/>
      <c r="F9" s="286"/>
      <c r="G9" s="282"/>
      <c r="H9" s="282"/>
      <c r="I9" s="282"/>
      <c r="J9" s="282"/>
      <c r="K9" s="282"/>
      <c r="L9" s="282"/>
      <c r="M9" s="87"/>
      <c r="N9" s="270"/>
      <c r="O9" s="87"/>
      <c r="P9" s="87"/>
      <c r="Q9" s="447" t="s">
        <v>518</v>
      </c>
      <c r="R9" s="447" t="s">
        <v>519</v>
      </c>
      <c r="S9" s="87"/>
      <c r="T9" s="87"/>
      <c r="U9" s="87"/>
      <c r="V9" s="87"/>
    </row>
    <row r="10" spans="1:22" s="295" customFormat="1" ht="16.5" customHeight="1" thickBot="1" x14ac:dyDescent="0.3">
      <c r="A10" s="287"/>
      <c r="B10" s="288"/>
      <c r="C10" s="289">
        <f>SUM(C11:C14)</f>
        <v>11</v>
      </c>
      <c r="D10" s="290"/>
      <c r="E10" s="291">
        <f>SUM(C11*E11,C12*E12,C13*E13,C14*E14)/C10</f>
        <v>0</v>
      </c>
      <c r="F10" s="292">
        <v>1</v>
      </c>
      <c r="G10" s="293" t="s">
        <v>431</v>
      </c>
      <c r="H10" s="294"/>
      <c r="I10" s="294"/>
      <c r="J10" s="1057"/>
      <c r="K10" s="1057"/>
      <c r="L10" s="1057"/>
      <c r="M10" s="288"/>
      <c r="N10" s="287"/>
      <c r="O10" s="288"/>
      <c r="P10" s="288"/>
      <c r="Q10" s="447" t="s">
        <v>520</v>
      </c>
      <c r="R10" s="447" t="s">
        <v>521</v>
      </c>
      <c r="S10" s="288"/>
      <c r="T10" s="288"/>
      <c r="U10" s="288"/>
      <c r="V10" s="288"/>
    </row>
    <row r="11" spans="1:22" ht="12.95" customHeight="1" thickBot="1" x14ac:dyDescent="0.3">
      <c r="A11" s="270"/>
      <c r="B11" s="87"/>
      <c r="C11" s="296">
        <v>2</v>
      </c>
      <c r="D11" s="284"/>
      <c r="E11" s="297"/>
      <c r="F11" s="298">
        <v>1.1000000000000001</v>
      </c>
      <c r="G11" s="299" t="s">
        <v>432</v>
      </c>
      <c r="H11" s="87"/>
      <c r="I11" s="282"/>
      <c r="J11" s="1063"/>
      <c r="K11" s="1063"/>
      <c r="L11" s="1063"/>
      <c r="M11" s="87"/>
      <c r="N11" s="270"/>
      <c r="O11" s="87"/>
      <c r="P11" s="87"/>
      <c r="Q11" s="447" t="s">
        <v>522</v>
      </c>
      <c r="R11" s="447" t="s">
        <v>523</v>
      </c>
      <c r="S11" s="87"/>
      <c r="T11" s="87"/>
      <c r="U11" s="87"/>
      <c r="V11" s="87"/>
    </row>
    <row r="12" spans="1:22" ht="12.95" customHeight="1" thickBot="1" x14ac:dyDescent="0.3">
      <c r="A12" s="270"/>
      <c r="B12" s="87"/>
      <c r="C12" s="301">
        <v>3</v>
      </c>
      <c r="D12" s="284"/>
      <c r="E12" s="297"/>
      <c r="F12" s="298">
        <v>1.2</v>
      </c>
      <c r="G12" s="299" t="s">
        <v>433</v>
      </c>
      <c r="H12" s="87"/>
      <c r="I12" s="282"/>
      <c r="J12" s="282"/>
      <c r="K12" s="282"/>
      <c r="L12" s="282"/>
      <c r="M12" s="87"/>
      <c r="N12" s="270"/>
      <c r="O12" s="87"/>
      <c r="P12" s="87"/>
      <c r="Q12" s="447" t="s">
        <v>524</v>
      </c>
      <c r="R12" s="447" t="s">
        <v>525</v>
      </c>
      <c r="S12" s="87"/>
      <c r="T12" s="87"/>
      <c r="U12" s="87"/>
      <c r="V12" s="87"/>
    </row>
    <row r="13" spans="1:22" ht="12.95" customHeight="1" thickBot="1" x14ac:dyDescent="0.25">
      <c r="A13" s="270"/>
      <c r="B13" s="87"/>
      <c r="C13" s="301">
        <v>3</v>
      </c>
      <c r="D13" s="284"/>
      <c r="E13" s="297"/>
      <c r="F13" s="298">
        <v>1.3</v>
      </c>
      <c r="G13" s="299" t="s">
        <v>434</v>
      </c>
      <c r="H13" s="87"/>
      <c r="I13" s="282"/>
      <c r="J13" s="282"/>
      <c r="K13" s="282"/>
      <c r="L13" s="282"/>
      <c r="M13" s="87"/>
      <c r="N13" s="270"/>
      <c r="O13" s="87"/>
      <c r="P13" s="87"/>
      <c r="Q13" s="87"/>
      <c r="R13" s="87"/>
      <c r="S13" s="87"/>
      <c r="T13" s="87"/>
      <c r="U13" s="87"/>
      <c r="V13" s="87"/>
    </row>
    <row r="14" spans="1:22" ht="12.95" customHeight="1" x14ac:dyDescent="0.2">
      <c r="A14" s="270"/>
      <c r="B14" s="87"/>
      <c r="C14" s="301">
        <v>3</v>
      </c>
      <c r="D14" s="284"/>
      <c r="E14" s="297"/>
      <c r="F14" s="298">
        <v>1.3</v>
      </c>
      <c r="G14" s="299" t="s">
        <v>526</v>
      </c>
      <c r="H14" s="87"/>
      <c r="I14" s="282"/>
      <c r="J14" s="282"/>
      <c r="K14" s="282"/>
      <c r="L14" s="282"/>
      <c r="M14" s="87"/>
      <c r="N14" s="270"/>
      <c r="O14" s="87"/>
      <c r="P14" s="87"/>
      <c r="Q14" s="87"/>
      <c r="R14" s="87"/>
      <c r="S14" s="87"/>
      <c r="T14" s="87"/>
      <c r="U14" s="87"/>
      <c r="V14" s="87"/>
    </row>
    <row r="15" spans="1:22" ht="12.95" customHeight="1" thickBot="1" x14ac:dyDescent="0.25">
      <c r="A15" s="270"/>
      <c r="B15" s="87"/>
      <c r="C15" s="303"/>
      <c r="D15" s="285"/>
      <c r="E15" s="90"/>
      <c r="F15" s="298"/>
      <c r="G15" s="94"/>
      <c r="H15" s="94"/>
      <c r="I15" s="94"/>
      <c r="J15" s="94"/>
      <c r="K15" s="94"/>
      <c r="L15" s="94"/>
      <c r="M15" s="87"/>
      <c r="N15" s="270"/>
      <c r="O15" s="87"/>
      <c r="P15" s="87"/>
      <c r="Q15" s="87"/>
      <c r="R15" s="87"/>
      <c r="S15" s="87"/>
      <c r="T15" s="87"/>
      <c r="U15" s="87"/>
      <c r="V15" s="87"/>
    </row>
    <row r="16" spans="1:22" s="295" customFormat="1" ht="16.5" customHeight="1" thickBot="1" x14ac:dyDescent="0.25">
      <c r="A16" s="287"/>
      <c r="B16" s="288"/>
      <c r="C16" s="289">
        <f>SUM(C17:C26)</f>
        <v>70</v>
      </c>
      <c r="D16" s="304"/>
      <c r="E16" s="291">
        <f>SUM(C17*E17+C18*E18+C19*E19+C20*E20+C21*E21+C22*E22+C23*E23+C24*E24+C25*E25+C26*E26)/C16</f>
        <v>0</v>
      </c>
      <c r="F16" s="292">
        <v>2</v>
      </c>
      <c r="G16" s="293" t="s">
        <v>527</v>
      </c>
      <c r="H16" s="305"/>
      <c r="I16" s="305"/>
      <c r="J16" s="305"/>
      <c r="K16" s="305"/>
      <c r="L16" s="305"/>
      <c r="M16" s="288"/>
      <c r="N16" s="287"/>
      <c r="O16" s="288"/>
      <c r="P16" s="288"/>
      <c r="Q16" s="288"/>
      <c r="R16" s="288"/>
      <c r="S16" s="288"/>
      <c r="T16" s="288"/>
      <c r="U16" s="288"/>
      <c r="V16" s="288"/>
    </row>
    <row r="17" spans="1:22" ht="12.95" customHeight="1" x14ac:dyDescent="0.2">
      <c r="A17" s="270"/>
      <c r="B17" s="87"/>
      <c r="C17" s="306">
        <v>7</v>
      </c>
      <c r="D17" s="285"/>
      <c r="E17" s="302"/>
      <c r="F17" s="298" t="s">
        <v>412</v>
      </c>
      <c r="G17" s="299" t="s">
        <v>528</v>
      </c>
      <c r="H17" s="87"/>
      <c r="I17" s="87"/>
      <c r="J17" s="94"/>
      <c r="K17" s="94"/>
      <c r="L17" s="94"/>
      <c r="M17" s="87"/>
      <c r="N17" s="270"/>
      <c r="O17" s="87"/>
      <c r="P17" s="87"/>
      <c r="Q17" s="87"/>
      <c r="R17" s="87"/>
      <c r="S17" s="87"/>
      <c r="T17" s="87"/>
      <c r="U17" s="87"/>
      <c r="V17" s="87"/>
    </row>
    <row r="18" spans="1:22" ht="12.95" customHeight="1" x14ac:dyDescent="0.2">
      <c r="A18" s="270"/>
      <c r="B18" s="87"/>
      <c r="C18" s="306">
        <v>7</v>
      </c>
      <c r="D18" s="285"/>
      <c r="E18" s="302"/>
      <c r="F18" s="298" t="s">
        <v>437</v>
      </c>
      <c r="G18" s="299" t="s">
        <v>529</v>
      </c>
      <c r="H18" s="87"/>
      <c r="I18" s="87"/>
      <c r="J18" s="94"/>
      <c r="K18" s="94"/>
      <c r="L18" s="94"/>
      <c r="M18" s="87"/>
      <c r="N18" s="270"/>
      <c r="O18" s="87"/>
      <c r="P18" s="87"/>
      <c r="Q18" s="87"/>
      <c r="R18" s="87"/>
      <c r="S18" s="87"/>
      <c r="T18" s="87"/>
      <c r="U18" s="87"/>
      <c r="V18" s="87"/>
    </row>
    <row r="19" spans="1:22" ht="12.95" customHeight="1" x14ac:dyDescent="0.2">
      <c r="A19" s="270"/>
      <c r="B19" s="87"/>
      <c r="C19" s="306">
        <v>7</v>
      </c>
      <c r="D19" s="285"/>
      <c r="E19" s="302"/>
      <c r="F19" s="298" t="s">
        <v>439</v>
      </c>
      <c r="G19" s="299" t="s">
        <v>530</v>
      </c>
      <c r="H19" s="87"/>
      <c r="I19" s="87"/>
      <c r="J19" s="94"/>
      <c r="K19" s="94"/>
      <c r="L19" s="94"/>
      <c r="M19" s="87"/>
      <c r="N19" s="270"/>
      <c r="O19" s="87"/>
      <c r="P19" s="87"/>
      <c r="Q19" s="87"/>
      <c r="R19" s="87"/>
      <c r="S19" s="87"/>
      <c r="T19" s="87"/>
      <c r="U19" s="87"/>
      <c r="V19" s="87"/>
    </row>
    <row r="20" spans="1:22" ht="12.95" customHeight="1" x14ac:dyDescent="0.2">
      <c r="A20" s="270"/>
      <c r="B20" s="87"/>
      <c r="C20" s="306">
        <v>7</v>
      </c>
      <c r="D20" s="285"/>
      <c r="E20" s="302"/>
      <c r="F20" s="298" t="s">
        <v>441</v>
      </c>
      <c r="G20" s="299" t="s">
        <v>531</v>
      </c>
      <c r="H20" s="87"/>
      <c r="I20" s="87"/>
      <c r="J20" s="94"/>
      <c r="K20" s="94"/>
      <c r="L20" s="94"/>
      <c r="M20" s="87"/>
      <c r="N20" s="270"/>
      <c r="O20" s="87"/>
      <c r="P20" s="87"/>
      <c r="Q20" s="87"/>
      <c r="R20" s="87"/>
      <c r="S20" s="87"/>
      <c r="T20" s="87"/>
      <c r="U20" s="87"/>
      <c r="V20" s="87"/>
    </row>
    <row r="21" spans="1:22" ht="12.95" customHeight="1" x14ac:dyDescent="0.2">
      <c r="A21" s="270"/>
      <c r="B21" s="87"/>
      <c r="C21" s="306">
        <v>7</v>
      </c>
      <c r="D21" s="285"/>
      <c r="E21" s="302"/>
      <c r="F21" s="298" t="s">
        <v>443</v>
      </c>
      <c r="G21" s="299" t="s">
        <v>532</v>
      </c>
      <c r="H21" s="87"/>
      <c r="I21" s="87"/>
      <c r="J21" s="94"/>
      <c r="K21" s="94"/>
      <c r="L21" s="94"/>
      <c r="M21" s="87"/>
      <c r="N21" s="270"/>
      <c r="O21" s="87"/>
      <c r="P21" s="87"/>
      <c r="Q21" s="87"/>
      <c r="R21" s="87"/>
      <c r="S21" s="87"/>
      <c r="T21" s="87"/>
      <c r="U21" s="87"/>
      <c r="V21" s="87"/>
    </row>
    <row r="22" spans="1:22" ht="12.95" customHeight="1" x14ac:dyDescent="0.2">
      <c r="A22" s="270"/>
      <c r="B22" s="87"/>
      <c r="C22" s="306">
        <v>7</v>
      </c>
      <c r="D22" s="285"/>
      <c r="E22" s="302"/>
      <c r="F22" s="298" t="s">
        <v>445</v>
      </c>
      <c r="G22" s="450" t="s">
        <v>533</v>
      </c>
      <c r="H22" s="87"/>
      <c r="I22" s="87"/>
      <c r="J22" s="94"/>
      <c r="K22" s="94"/>
      <c r="L22" s="94"/>
      <c r="M22" s="87"/>
      <c r="N22" s="270"/>
      <c r="O22" s="87"/>
      <c r="P22" s="87"/>
      <c r="Q22" s="87"/>
      <c r="R22" s="87"/>
      <c r="S22" s="87"/>
      <c r="T22" s="87"/>
      <c r="U22" s="87"/>
      <c r="V22" s="87"/>
    </row>
    <row r="23" spans="1:22" s="295" customFormat="1" ht="16.5" customHeight="1" x14ac:dyDescent="0.2">
      <c r="A23" s="287"/>
      <c r="B23" s="288"/>
      <c r="C23" s="306">
        <v>7</v>
      </c>
      <c r="D23" s="285"/>
      <c r="E23" s="302"/>
      <c r="F23" s="298" t="s">
        <v>414</v>
      </c>
      <c r="G23" s="450" t="s">
        <v>534</v>
      </c>
      <c r="H23" s="87"/>
      <c r="I23" s="87"/>
      <c r="J23" s="94"/>
      <c r="K23" s="94"/>
      <c r="L23" s="305"/>
      <c r="M23" s="288"/>
      <c r="N23" s="287"/>
      <c r="O23" s="288"/>
      <c r="P23" s="288"/>
      <c r="Q23" s="288"/>
      <c r="R23" s="288"/>
      <c r="S23" s="288"/>
      <c r="T23" s="288"/>
      <c r="U23" s="288"/>
      <c r="V23" s="288"/>
    </row>
    <row r="24" spans="1:22" ht="12.95" customHeight="1" x14ac:dyDescent="0.2">
      <c r="A24" s="270"/>
      <c r="B24" s="87"/>
      <c r="C24" s="306">
        <v>7</v>
      </c>
      <c r="D24" s="285"/>
      <c r="E24" s="302"/>
      <c r="F24" s="298" t="s">
        <v>416</v>
      </c>
      <c r="G24" s="299" t="s">
        <v>535</v>
      </c>
      <c r="H24" s="87"/>
      <c r="I24" s="87"/>
      <c r="J24" s="94"/>
      <c r="K24" s="94"/>
      <c r="L24" s="94"/>
      <c r="M24" s="87"/>
      <c r="N24" s="270"/>
      <c r="O24" s="87"/>
      <c r="P24" s="87"/>
      <c r="Q24" s="87"/>
      <c r="R24" s="87"/>
      <c r="S24" s="87"/>
      <c r="T24" s="87"/>
      <c r="U24" s="87"/>
      <c r="V24" s="87"/>
    </row>
    <row r="25" spans="1:22" ht="12.95" customHeight="1" x14ac:dyDescent="0.2">
      <c r="A25" s="270"/>
      <c r="B25" s="87"/>
      <c r="C25" s="306">
        <v>7</v>
      </c>
      <c r="D25" s="285"/>
      <c r="E25" s="302"/>
      <c r="F25" s="298"/>
      <c r="G25" s="299" t="s">
        <v>536</v>
      </c>
      <c r="H25" s="87"/>
      <c r="I25" s="87"/>
      <c r="J25" s="94"/>
      <c r="K25" s="94"/>
      <c r="L25" s="94"/>
      <c r="M25" s="87"/>
      <c r="N25" s="270"/>
      <c r="O25" s="87"/>
      <c r="P25" s="87"/>
      <c r="Q25" s="87"/>
      <c r="R25" s="87"/>
      <c r="S25" s="87"/>
      <c r="T25" s="87"/>
      <c r="U25" s="87"/>
      <c r="V25" s="87"/>
    </row>
    <row r="26" spans="1:22" ht="12.95" customHeight="1" x14ac:dyDescent="0.2">
      <c r="A26" s="270"/>
      <c r="B26" s="87"/>
      <c r="C26" s="306">
        <v>7</v>
      </c>
      <c r="D26" s="285"/>
      <c r="E26" s="302"/>
      <c r="F26" s="298" t="s">
        <v>416</v>
      </c>
      <c r="G26" s="299" t="s">
        <v>537</v>
      </c>
      <c r="H26" s="87"/>
      <c r="I26" s="87"/>
      <c r="J26" s="94"/>
      <c r="K26" s="94"/>
      <c r="L26" s="94"/>
      <c r="M26" s="87"/>
      <c r="N26" s="270"/>
      <c r="O26" s="87"/>
      <c r="P26" s="87"/>
      <c r="Q26" s="87"/>
      <c r="R26" s="87"/>
      <c r="S26" s="87"/>
      <c r="T26" s="87"/>
      <c r="U26" s="87"/>
      <c r="V26" s="87"/>
    </row>
    <row r="27" spans="1:22" ht="12.95" customHeight="1" thickBot="1" x14ac:dyDescent="0.25">
      <c r="A27" s="270"/>
      <c r="B27" s="87"/>
      <c r="C27" s="303"/>
      <c r="D27" s="285"/>
      <c r="E27" s="90"/>
      <c r="F27" s="298"/>
      <c r="G27" s="94"/>
      <c r="H27" s="94"/>
      <c r="I27" s="94"/>
      <c r="J27" s="94"/>
      <c r="K27" s="94"/>
      <c r="L27" s="94"/>
      <c r="M27" s="87"/>
      <c r="N27" s="270"/>
      <c r="O27" s="87"/>
      <c r="P27" s="87"/>
      <c r="Q27" s="87"/>
      <c r="R27" s="87"/>
      <c r="S27" s="87"/>
      <c r="T27" s="87"/>
      <c r="U27" s="87"/>
      <c r="V27" s="87"/>
    </row>
    <row r="28" spans="1:22" ht="12.95" customHeight="1" thickBot="1" x14ac:dyDescent="0.25">
      <c r="A28" s="270"/>
      <c r="B28" s="87"/>
      <c r="C28" s="289">
        <f>SUM(C29:C33)</f>
        <v>13</v>
      </c>
      <c r="D28" s="304"/>
      <c r="E28" s="291">
        <f>SUM(C29*E29,C30*E30,C31*E31,C32*E32,C33*E33)/C28</f>
        <v>0</v>
      </c>
      <c r="F28" s="292">
        <v>4</v>
      </c>
      <c r="G28" s="293" t="s">
        <v>538</v>
      </c>
      <c r="H28" s="305"/>
      <c r="I28" s="305"/>
      <c r="J28" s="305"/>
      <c r="K28" s="305"/>
      <c r="L28" s="94"/>
      <c r="M28" s="87"/>
      <c r="N28" s="270"/>
      <c r="O28" s="87"/>
      <c r="P28" s="87"/>
      <c r="Q28" s="87"/>
      <c r="R28" s="87"/>
      <c r="S28" s="87"/>
      <c r="T28" s="87"/>
      <c r="U28" s="87"/>
      <c r="V28" s="87"/>
    </row>
    <row r="29" spans="1:22" ht="12.95" customHeight="1" x14ac:dyDescent="0.2">
      <c r="A29" s="270"/>
      <c r="B29" s="87"/>
      <c r="C29" s="307">
        <v>2</v>
      </c>
      <c r="D29" s="285"/>
      <c r="E29" s="302"/>
      <c r="F29" s="298">
        <v>4.0999999999999996</v>
      </c>
      <c r="G29" s="299" t="s">
        <v>539</v>
      </c>
      <c r="H29" s="87"/>
      <c r="I29" s="94"/>
      <c r="J29" s="94"/>
      <c r="K29" s="94"/>
      <c r="L29" s="94"/>
      <c r="M29" s="87"/>
      <c r="N29" s="270"/>
      <c r="O29" s="87"/>
      <c r="P29" s="87"/>
      <c r="Q29" s="87"/>
      <c r="R29" s="87"/>
      <c r="S29" s="87"/>
      <c r="T29" s="87"/>
      <c r="U29" s="87"/>
      <c r="V29" s="87"/>
    </row>
    <row r="30" spans="1:22" ht="12.95" customHeight="1" thickBot="1" x14ac:dyDescent="0.25">
      <c r="A30" s="270"/>
      <c r="B30" s="87"/>
      <c r="C30" s="306">
        <v>2</v>
      </c>
      <c r="D30" s="285"/>
      <c r="E30" s="302"/>
      <c r="F30" s="298">
        <v>4.2</v>
      </c>
      <c r="G30" s="299" t="s">
        <v>540</v>
      </c>
      <c r="H30" s="87"/>
      <c r="I30" s="94"/>
      <c r="J30" s="94"/>
      <c r="K30" s="94"/>
      <c r="L30" s="94"/>
      <c r="M30" s="87"/>
      <c r="N30" s="270"/>
      <c r="O30" s="87"/>
      <c r="P30" s="87"/>
      <c r="Q30" s="87"/>
      <c r="R30" s="87"/>
      <c r="S30" s="87"/>
      <c r="T30" s="87"/>
      <c r="U30" s="87"/>
      <c r="V30" s="87"/>
    </row>
    <row r="31" spans="1:22" ht="12.95" customHeight="1" thickBot="1" x14ac:dyDescent="0.25">
      <c r="A31" s="270"/>
      <c r="B31" s="87"/>
      <c r="C31" s="306">
        <v>3</v>
      </c>
      <c r="D31" s="285"/>
      <c r="E31" s="451"/>
      <c r="F31" s="298">
        <v>4.5</v>
      </c>
      <c r="G31" s="299" t="s">
        <v>541</v>
      </c>
      <c r="H31" s="87"/>
      <c r="I31" s="94"/>
      <c r="J31" s="94"/>
      <c r="K31" s="94"/>
      <c r="L31" s="94"/>
      <c r="M31" s="87"/>
      <c r="N31" s="270"/>
      <c r="O31" s="87"/>
      <c r="P31" s="87"/>
      <c r="Q31" s="87"/>
      <c r="R31" s="87"/>
      <c r="S31" s="87"/>
      <c r="T31" s="87"/>
      <c r="U31" s="87"/>
      <c r="V31" s="87"/>
    </row>
    <row r="32" spans="1:22" ht="12.95" customHeight="1" thickBot="1" x14ac:dyDescent="0.25">
      <c r="A32" s="270"/>
      <c r="B32" s="87"/>
      <c r="C32" s="306">
        <v>3</v>
      </c>
      <c r="D32" s="285"/>
      <c r="E32" s="451"/>
      <c r="F32" s="298">
        <v>4.5</v>
      </c>
      <c r="G32" s="299" t="s">
        <v>542</v>
      </c>
      <c r="H32" s="87"/>
      <c r="I32" s="94"/>
      <c r="J32" s="94"/>
      <c r="K32" s="94"/>
      <c r="L32" s="94"/>
      <c r="M32" s="87"/>
      <c r="N32" s="270"/>
      <c r="O32" s="87"/>
      <c r="P32" s="87"/>
      <c r="Q32" s="87"/>
      <c r="R32" s="87"/>
      <c r="S32" s="87"/>
      <c r="T32" s="87"/>
      <c r="U32" s="87"/>
      <c r="V32" s="87"/>
    </row>
    <row r="33" spans="1:22" ht="12.95" customHeight="1" x14ac:dyDescent="0.2">
      <c r="A33" s="270"/>
      <c r="B33" s="87"/>
      <c r="C33" s="306">
        <v>3</v>
      </c>
      <c r="D33" s="285"/>
      <c r="E33" s="451"/>
      <c r="F33" s="298">
        <v>4.5</v>
      </c>
      <c r="G33" s="299" t="s">
        <v>543</v>
      </c>
      <c r="H33" s="87"/>
      <c r="I33" s="94"/>
      <c r="J33" s="94"/>
      <c r="K33" s="94"/>
      <c r="L33" s="94"/>
      <c r="M33" s="87"/>
      <c r="N33" s="270"/>
      <c r="O33" s="87"/>
      <c r="P33" s="87"/>
      <c r="Q33" s="87"/>
      <c r="R33" s="87"/>
      <c r="S33" s="87"/>
      <c r="T33" s="87"/>
      <c r="U33" s="87"/>
      <c r="V33" s="87"/>
    </row>
    <row r="34" spans="1:22" ht="12.95" customHeight="1" thickBot="1" x14ac:dyDescent="0.25">
      <c r="A34" s="270"/>
      <c r="B34" s="87"/>
      <c r="C34" s="303"/>
      <c r="D34" s="285"/>
      <c r="E34" s="90"/>
      <c r="F34" s="298"/>
      <c r="G34" s="94"/>
      <c r="H34" s="94"/>
      <c r="I34" s="94"/>
      <c r="J34" s="94"/>
      <c r="K34" s="94"/>
      <c r="L34" s="94"/>
      <c r="M34" s="87"/>
      <c r="N34" s="270"/>
      <c r="O34" s="87"/>
      <c r="P34" s="87"/>
      <c r="Q34" s="87"/>
      <c r="R34" s="87"/>
      <c r="S34" s="87"/>
      <c r="T34" s="87"/>
      <c r="U34" s="87"/>
      <c r="V34" s="87"/>
    </row>
    <row r="35" spans="1:22" s="295" customFormat="1" ht="16.5" customHeight="1" thickBot="1" x14ac:dyDescent="0.25">
      <c r="A35" s="287"/>
      <c r="B35" s="288"/>
      <c r="C35" s="289">
        <f>SUM(C36:C37)</f>
        <v>6</v>
      </c>
      <c r="D35" s="304"/>
      <c r="E35" s="291">
        <f>SUM(C36*E36,C37*E37)/C35</f>
        <v>0</v>
      </c>
      <c r="F35" s="292">
        <v>5</v>
      </c>
      <c r="G35" s="293" t="s">
        <v>544</v>
      </c>
      <c r="H35" s="305"/>
      <c r="I35" s="305"/>
      <c r="J35" s="305"/>
      <c r="K35" s="305"/>
      <c r="L35" s="305"/>
      <c r="M35" s="288"/>
      <c r="N35" s="287"/>
      <c r="O35" s="288"/>
      <c r="P35" s="288"/>
      <c r="Q35" s="288"/>
      <c r="R35" s="288"/>
      <c r="S35" s="288"/>
      <c r="T35" s="288"/>
      <c r="U35" s="288"/>
      <c r="V35" s="288"/>
    </row>
    <row r="36" spans="1:22" ht="12.95" customHeight="1" thickBot="1" x14ac:dyDescent="0.25">
      <c r="A36" s="270"/>
      <c r="B36" s="87"/>
      <c r="C36" s="307">
        <v>3</v>
      </c>
      <c r="D36" s="285"/>
      <c r="E36" s="451"/>
      <c r="F36" s="298">
        <v>5.0999999999999996</v>
      </c>
      <c r="G36" s="299" t="s">
        <v>455</v>
      </c>
      <c r="H36" s="87"/>
      <c r="I36" s="94"/>
      <c r="J36" s="94"/>
      <c r="K36" s="94"/>
      <c r="L36" s="94"/>
      <c r="M36" s="87"/>
      <c r="N36" s="270"/>
      <c r="O36" s="87"/>
      <c r="P36" s="87"/>
      <c r="Q36" s="87"/>
      <c r="R36" s="87"/>
      <c r="S36" s="87"/>
      <c r="T36" s="87"/>
      <c r="U36" s="87"/>
      <c r="V36" s="87"/>
    </row>
    <row r="37" spans="1:22" ht="12.95" customHeight="1" x14ac:dyDescent="0.2">
      <c r="A37" s="270"/>
      <c r="B37" s="87"/>
      <c r="C37" s="306">
        <v>3</v>
      </c>
      <c r="D37" s="285"/>
      <c r="E37" s="451"/>
      <c r="F37" s="298">
        <v>5.2</v>
      </c>
      <c r="G37" s="299" t="s">
        <v>545</v>
      </c>
      <c r="H37" s="87"/>
      <c r="I37" s="94"/>
      <c r="J37" s="94"/>
      <c r="K37" s="94"/>
      <c r="L37" s="94"/>
      <c r="M37" s="87"/>
      <c r="N37" s="270"/>
      <c r="O37" s="87"/>
      <c r="P37" s="87"/>
      <c r="Q37" s="87"/>
      <c r="R37" s="87"/>
      <c r="S37" s="87"/>
      <c r="T37" s="87"/>
      <c r="U37" s="87"/>
      <c r="V37" s="87"/>
    </row>
    <row r="38" spans="1:22" ht="12.95" customHeight="1" thickBot="1" x14ac:dyDescent="0.25">
      <c r="A38" s="270"/>
      <c r="B38" s="87"/>
      <c r="C38" s="303"/>
      <c r="D38" s="285"/>
      <c r="E38" s="90"/>
      <c r="F38" s="298"/>
      <c r="G38" s="94"/>
      <c r="H38" s="94"/>
      <c r="I38" s="94"/>
      <c r="J38" s="94"/>
      <c r="K38" s="94"/>
      <c r="L38" s="94"/>
      <c r="M38" s="87"/>
      <c r="N38" s="270"/>
      <c r="O38" s="87"/>
      <c r="P38" s="87"/>
      <c r="Q38" s="87"/>
      <c r="R38" s="87"/>
      <c r="S38" s="87"/>
      <c r="T38" s="87"/>
      <c r="U38" s="87"/>
      <c r="V38" s="87"/>
    </row>
    <row r="39" spans="1:22" ht="12.95" customHeight="1" thickBot="1" x14ac:dyDescent="0.25">
      <c r="A39" s="270"/>
      <c r="B39" s="87"/>
      <c r="C39" s="289">
        <f>SUM(C10,C16,C28,C35)</f>
        <v>100</v>
      </c>
      <c r="D39" s="304"/>
      <c r="E39" s="308">
        <f>SUM(C10*E10,C16*E16,C28*E28,C35*E35)/C39/100</f>
        <v>0</v>
      </c>
      <c r="F39" s="309"/>
      <c r="G39" s="310" t="s">
        <v>423</v>
      </c>
      <c r="H39" s="310"/>
      <c r="I39" s="310"/>
      <c r="J39" s="305"/>
      <c r="K39" s="305"/>
      <c r="L39" s="94"/>
      <c r="M39" s="87"/>
      <c r="N39" s="270"/>
      <c r="O39" s="87"/>
      <c r="P39" s="87"/>
      <c r="Q39" s="87"/>
      <c r="R39" s="87"/>
      <c r="S39" s="87"/>
      <c r="T39" s="87"/>
      <c r="U39" s="87"/>
      <c r="V39" s="87"/>
    </row>
    <row r="40" spans="1:22" ht="12.95" customHeight="1" x14ac:dyDescent="0.2">
      <c r="A40" s="270"/>
      <c r="B40" s="87"/>
      <c r="C40" s="87"/>
      <c r="D40" s="311"/>
      <c r="E40" s="312">
        <v>0</v>
      </c>
      <c r="F40" s="298"/>
      <c r="G40" s="313" t="s">
        <v>424</v>
      </c>
      <c r="H40" s="314"/>
      <c r="I40" s="314"/>
      <c r="J40" s="94"/>
      <c r="K40" s="94"/>
      <c r="L40" s="94"/>
      <c r="M40" s="87"/>
      <c r="N40" s="270"/>
      <c r="O40" s="87"/>
      <c r="P40" s="87"/>
      <c r="Q40" s="87"/>
      <c r="R40" s="87"/>
      <c r="S40" s="87"/>
      <c r="T40" s="87"/>
      <c r="U40" s="87"/>
      <c r="V40" s="87"/>
    </row>
    <row r="41" spans="1:22" ht="12.95" customHeight="1" thickBot="1" x14ac:dyDescent="0.25">
      <c r="A41" s="270"/>
      <c r="B41" s="87"/>
      <c r="C41" s="87"/>
      <c r="D41" s="87"/>
      <c r="E41" s="315">
        <v>0</v>
      </c>
      <c r="F41" s="298"/>
      <c r="G41" s="313" t="s">
        <v>425</v>
      </c>
      <c r="H41" s="87"/>
      <c r="I41" s="87"/>
      <c r="J41" s="94"/>
      <c r="K41" s="94"/>
      <c r="L41" s="94"/>
      <c r="M41" s="87"/>
      <c r="N41" s="270"/>
      <c r="O41" s="87"/>
      <c r="P41" s="87"/>
      <c r="Q41" s="87"/>
      <c r="R41" s="87"/>
      <c r="S41" s="87"/>
      <c r="T41" s="87"/>
      <c r="U41" s="87"/>
      <c r="V41" s="87"/>
    </row>
    <row r="42" spans="1:22" s="295" customFormat="1" ht="16.5" customHeight="1" thickTop="1" thickBot="1" x14ac:dyDescent="0.25">
      <c r="A42" s="287"/>
      <c r="B42" s="288"/>
      <c r="C42" s="288"/>
      <c r="D42" s="288"/>
      <c r="E42" s="316">
        <f>SUM(E39,E40,E41)</f>
        <v>0</v>
      </c>
      <c r="F42" s="317"/>
      <c r="G42" s="1064" t="s">
        <v>426</v>
      </c>
      <c r="H42" s="1064"/>
      <c r="I42" s="1064"/>
      <c r="J42" s="305"/>
      <c r="K42" s="305"/>
      <c r="L42" s="305"/>
      <c r="M42" s="288"/>
      <c r="N42" s="287"/>
      <c r="O42" s="288"/>
      <c r="P42" s="288"/>
      <c r="Q42" s="288"/>
      <c r="R42" s="288"/>
      <c r="S42" s="288"/>
      <c r="T42" s="288"/>
      <c r="U42" s="288"/>
      <c r="V42" s="288"/>
    </row>
    <row r="43" spans="1:22" ht="12.95" customHeight="1" thickTop="1" thickBot="1" x14ac:dyDescent="0.25">
      <c r="A43" s="270"/>
      <c r="B43" s="87"/>
      <c r="C43" s="318">
        <v>100</v>
      </c>
      <c r="D43" s="288"/>
      <c r="E43" s="319">
        <f>E42*C43</f>
        <v>0</v>
      </c>
      <c r="F43" s="320"/>
      <c r="G43" s="1064"/>
      <c r="H43" s="1064"/>
      <c r="I43" s="1064"/>
      <c r="J43" s="305"/>
      <c r="K43" s="305"/>
      <c r="L43" s="94"/>
      <c r="M43" s="87"/>
      <c r="N43" s="270"/>
      <c r="O43" s="87"/>
      <c r="P43" s="87"/>
      <c r="Q43" s="87"/>
      <c r="R43" s="87"/>
      <c r="S43" s="87"/>
      <c r="T43" s="87"/>
      <c r="U43" s="87"/>
      <c r="V43" s="87"/>
    </row>
    <row r="44" spans="1:22" ht="12.95" customHeight="1" x14ac:dyDescent="0.2">
      <c r="A44" s="270"/>
      <c r="B44" s="87"/>
      <c r="C44" s="321"/>
      <c r="D44" s="288"/>
      <c r="E44" s="322"/>
      <c r="F44" s="323"/>
      <c r="G44" s="310"/>
      <c r="H44" s="310"/>
      <c r="I44" s="310"/>
      <c r="J44" s="305"/>
      <c r="K44" s="305"/>
      <c r="L44" s="94"/>
      <c r="M44" s="87"/>
      <c r="N44" s="270"/>
      <c r="O44" s="87"/>
      <c r="P44" s="87"/>
      <c r="Q44" s="87"/>
      <c r="R44" s="87"/>
      <c r="S44" s="87"/>
      <c r="T44" s="87"/>
      <c r="U44" s="87"/>
      <c r="V44" s="87"/>
    </row>
    <row r="45" spans="1:22" ht="12.95" customHeight="1" x14ac:dyDescent="0.2">
      <c r="A45" s="270"/>
      <c r="B45" s="87"/>
      <c r="C45" s="324" t="s">
        <v>427</v>
      </c>
      <c r="D45" s="288"/>
      <c r="E45" s="1175"/>
      <c r="F45" s="1175"/>
      <c r="G45" s="1175"/>
      <c r="H45" s="1175"/>
      <c r="I45" s="1175"/>
      <c r="J45" s="1043" t="s">
        <v>428</v>
      </c>
      <c r="K45" s="1043"/>
      <c r="L45" s="1043"/>
      <c r="M45" s="87"/>
      <c r="N45" s="270"/>
      <c r="O45" s="87"/>
      <c r="P45" s="87"/>
      <c r="Q45" s="87"/>
      <c r="R45" s="87"/>
      <c r="S45" s="87"/>
      <c r="T45" s="87"/>
      <c r="U45" s="87"/>
      <c r="V45" s="87"/>
    </row>
    <row r="46" spans="1:22" s="295" customFormat="1" ht="16.5" customHeight="1" x14ac:dyDescent="0.2">
      <c r="A46" s="287"/>
      <c r="B46" s="288"/>
      <c r="C46" s="325"/>
      <c r="D46" s="288"/>
      <c r="E46" s="1175"/>
      <c r="F46" s="1175"/>
      <c r="G46" s="1175"/>
      <c r="H46" s="1175"/>
      <c r="I46" s="1175"/>
      <c r="J46" s="1044"/>
      <c r="K46" s="1044"/>
      <c r="L46" s="1045"/>
      <c r="M46" s="288"/>
      <c r="N46" s="287"/>
      <c r="O46" s="288"/>
      <c r="P46" s="288"/>
      <c r="Q46" s="288"/>
      <c r="R46" s="288"/>
      <c r="S46" s="288"/>
      <c r="T46" s="288"/>
      <c r="U46" s="288"/>
      <c r="V46" s="288"/>
    </row>
    <row r="47" spans="1:22" ht="12.95" customHeight="1" x14ac:dyDescent="0.2">
      <c r="A47" s="270"/>
      <c r="B47" s="87"/>
      <c r="C47" s="325"/>
      <c r="D47" s="288"/>
      <c r="E47" s="1175"/>
      <c r="F47" s="1175"/>
      <c r="G47" s="1175"/>
      <c r="H47" s="1175"/>
      <c r="I47" s="1175"/>
      <c r="J47" s="1046"/>
      <c r="K47" s="1046"/>
      <c r="L47" s="1047"/>
      <c r="M47" s="87"/>
      <c r="N47" s="270"/>
      <c r="O47" s="87"/>
      <c r="P47" s="87"/>
      <c r="Q47" s="87"/>
      <c r="R47" s="87"/>
      <c r="S47" s="87"/>
      <c r="T47" s="87"/>
      <c r="U47" s="87"/>
      <c r="V47" s="87"/>
    </row>
    <row r="48" spans="1:22" ht="12.95" customHeight="1" x14ac:dyDescent="0.2">
      <c r="A48" s="270"/>
      <c r="B48" s="87"/>
      <c r="C48" s="325"/>
      <c r="D48" s="288"/>
      <c r="E48" s="1175"/>
      <c r="F48" s="1175"/>
      <c r="G48" s="1175"/>
      <c r="H48" s="1175"/>
      <c r="I48" s="1175"/>
      <c r="J48" s="305"/>
      <c r="K48" s="305"/>
      <c r="L48" s="94"/>
      <c r="M48" s="87"/>
      <c r="N48" s="270"/>
      <c r="O48" s="87"/>
      <c r="P48" s="87"/>
      <c r="Q48" s="87"/>
      <c r="R48" s="87"/>
      <c r="S48" s="87"/>
      <c r="T48" s="87"/>
      <c r="U48" s="87"/>
      <c r="V48" s="87"/>
    </row>
    <row r="49" spans="1:22" s="295" customFormat="1" ht="16.5" customHeight="1" x14ac:dyDescent="0.2">
      <c r="A49" s="287"/>
      <c r="B49" s="288"/>
      <c r="C49" s="321"/>
      <c r="D49" s="288"/>
      <c r="E49" s="1175"/>
      <c r="F49" s="1175"/>
      <c r="G49" s="1175"/>
      <c r="H49" s="1175"/>
      <c r="I49" s="1175"/>
      <c r="J49" s="305"/>
      <c r="K49" s="305"/>
      <c r="L49" s="305"/>
      <c r="M49" s="288"/>
      <c r="N49" s="287"/>
      <c r="O49" s="288"/>
      <c r="P49" s="288"/>
      <c r="Q49" s="288"/>
      <c r="R49" s="288"/>
      <c r="S49" s="288"/>
      <c r="T49" s="288"/>
      <c r="U49" s="288"/>
      <c r="V49" s="288"/>
    </row>
    <row r="50" spans="1:22" s="295" customFormat="1" ht="16.5" customHeight="1" x14ac:dyDescent="0.2">
      <c r="A50" s="287"/>
      <c r="B50" s="288"/>
      <c r="C50" s="87"/>
      <c r="D50" s="87"/>
      <c r="E50" s="1175"/>
      <c r="F50" s="1175"/>
      <c r="G50" s="1175"/>
      <c r="H50" s="1175"/>
      <c r="I50" s="1175"/>
      <c r="J50" s="87"/>
      <c r="K50" s="87"/>
      <c r="L50" s="305"/>
      <c r="M50" s="288"/>
      <c r="N50" s="287"/>
      <c r="O50" s="288"/>
      <c r="P50" s="288"/>
      <c r="Q50" s="288"/>
      <c r="R50" s="288"/>
      <c r="S50" s="288"/>
      <c r="T50" s="288"/>
      <c r="U50" s="288"/>
      <c r="V50" s="288"/>
    </row>
    <row r="51" spans="1:22" s="295" customFormat="1" ht="16.5" customHeight="1" x14ac:dyDescent="0.2">
      <c r="A51" s="287"/>
      <c r="B51" s="288"/>
      <c r="C51" s="288"/>
      <c r="D51" s="288"/>
      <c r="E51" s="1175"/>
      <c r="F51" s="1175"/>
      <c r="G51" s="1175"/>
      <c r="H51" s="1175"/>
      <c r="I51" s="1175"/>
      <c r="J51" s="288"/>
      <c r="K51" s="288"/>
      <c r="L51" s="305"/>
      <c r="M51" s="288"/>
      <c r="N51" s="287"/>
      <c r="O51" s="288"/>
      <c r="P51" s="288"/>
      <c r="Q51" s="288"/>
      <c r="R51" s="288"/>
      <c r="S51" s="288"/>
      <c r="T51" s="288"/>
      <c r="U51" s="288"/>
      <c r="V51" s="288"/>
    </row>
    <row r="52" spans="1:22" s="295" customFormat="1" ht="16.5" customHeight="1" x14ac:dyDescent="0.2">
      <c r="A52" s="287"/>
      <c r="B52" s="288"/>
      <c r="C52" s="87"/>
      <c r="D52" s="87"/>
      <c r="E52" s="87"/>
      <c r="F52" s="327"/>
      <c r="G52" s="87"/>
      <c r="H52" s="87"/>
      <c r="I52" s="87"/>
      <c r="J52" s="87"/>
      <c r="K52" s="87"/>
      <c r="L52" s="305"/>
      <c r="M52" s="288"/>
      <c r="N52" s="287"/>
      <c r="O52" s="288"/>
      <c r="P52" s="288"/>
      <c r="Q52" s="288"/>
      <c r="R52" s="288"/>
      <c r="S52" s="288"/>
      <c r="T52" s="288"/>
      <c r="U52" s="288"/>
      <c r="V52" s="288"/>
    </row>
    <row r="53" spans="1:22" s="295" customFormat="1" ht="16.5" customHeight="1" x14ac:dyDescent="0.2">
      <c r="A53" s="287"/>
      <c r="B53" s="288"/>
      <c r="C53" s="87"/>
      <c r="D53" s="87"/>
      <c r="E53" s="87"/>
      <c r="F53" s="327"/>
      <c r="G53" s="87"/>
      <c r="H53" s="87"/>
      <c r="I53" s="87"/>
      <c r="J53" s="87"/>
      <c r="K53" s="87"/>
      <c r="L53" s="305"/>
      <c r="M53" s="288"/>
      <c r="N53" s="287"/>
      <c r="O53" s="288"/>
      <c r="P53" s="288"/>
      <c r="Q53" s="288"/>
      <c r="R53" s="288"/>
      <c r="S53" s="288"/>
      <c r="T53" s="288"/>
      <c r="U53" s="288"/>
      <c r="V53" s="288"/>
    </row>
    <row r="54" spans="1:22" s="295" customFormat="1" ht="16.5" customHeight="1" x14ac:dyDescent="0.2">
      <c r="A54" s="287"/>
      <c r="B54" s="288"/>
      <c r="C54" s="87"/>
      <c r="D54" s="87"/>
      <c r="E54" s="87"/>
      <c r="F54" s="327"/>
      <c r="G54" s="87"/>
      <c r="H54" s="87"/>
      <c r="I54" s="87"/>
      <c r="J54" s="87"/>
      <c r="K54" s="87"/>
      <c r="L54" s="305"/>
      <c r="M54" s="288"/>
      <c r="N54" s="287"/>
      <c r="O54" s="288"/>
      <c r="P54" s="288"/>
      <c r="Q54" s="288"/>
      <c r="R54" s="288"/>
      <c r="S54" s="288"/>
      <c r="T54" s="288"/>
      <c r="U54" s="288"/>
      <c r="V54" s="288"/>
    </row>
    <row r="55" spans="1:22" s="295" customFormat="1" ht="16.5" customHeight="1" x14ac:dyDescent="0.2">
      <c r="A55" s="287"/>
      <c r="B55" s="288"/>
      <c r="C55" s="87"/>
      <c r="D55" s="87"/>
      <c r="E55" s="87"/>
      <c r="F55" s="327"/>
      <c r="G55" s="87"/>
      <c r="H55" s="87"/>
      <c r="I55" s="87"/>
      <c r="J55" s="87"/>
      <c r="K55" s="87"/>
      <c r="L55" s="305"/>
      <c r="M55" s="288"/>
      <c r="N55" s="287"/>
      <c r="O55" s="288"/>
      <c r="P55" s="288"/>
      <c r="Q55" s="288"/>
      <c r="R55" s="288"/>
      <c r="S55" s="288"/>
      <c r="T55" s="288"/>
      <c r="U55" s="288"/>
      <c r="V55" s="288"/>
    </row>
    <row r="56" spans="1:22" s="295" customFormat="1" ht="16.5" customHeight="1" x14ac:dyDescent="0.2">
      <c r="A56" s="287"/>
      <c r="B56" s="288"/>
      <c r="C56" s="87"/>
      <c r="D56" s="87"/>
      <c r="E56" s="87"/>
      <c r="F56" s="327"/>
      <c r="G56" s="87"/>
      <c r="H56" s="87"/>
      <c r="I56" s="87"/>
      <c r="J56" s="87"/>
      <c r="K56" s="87"/>
      <c r="L56" s="305"/>
      <c r="M56" s="288"/>
      <c r="N56" s="287"/>
      <c r="O56" s="288"/>
      <c r="P56" s="288"/>
      <c r="Q56" s="288"/>
      <c r="R56" s="288"/>
      <c r="S56" s="288"/>
      <c r="T56" s="288"/>
      <c r="U56" s="288"/>
      <c r="V56" s="288"/>
    </row>
    <row r="57" spans="1:22" ht="12.95" customHeight="1" x14ac:dyDescent="0.25">
      <c r="A57" s="270"/>
      <c r="B57" s="326" t="s">
        <v>429</v>
      </c>
      <c r="C57" s="87"/>
      <c r="D57" s="87"/>
      <c r="E57" s="87"/>
      <c r="F57" s="327"/>
      <c r="G57" s="87"/>
      <c r="H57" s="87"/>
      <c r="I57" s="87"/>
      <c r="J57" s="87"/>
      <c r="K57" s="87"/>
      <c r="L57" s="87"/>
      <c r="M57" s="87"/>
      <c r="N57" s="270"/>
      <c r="O57" s="87"/>
      <c r="P57" s="87"/>
      <c r="Q57" s="87"/>
      <c r="R57" s="87"/>
      <c r="S57" s="87"/>
      <c r="T57" s="87"/>
      <c r="U57" s="87"/>
      <c r="V57" s="87"/>
    </row>
    <row r="58" spans="1:22" ht="12.95" customHeight="1" x14ac:dyDescent="0.2">
      <c r="A58" s="270"/>
      <c r="B58" s="270"/>
      <c r="C58" s="270"/>
      <c r="D58" s="270"/>
      <c r="E58" s="270"/>
      <c r="F58" s="271"/>
      <c r="G58" s="270"/>
      <c r="H58" s="270"/>
      <c r="I58" s="270"/>
      <c r="J58" s="270"/>
      <c r="K58" s="270"/>
      <c r="L58" s="270"/>
      <c r="M58" s="270"/>
      <c r="N58" s="270"/>
      <c r="O58" s="87"/>
      <c r="P58" s="87"/>
      <c r="Q58" s="87"/>
      <c r="R58" s="87"/>
      <c r="S58" s="87"/>
      <c r="T58" s="87"/>
      <c r="U58" s="87"/>
      <c r="V58" s="87"/>
    </row>
    <row r="59" spans="1:22" x14ac:dyDescent="0.2">
      <c r="A59" s="87"/>
      <c r="B59" s="87"/>
      <c r="C59" s="87"/>
      <c r="D59" s="87"/>
      <c r="E59" s="87"/>
      <c r="F59" s="327"/>
      <c r="G59" s="87"/>
      <c r="H59" s="87"/>
      <c r="I59" s="87"/>
      <c r="J59" s="87"/>
      <c r="K59" s="87"/>
      <c r="L59" s="87"/>
      <c r="M59" s="87"/>
      <c r="N59" s="87"/>
      <c r="O59" s="87"/>
      <c r="P59" s="87"/>
      <c r="Q59" s="87"/>
      <c r="R59" s="87"/>
      <c r="S59" s="87"/>
      <c r="T59" s="87"/>
      <c r="U59" s="87"/>
      <c r="V59" s="87"/>
    </row>
    <row r="60" spans="1:22" ht="12.75" customHeight="1" x14ac:dyDescent="0.2">
      <c r="A60" s="87"/>
      <c r="B60" s="87"/>
      <c r="C60" s="87"/>
      <c r="D60" s="87"/>
      <c r="E60" s="87"/>
      <c r="F60" s="327"/>
      <c r="G60" s="87"/>
      <c r="H60" s="87"/>
      <c r="I60" s="87"/>
      <c r="J60" s="87"/>
      <c r="K60" s="87"/>
      <c r="L60" s="87"/>
      <c r="M60" s="87"/>
      <c r="N60" s="87"/>
      <c r="O60" s="87"/>
      <c r="P60" s="87"/>
      <c r="Q60" s="87"/>
      <c r="R60" s="87"/>
      <c r="S60" s="87"/>
      <c r="T60" s="87"/>
      <c r="U60" s="87"/>
      <c r="V60" s="87"/>
    </row>
    <row r="61" spans="1:22" x14ac:dyDescent="0.2">
      <c r="A61" s="87"/>
      <c r="B61" s="87"/>
      <c r="C61" s="87"/>
      <c r="D61" s="87"/>
      <c r="E61" s="87"/>
      <c r="F61" s="327"/>
      <c r="G61" s="87"/>
      <c r="H61" s="87"/>
      <c r="I61" s="87"/>
      <c r="J61" s="87"/>
      <c r="K61" s="87"/>
      <c r="L61" s="87"/>
      <c r="M61" s="87"/>
      <c r="N61" s="87"/>
      <c r="O61" s="87"/>
      <c r="P61" s="87"/>
      <c r="Q61" s="87"/>
      <c r="R61" s="87"/>
      <c r="S61" s="87"/>
      <c r="T61" s="87"/>
      <c r="U61" s="87"/>
      <c r="V61" s="87"/>
    </row>
    <row r="62" spans="1:22" x14ac:dyDescent="0.2">
      <c r="A62" s="87"/>
      <c r="B62" s="87"/>
      <c r="C62" s="87"/>
      <c r="D62" s="87"/>
      <c r="E62" s="87"/>
      <c r="F62" s="327"/>
      <c r="G62" s="87"/>
      <c r="H62" s="87"/>
      <c r="I62" s="87"/>
      <c r="J62" s="87"/>
      <c r="K62" s="87"/>
      <c r="L62" s="87"/>
      <c r="M62" s="87"/>
      <c r="N62" s="87"/>
      <c r="O62" s="87"/>
      <c r="P62" s="87"/>
      <c r="Q62" s="87"/>
      <c r="R62" s="87"/>
      <c r="S62" s="87"/>
      <c r="T62" s="87"/>
      <c r="U62" s="87"/>
      <c r="V62" s="87"/>
    </row>
    <row r="63" spans="1:22" x14ac:dyDescent="0.2">
      <c r="A63" s="87"/>
      <c r="B63" s="87"/>
      <c r="C63" s="87"/>
      <c r="D63" s="87"/>
      <c r="E63" s="87"/>
      <c r="F63" s="327"/>
      <c r="G63" s="87"/>
      <c r="H63" s="87"/>
      <c r="I63" s="87"/>
      <c r="J63" s="87"/>
      <c r="K63" s="87"/>
      <c r="L63" s="87"/>
      <c r="M63" s="87"/>
      <c r="N63" s="87"/>
      <c r="O63" s="87"/>
      <c r="P63" s="87"/>
      <c r="Q63" s="87"/>
      <c r="R63" s="87"/>
      <c r="S63" s="87"/>
      <c r="T63" s="87"/>
      <c r="U63" s="87"/>
      <c r="V63" s="87"/>
    </row>
    <row r="64" spans="1:22" x14ac:dyDescent="0.2">
      <c r="A64" s="87"/>
      <c r="B64" s="87"/>
      <c r="C64" s="87"/>
      <c r="D64" s="87"/>
      <c r="E64" s="87"/>
      <c r="F64" s="327"/>
      <c r="G64" s="87"/>
      <c r="H64" s="87"/>
      <c r="I64" s="87"/>
      <c r="J64" s="87"/>
      <c r="K64" s="87"/>
      <c r="L64" s="87"/>
      <c r="M64" s="87"/>
      <c r="N64" s="87"/>
      <c r="O64" s="87"/>
      <c r="P64" s="87"/>
      <c r="Q64" s="87"/>
      <c r="R64" s="87"/>
      <c r="S64" s="87"/>
      <c r="T64" s="87"/>
      <c r="U64" s="87"/>
      <c r="V64" s="87"/>
    </row>
    <row r="65" spans="1:22" x14ac:dyDescent="0.2">
      <c r="A65" s="87"/>
      <c r="B65" s="87"/>
      <c r="C65" s="87"/>
      <c r="D65" s="87"/>
      <c r="E65" s="87"/>
      <c r="F65" s="327"/>
      <c r="G65" s="87"/>
      <c r="H65" s="87"/>
      <c r="I65" s="87"/>
      <c r="J65" s="87"/>
      <c r="K65" s="87"/>
      <c r="L65" s="87"/>
      <c r="M65" s="87"/>
      <c r="N65" s="87"/>
      <c r="O65" s="87"/>
      <c r="P65" s="87"/>
      <c r="Q65" s="87"/>
      <c r="R65" s="87"/>
      <c r="S65" s="87"/>
      <c r="T65" s="87"/>
      <c r="U65" s="87"/>
      <c r="V65" s="87"/>
    </row>
    <row r="66" spans="1:22" x14ac:dyDescent="0.2">
      <c r="A66" s="87"/>
      <c r="B66" s="87"/>
      <c r="C66" s="87"/>
      <c r="D66" s="87"/>
      <c r="E66" s="87"/>
      <c r="F66" s="327"/>
      <c r="G66" s="87"/>
      <c r="H66" s="87"/>
      <c r="I66" s="87"/>
      <c r="J66" s="87"/>
      <c r="K66" s="87"/>
      <c r="L66" s="87"/>
      <c r="M66" s="87"/>
      <c r="N66" s="87"/>
      <c r="O66" s="87"/>
      <c r="P66" s="87"/>
      <c r="Q66" s="87"/>
      <c r="R66" s="87"/>
      <c r="S66" s="87"/>
      <c r="T66" s="87"/>
      <c r="U66" s="87"/>
      <c r="V66" s="87"/>
    </row>
    <row r="67" spans="1:22" x14ac:dyDescent="0.2">
      <c r="A67" s="87"/>
      <c r="B67" s="87"/>
      <c r="C67" s="87"/>
      <c r="D67" s="87"/>
      <c r="E67" s="87"/>
      <c r="F67" s="327"/>
      <c r="G67" s="87"/>
      <c r="H67" s="87"/>
      <c r="I67" s="87"/>
      <c r="J67" s="87"/>
      <c r="K67" s="87"/>
      <c r="L67" s="87"/>
      <c r="M67" s="87"/>
      <c r="N67" s="87"/>
      <c r="O67" s="87"/>
      <c r="P67" s="87"/>
      <c r="Q67" s="87"/>
      <c r="R67" s="87"/>
      <c r="S67" s="87"/>
      <c r="T67" s="87"/>
      <c r="U67" s="87"/>
      <c r="V67" s="87"/>
    </row>
    <row r="68" spans="1:22" x14ac:dyDescent="0.2">
      <c r="A68" s="87"/>
      <c r="B68" s="87"/>
      <c r="C68" s="87"/>
      <c r="D68" s="87"/>
      <c r="E68" s="87"/>
      <c r="F68" s="327"/>
      <c r="G68" s="87"/>
      <c r="H68" s="87"/>
      <c r="I68" s="87"/>
      <c r="J68" s="87"/>
      <c r="K68" s="87"/>
      <c r="L68" s="87"/>
      <c r="M68" s="87"/>
      <c r="N68" s="87"/>
      <c r="O68" s="87"/>
      <c r="P68" s="87"/>
      <c r="Q68" s="87"/>
      <c r="R68" s="87"/>
      <c r="S68" s="87"/>
      <c r="T68" s="87"/>
      <c r="U68" s="87"/>
      <c r="V68" s="87"/>
    </row>
    <row r="69" spans="1:22" x14ac:dyDescent="0.2">
      <c r="A69" s="87"/>
      <c r="B69" s="87"/>
      <c r="C69" s="87"/>
      <c r="D69" s="87"/>
      <c r="E69" s="87"/>
      <c r="F69" s="327"/>
      <c r="G69" s="87"/>
      <c r="H69" s="87"/>
      <c r="I69" s="87"/>
      <c r="J69" s="87"/>
      <c r="K69" s="87"/>
      <c r="L69" s="87"/>
      <c r="M69" s="87"/>
      <c r="N69" s="87"/>
      <c r="O69" s="87"/>
      <c r="P69" s="87"/>
      <c r="Q69" s="87"/>
      <c r="R69" s="87"/>
      <c r="S69" s="87"/>
      <c r="T69" s="87"/>
      <c r="U69" s="87"/>
      <c r="V69" s="87"/>
    </row>
    <row r="70" spans="1:22" x14ac:dyDescent="0.2">
      <c r="A70" s="87"/>
      <c r="B70" s="87"/>
      <c r="C70" s="87"/>
      <c r="D70" s="87"/>
      <c r="E70" s="87"/>
      <c r="F70" s="327"/>
      <c r="G70" s="87"/>
      <c r="H70" s="87"/>
      <c r="I70" s="87"/>
      <c r="J70" s="87"/>
      <c r="K70" s="87"/>
      <c r="L70" s="87"/>
      <c r="M70" s="87"/>
      <c r="N70" s="87"/>
      <c r="O70" s="87"/>
      <c r="P70" s="87"/>
      <c r="Q70" s="87"/>
      <c r="R70" s="87"/>
      <c r="S70" s="87"/>
      <c r="T70" s="87"/>
      <c r="U70" s="87"/>
      <c r="V70" s="87"/>
    </row>
    <row r="71" spans="1:22" x14ac:dyDescent="0.2">
      <c r="A71" s="87"/>
      <c r="B71" s="87"/>
      <c r="C71" s="87"/>
      <c r="D71" s="87"/>
      <c r="E71" s="87"/>
      <c r="F71" s="327"/>
      <c r="G71" s="87"/>
      <c r="H71" s="87"/>
      <c r="I71" s="87"/>
      <c r="J71" s="87"/>
      <c r="K71" s="87"/>
      <c r="L71" s="87"/>
      <c r="M71" s="87"/>
      <c r="N71" s="87"/>
      <c r="O71" s="87"/>
      <c r="P71" s="87"/>
      <c r="Q71" s="87"/>
      <c r="R71" s="87"/>
      <c r="S71" s="87"/>
      <c r="T71" s="87"/>
      <c r="U71" s="87"/>
      <c r="V71" s="87"/>
    </row>
    <row r="72" spans="1:22" x14ac:dyDescent="0.2">
      <c r="A72" s="87"/>
      <c r="B72" s="87"/>
      <c r="C72" s="87"/>
      <c r="D72" s="87"/>
      <c r="E72" s="87"/>
      <c r="F72" s="327"/>
      <c r="G72" s="87"/>
      <c r="H72" s="87"/>
      <c r="I72" s="87"/>
      <c r="J72" s="87"/>
      <c r="K72" s="87"/>
      <c r="L72" s="87"/>
      <c r="M72" s="87"/>
      <c r="N72" s="87"/>
      <c r="O72" s="87"/>
      <c r="P72" s="87"/>
      <c r="Q72" s="87"/>
      <c r="R72" s="87"/>
      <c r="S72" s="87"/>
      <c r="T72" s="87"/>
      <c r="U72" s="87"/>
      <c r="V72" s="87"/>
    </row>
    <row r="73" spans="1:22" x14ac:dyDescent="0.2">
      <c r="A73" s="87"/>
      <c r="B73" s="87"/>
      <c r="C73" s="87"/>
      <c r="D73" s="87"/>
      <c r="E73" s="87"/>
      <c r="F73" s="327"/>
      <c r="G73" s="87"/>
      <c r="H73" s="87"/>
      <c r="I73" s="87"/>
      <c r="J73" s="87"/>
      <c r="K73" s="87"/>
      <c r="L73" s="87"/>
      <c r="M73" s="87"/>
      <c r="N73" s="87"/>
      <c r="O73" s="87"/>
      <c r="P73" s="87"/>
      <c r="Q73" s="87"/>
      <c r="R73" s="87"/>
      <c r="S73" s="87"/>
      <c r="T73" s="87"/>
      <c r="U73" s="87"/>
      <c r="V73" s="87"/>
    </row>
    <row r="74" spans="1:22" x14ac:dyDescent="0.2">
      <c r="A74" s="87"/>
      <c r="B74" s="87"/>
      <c r="C74" s="87"/>
      <c r="D74" s="87"/>
      <c r="E74" s="87"/>
      <c r="F74" s="327"/>
      <c r="G74" s="87"/>
      <c r="H74" s="87"/>
      <c r="I74" s="87"/>
      <c r="J74" s="87"/>
      <c r="K74" s="87"/>
      <c r="L74" s="87"/>
      <c r="M74" s="87"/>
      <c r="N74" s="87"/>
      <c r="O74" s="87"/>
      <c r="P74" s="87"/>
      <c r="Q74" s="87"/>
      <c r="R74" s="87"/>
      <c r="S74" s="87"/>
      <c r="T74" s="87"/>
      <c r="U74" s="87"/>
      <c r="V74" s="87"/>
    </row>
    <row r="75" spans="1:22" x14ac:dyDescent="0.2">
      <c r="A75" s="87"/>
      <c r="B75" s="87"/>
      <c r="C75" s="87"/>
      <c r="D75" s="87"/>
      <c r="E75" s="87"/>
      <c r="F75" s="327"/>
      <c r="G75" s="87"/>
      <c r="H75" s="87"/>
      <c r="I75" s="87"/>
      <c r="J75" s="87"/>
      <c r="K75" s="87"/>
      <c r="L75" s="87"/>
      <c r="M75" s="87"/>
      <c r="N75" s="87"/>
      <c r="O75" s="87"/>
      <c r="P75" s="87"/>
      <c r="Q75" s="87"/>
      <c r="R75" s="87"/>
      <c r="S75" s="87"/>
      <c r="T75" s="87"/>
      <c r="U75" s="87"/>
      <c r="V75" s="87"/>
    </row>
    <row r="76" spans="1:22" x14ac:dyDescent="0.2">
      <c r="A76" s="87"/>
      <c r="B76" s="87"/>
      <c r="C76" s="87"/>
      <c r="D76" s="87"/>
      <c r="E76" s="87"/>
      <c r="F76" s="327"/>
      <c r="G76" s="87"/>
      <c r="H76" s="87"/>
      <c r="I76" s="87"/>
      <c r="J76" s="87"/>
      <c r="K76" s="87"/>
      <c r="L76" s="87"/>
      <c r="M76" s="87"/>
      <c r="N76" s="87"/>
      <c r="O76" s="87"/>
      <c r="P76" s="87"/>
      <c r="Q76" s="87"/>
      <c r="R76" s="87"/>
      <c r="S76" s="87"/>
      <c r="T76" s="87"/>
      <c r="U76" s="87"/>
      <c r="V76" s="87"/>
    </row>
    <row r="77" spans="1:22" x14ac:dyDescent="0.2">
      <c r="A77" s="87"/>
      <c r="B77" s="87"/>
      <c r="C77" s="87"/>
      <c r="D77" s="87"/>
      <c r="E77" s="87"/>
      <c r="F77" s="327"/>
      <c r="G77" s="87"/>
      <c r="H77" s="87"/>
      <c r="I77" s="87"/>
      <c r="J77" s="87"/>
      <c r="K77" s="87"/>
      <c r="L77" s="87"/>
      <c r="M77" s="87"/>
      <c r="N77" s="87"/>
      <c r="O77" s="87"/>
      <c r="P77" s="87"/>
      <c r="Q77" s="87"/>
      <c r="R77" s="87"/>
      <c r="S77" s="87"/>
      <c r="T77" s="87"/>
      <c r="U77" s="87"/>
      <c r="V77" s="87"/>
    </row>
    <row r="78" spans="1:22" x14ac:dyDescent="0.2">
      <c r="A78" s="87"/>
      <c r="B78" s="87"/>
      <c r="C78" s="87"/>
      <c r="D78" s="87"/>
      <c r="E78" s="87"/>
      <c r="F78" s="327"/>
      <c r="G78" s="87"/>
      <c r="H78" s="87"/>
      <c r="I78" s="87"/>
      <c r="J78" s="87"/>
      <c r="K78" s="87"/>
      <c r="L78" s="87"/>
      <c r="M78" s="87"/>
      <c r="N78" s="87"/>
      <c r="O78" s="87"/>
      <c r="P78" s="87"/>
      <c r="Q78" s="87"/>
      <c r="R78" s="87"/>
      <c r="S78" s="87"/>
      <c r="T78" s="87"/>
      <c r="U78" s="87"/>
      <c r="V78" s="87"/>
    </row>
    <row r="79" spans="1:22" x14ac:dyDescent="0.2">
      <c r="A79" s="87"/>
      <c r="B79" s="87"/>
      <c r="C79" s="87"/>
      <c r="D79" s="87"/>
      <c r="E79" s="87"/>
      <c r="F79" s="327"/>
      <c r="G79" s="87"/>
      <c r="H79" s="87"/>
      <c r="I79" s="87"/>
      <c r="J79" s="87"/>
      <c r="K79" s="87"/>
      <c r="L79" s="87"/>
      <c r="M79" s="87"/>
      <c r="N79" s="87"/>
      <c r="O79" s="87"/>
      <c r="P79" s="87"/>
      <c r="Q79" s="87"/>
      <c r="R79" s="87"/>
      <c r="S79" s="87"/>
      <c r="T79" s="87"/>
      <c r="U79" s="87"/>
      <c r="V79" s="87"/>
    </row>
    <row r="80" spans="1:22" x14ac:dyDescent="0.2">
      <c r="A80" s="87"/>
      <c r="B80" s="87"/>
      <c r="C80" s="87"/>
      <c r="D80" s="87"/>
      <c r="E80" s="87"/>
      <c r="F80" s="327"/>
      <c r="G80" s="87"/>
      <c r="H80" s="87"/>
      <c r="I80" s="87"/>
      <c r="J80" s="87"/>
      <c r="K80" s="87"/>
      <c r="L80" s="87"/>
      <c r="M80" s="87"/>
      <c r="N80" s="87"/>
      <c r="O80" s="87"/>
      <c r="P80" s="87"/>
      <c r="Q80" s="87"/>
      <c r="R80" s="87"/>
      <c r="S80" s="87"/>
      <c r="T80" s="87"/>
      <c r="U80" s="87"/>
      <c r="V80" s="87"/>
    </row>
    <row r="81" spans="3:6" x14ac:dyDescent="0.2">
      <c r="C81" s="272"/>
      <c r="D81" s="272"/>
      <c r="E81" s="272"/>
      <c r="F81" s="328"/>
    </row>
    <row r="82" spans="3:6" x14ac:dyDescent="0.2">
      <c r="C82" s="272"/>
      <c r="D82" s="272"/>
      <c r="E82" s="272"/>
      <c r="F82" s="328"/>
    </row>
    <row r="83" spans="3:6" x14ac:dyDescent="0.2">
      <c r="C83" s="272"/>
      <c r="D83" s="272"/>
      <c r="E83" s="272"/>
      <c r="F83" s="328"/>
    </row>
    <row r="84" spans="3:6" x14ac:dyDescent="0.2">
      <c r="C84" s="272"/>
      <c r="D84" s="272"/>
      <c r="E84" s="272"/>
      <c r="F84" s="328"/>
    </row>
    <row r="85" spans="3:6" x14ac:dyDescent="0.2">
      <c r="C85" s="272"/>
      <c r="D85" s="272"/>
      <c r="E85" s="272"/>
      <c r="F85" s="328"/>
    </row>
    <row r="86" spans="3:6" x14ac:dyDescent="0.2">
      <c r="C86" s="272"/>
      <c r="D86" s="272"/>
      <c r="E86" s="272"/>
      <c r="F86" s="328"/>
    </row>
    <row r="87" spans="3:6" x14ac:dyDescent="0.2">
      <c r="C87" s="272"/>
      <c r="D87" s="272"/>
      <c r="E87" s="272"/>
      <c r="F87" s="328"/>
    </row>
    <row r="88" spans="3:6" x14ac:dyDescent="0.2">
      <c r="C88" s="272"/>
      <c r="D88" s="272"/>
      <c r="E88" s="272"/>
      <c r="F88" s="328"/>
    </row>
    <row r="89" spans="3:6" x14ac:dyDescent="0.2">
      <c r="C89" s="272"/>
      <c r="D89" s="272"/>
      <c r="E89" s="272"/>
      <c r="F89" s="328"/>
    </row>
    <row r="90" spans="3:6" x14ac:dyDescent="0.2">
      <c r="C90" s="272"/>
      <c r="D90" s="272"/>
      <c r="E90" s="272"/>
      <c r="F90" s="328"/>
    </row>
    <row r="91" spans="3:6" x14ac:dyDescent="0.2">
      <c r="C91" s="272"/>
      <c r="D91" s="272"/>
      <c r="E91" s="272"/>
      <c r="F91" s="328"/>
    </row>
    <row r="92" spans="3:6" x14ac:dyDescent="0.2">
      <c r="C92" s="272"/>
      <c r="D92" s="272"/>
      <c r="E92" s="272"/>
      <c r="F92" s="328"/>
    </row>
    <row r="93" spans="3:6" x14ac:dyDescent="0.2">
      <c r="C93" s="272"/>
      <c r="D93" s="272"/>
      <c r="E93" s="272"/>
      <c r="F93" s="328"/>
    </row>
    <row r="94" spans="3:6" x14ac:dyDescent="0.2">
      <c r="C94" s="272"/>
      <c r="D94" s="272"/>
      <c r="E94" s="272"/>
      <c r="F94" s="328"/>
    </row>
    <row r="95" spans="3:6" x14ac:dyDescent="0.2">
      <c r="C95" s="272"/>
      <c r="D95" s="272"/>
      <c r="E95" s="272"/>
      <c r="F95" s="328"/>
    </row>
    <row r="96" spans="3:6" x14ac:dyDescent="0.2">
      <c r="C96" s="272"/>
      <c r="D96" s="272"/>
      <c r="E96" s="272"/>
      <c r="F96" s="328"/>
    </row>
    <row r="97" spans="3:6" x14ac:dyDescent="0.2">
      <c r="C97" s="272"/>
      <c r="D97" s="272"/>
      <c r="E97" s="272"/>
      <c r="F97" s="328"/>
    </row>
    <row r="98" spans="3:6" x14ac:dyDescent="0.2">
      <c r="C98" s="272"/>
      <c r="D98" s="272"/>
      <c r="E98" s="272"/>
      <c r="F98" s="328"/>
    </row>
    <row r="99" spans="3:6" x14ac:dyDescent="0.2">
      <c r="C99" s="272"/>
      <c r="D99" s="272"/>
      <c r="E99" s="272"/>
      <c r="F99" s="328"/>
    </row>
    <row r="100" spans="3:6" x14ac:dyDescent="0.2">
      <c r="C100" s="272"/>
      <c r="D100" s="272"/>
      <c r="E100" s="272"/>
      <c r="F100" s="328"/>
    </row>
    <row r="101" spans="3:6" x14ac:dyDescent="0.2">
      <c r="C101" s="272"/>
      <c r="D101" s="272"/>
      <c r="E101" s="272"/>
      <c r="F101" s="328"/>
    </row>
    <row r="102" spans="3:6" x14ac:dyDescent="0.2">
      <c r="C102" s="272"/>
      <c r="D102" s="272"/>
      <c r="E102" s="272"/>
      <c r="F102" s="328"/>
    </row>
    <row r="103" spans="3:6" x14ac:dyDescent="0.2">
      <c r="C103" s="272"/>
      <c r="D103" s="272"/>
      <c r="E103" s="272"/>
      <c r="F103" s="328"/>
    </row>
    <row r="104" spans="3:6" x14ac:dyDescent="0.2">
      <c r="C104" s="272"/>
      <c r="D104" s="272"/>
      <c r="E104" s="272"/>
      <c r="F104" s="328"/>
    </row>
    <row r="105" spans="3:6" x14ac:dyDescent="0.2">
      <c r="C105" s="272"/>
      <c r="D105" s="272"/>
      <c r="E105" s="272"/>
      <c r="F105" s="328"/>
    </row>
    <row r="106" spans="3:6" x14ac:dyDescent="0.2">
      <c r="C106" s="272"/>
      <c r="D106" s="272"/>
      <c r="E106" s="272"/>
      <c r="F106" s="328"/>
    </row>
    <row r="107" spans="3:6" x14ac:dyDescent="0.2">
      <c r="C107" s="272"/>
      <c r="D107" s="272"/>
      <c r="E107" s="272"/>
      <c r="F107" s="328"/>
    </row>
    <row r="108" spans="3:6" x14ac:dyDescent="0.2">
      <c r="C108" s="272"/>
      <c r="D108" s="272"/>
      <c r="E108" s="272"/>
      <c r="F108" s="328"/>
    </row>
    <row r="109" spans="3:6" x14ac:dyDescent="0.2">
      <c r="C109" s="272"/>
      <c r="D109" s="272"/>
      <c r="E109" s="272"/>
      <c r="F109" s="328"/>
    </row>
    <row r="110" spans="3:6" x14ac:dyDescent="0.2">
      <c r="C110" s="272"/>
      <c r="D110" s="272"/>
      <c r="E110" s="272"/>
      <c r="F110" s="328"/>
    </row>
    <row r="111" spans="3:6" x14ac:dyDescent="0.2">
      <c r="C111" s="272"/>
      <c r="D111" s="272"/>
      <c r="E111" s="272"/>
      <c r="F111" s="328"/>
    </row>
    <row r="112" spans="3:6" x14ac:dyDescent="0.2">
      <c r="C112" s="272"/>
      <c r="D112" s="272"/>
      <c r="E112" s="272"/>
      <c r="F112" s="328"/>
    </row>
    <row r="113" spans="3:6" x14ac:dyDescent="0.2">
      <c r="C113" s="272"/>
      <c r="D113" s="272"/>
      <c r="E113" s="272"/>
      <c r="F113" s="328"/>
    </row>
    <row r="114" spans="3:6" x14ac:dyDescent="0.2">
      <c r="C114" s="272"/>
      <c r="D114" s="272"/>
      <c r="E114" s="272"/>
      <c r="F114" s="328"/>
    </row>
    <row r="115" spans="3:6" x14ac:dyDescent="0.2">
      <c r="C115" s="272"/>
      <c r="D115" s="272"/>
      <c r="E115" s="272"/>
      <c r="F115" s="328"/>
    </row>
    <row r="116" spans="3:6" x14ac:dyDescent="0.2">
      <c r="C116" s="272"/>
      <c r="D116" s="272"/>
      <c r="E116" s="272"/>
      <c r="F116" s="328"/>
    </row>
    <row r="117" spans="3:6" x14ac:dyDescent="0.2">
      <c r="C117" s="272"/>
      <c r="D117" s="272"/>
      <c r="E117" s="272"/>
      <c r="F117" s="328"/>
    </row>
    <row r="118" spans="3:6" x14ac:dyDescent="0.2">
      <c r="C118" s="272"/>
      <c r="D118" s="272"/>
      <c r="E118" s="272"/>
      <c r="F118" s="328"/>
    </row>
    <row r="119" spans="3:6" x14ac:dyDescent="0.2">
      <c r="C119" s="272"/>
      <c r="D119" s="272"/>
      <c r="E119" s="272"/>
      <c r="F119" s="328"/>
    </row>
    <row r="120" spans="3:6" x14ac:dyDescent="0.2">
      <c r="C120" s="272"/>
      <c r="D120" s="272"/>
      <c r="E120" s="272"/>
      <c r="F120" s="328"/>
    </row>
    <row r="121" spans="3:6" x14ac:dyDescent="0.2">
      <c r="C121" s="272"/>
      <c r="D121" s="272"/>
      <c r="E121" s="272"/>
      <c r="F121" s="328"/>
    </row>
    <row r="122" spans="3:6" x14ac:dyDescent="0.2">
      <c r="C122" s="272"/>
      <c r="D122" s="272"/>
      <c r="E122" s="272"/>
      <c r="F122" s="328"/>
    </row>
    <row r="123" spans="3:6" x14ac:dyDescent="0.2">
      <c r="C123" s="272"/>
      <c r="D123" s="272"/>
      <c r="E123" s="272"/>
      <c r="F123" s="328"/>
    </row>
    <row r="124" spans="3:6" x14ac:dyDescent="0.2">
      <c r="C124" s="272"/>
      <c r="D124" s="272"/>
      <c r="E124" s="272"/>
      <c r="F124" s="328"/>
    </row>
    <row r="125" spans="3:6" x14ac:dyDescent="0.2">
      <c r="C125" s="272"/>
      <c r="D125" s="272"/>
      <c r="E125" s="272"/>
      <c r="F125" s="328"/>
    </row>
    <row r="126" spans="3:6" x14ac:dyDescent="0.2">
      <c r="C126" s="272"/>
      <c r="D126" s="272"/>
      <c r="E126" s="272"/>
      <c r="F126" s="328"/>
    </row>
    <row r="127" spans="3:6" x14ac:dyDescent="0.2">
      <c r="C127" s="272"/>
      <c r="D127" s="272"/>
      <c r="E127" s="272"/>
      <c r="F127" s="328"/>
    </row>
    <row r="128" spans="3:6" x14ac:dyDescent="0.2">
      <c r="C128" s="272"/>
      <c r="D128" s="272"/>
      <c r="E128" s="272"/>
      <c r="F128" s="328"/>
    </row>
    <row r="129" spans="3:6" x14ac:dyDescent="0.2">
      <c r="C129" s="272"/>
      <c r="D129" s="272"/>
      <c r="E129" s="272"/>
      <c r="F129" s="328"/>
    </row>
    <row r="130" spans="3:6" x14ac:dyDescent="0.2">
      <c r="C130" s="272"/>
      <c r="D130" s="272"/>
      <c r="E130" s="272"/>
      <c r="F130" s="328"/>
    </row>
    <row r="131" spans="3:6" x14ac:dyDescent="0.2">
      <c r="C131" s="272"/>
      <c r="D131" s="272"/>
      <c r="E131" s="272"/>
      <c r="F131" s="328"/>
    </row>
    <row r="132" spans="3:6" x14ac:dyDescent="0.2">
      <c r="C132" s="272"/>
      <c r="D132" s="272"/>
      <c r="E132" s="272"/>
      <c r="F132" s="328"/>
    </row>
    <row r="133" spans="3:6" x14ac:dyDescent="0.2">
      <c r="C133" s="272"/>
      <c r="D133" s="272"/>
      <c r="E133" s="272"/>
      <c r="F133" s="328"/>
    </row>
    <row r="134" spans="3:6" x14ac:dyDescent="0.2">
      <c r="C134" s="272"/>
      <c r="D134" s="272"/>
      <c r="E134" s="272"/>
      <c r="F134" s="328"/>
    </row>
    <row r="135" spans="3:6" x14ac:dyDescent="0.2">
      <c r="C135" s="272"/>
      <c r="D135" s="272"/>
      <c r="E135" s="272"/>
      <c r="F135" s="328"/>
    </row>
    <row r="136" spans="3:6" x14ac:dyDescent="0.2">
      <c r="C136" s="272"/>
      <c r="D136" s="272"/>
      <c r="E136" s="272"/>
      <c r="F136" s="328"/>
    </row>
    <row r="137" spans="3:6" x14ac:dyDescent="0.2">
      <c r="C137" s="272"/>
      <c r="D137" s="272"/>
      <c r="E137" s="272"/>
      <c r="F137" s="328"/>
    </row>
    <row r="138" spans="3:6" x14ac:dyDescent="0.2">
      <c r="C138" s="272"/>
      <c r="D138" s="272"/>
      <c r="E138" s="272"/>
      <c r="F138" s="328"/>
    </row>
    <row r="139" spans="3:6" x14ac:dyDescent="0.2">
      <c r="C139" s="272"/>
      <c r="D139" s="272"/>
      <c r="E139" s="272"/>
      <c r="F139" s="328"/>
    </row>
    <row r="140" spans="3:6" x14ac:dyDescent="0.2">
      <c r="C140" s="272"/>
      <c r="D140" s="272"/>
      <c r="E140" s="272"/>
      <c r="F140" s="328"/>
    </row>
    <row r="141" spans="3:6" x14ac:dyDescent="0.2">
      <c r="C141" s="272"/>
      <c r="D141" s="272"/>
      <c r="E141" s="272"/>
      <c r="F141" s="328"/>
    </row>
    <row r="142" spans="3:6" x14ac:dyDescent="0.2">
      <c r="C142" s="272"/>
      <c r="D142" s="272"/>
      <c r="E142" s="272"/>
      <c r="F142" s="328"/>
    </row>
    <row r="143" spans="3:6" x14ac:dyDescent="0.2">
      <c r="C143" s="272"/>
      <c r="D143" s="272"/>
      <c r="E143" s="272"/>
      <c r="F143" s="328"/>
    </row>
    <row r="144" spans="3:6" x14ac:dyDescent="0.2">
      <c r="C144" s="272"/>
      <c r="D144" s="272"/>
      <c r="E144" s="272"/>
      <c r="F144" s="328"/>
    </row>
    <row r="145" spans="3:6" x14ac:dyDescent="0.2">
      <c r="C145" s="272"/>
      <c r="D145" s="272"/>
      <c r="E145" s="272"/>
      <c r="F145" s="328"/>
    </row>
    <row r="146" spans="3:6" x14ac:dyDescent="0.2">
      <c r="C146" s="272"/>
      <c r="D146" s="272"/>
      <c r="E146" s="272"/>
      <c r="F146" s="328"/>
    </row>
    <row r="147" spans="3:6" x14ac:dyDescent="0.2">
      <c r="C147" s="272"/>
      <c r="D147" s="272"/>
      <c r="E147" s="272"/>
      <c r="F147" s="328"/>
    </row>
    <row r="148" spans="3:6" x14ac:dyDescent="0.2">
      <c r="C148" s="272"/>
      <c r="D148" s="272"/>
      <c r="E148" s="272"/>
      <c r="F148" s="328"/>
    </row>
    <row r="149" spans="3:6" x14ac:dyDescent="0.2">
      <c r="C149" s="272"/>
      <c r="D149" s="272"/>
      <c r="E149" s="272"/>
      <c r="F149" s="328"/>
    </row>
    <row r="150" spans="3:6" x14ac:dyDescent="0.2">
      <c r="C150" s="272"/>
      <c r="D150" s="272"/>
      <c r="E150" s="272"/>
      <c r="F150" s="328"/>
    </row>
    <row r="151" spans="3:6" x14ac:dyDescent="0.2">
      <c r="C151" s="272"/>
      <c r="D151" s="272"/>
      <c r="E151" s="272"/>
      <c r="F151" s="328"/>
    </row>
    <row r="152" spans="3:6" x14ac:dyDescent="0.2">
      <c r="C152" s="272"/>
      <c r="D152" s="272"/>
      <c r="E152" s="272"/>
      <c r="F152" s="328"/>
    </row>
    <row r="153" spans="3:6" x14ac:dyDescent="0.2">
      <c r="C153" s="272"/>
      <c r="D153" s="272"/>
      <c r="E153" s="272"/>
      <c r="F153" s="328"/>
    </row>
    <row r="154" spans="3:6" x14ac:dyDescent="0.2">
      <c r="C154" s="272"/>
      <c r="D154" s="272"/>
      <c r="E154" s="272"/>
      <c r="F154" s="328"/>
    </row>
    <row r="155" spans="3:6" x14ac:dyDescent="0.2">
      <c r="C155" s="272"/>
      <c r="D155" s="272"/>
      <c r="E155" s="272"/>
      <c r="F155" s="328"/>
    </row>
    <row r="156" spans="3:6" x14ac:dyDescent="0.2">
      <c r="C156" s="272"/>
      <c r="D156" s="272"/>
      <c r="E156" s="272"/>
      <c r="F156" s="328"/>
    </row>
    <row r="157" spans="3:6" x14ac:dyDescent="0.2">
      <c r="C157" s="272"/>
      <c r="D157" s="272"/>
      <c r="E157" s="272"/>
      <c r="F157" s="328"/>
    </row>
  </sheetData>
  <sheetProtection algorithmName="SHA-512" hashValue="NeAOgnavHXxPZNwbsy5Csbp+O0S8DCziQpdSU7WCf2RrXYZRNjOifjDhStgQBsuXsEjsg80sRKRSdkqCrsZ/rw==" saltValue="ASh/7t4iqsZxDNnlDl/9fQ==" spinCount="100000" sheet="1"/>
  <mergeCells count="12">
    <mergeCell ref="J10:L10"/>
    <mergeCell ref="J11:L11"/>
    <mergeCell ref="G42:I43"/>
    <mergeCell ref="E45:I51"/>
    <mergeCell ref="J45:L45"/>
    <mergeCell ref="J46:L47"/>
    <mergeCell ref="G6:I6"/>
    <mergeCell ref="C2:L2"/>
    <mergeCell ref="P2:Q2"/>
    <mergeCell ref="C4:D4"/>
    <mergeCell ref="E4:G4"/>
    <mergeCell ref="J4:K4"/>
  </mergeCells>
  <conditionalFormatting sqref="E4 J4 G6">
    <cfRule type="containsBlanks" dxfId="289" priority="2">
      <formula>LEN(TRIM(E4))=0</formula>
    </cfRule>
  </conditionalFormatting>
  <conditionalFormatting sqref="J46">
    <cfRule type="containsBlanks" dxfId="288" priority="1">
      <formula>LEN(TRIM(J46))=0</formula>
    </cfRule>
  </conditionalFormatting>
  <hyperlinks>
    <hyperlink ref="P2" location="FQ!A1" display="FQ phase Summary Page" xr:uid="{8F2B69B3-C456-4BBD-BB88-763745A59715}"/>
    <hyperlink ref="P2:Q2" location="FQ!A1" display="FQ Summary Page" xr:uid="{7628E06E-DC56-447E-8025-38C0C7A355F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3729" r:id="rId3" name="IP_Signature">
              <controlPr defaultSize="0" print="0" autoFill="0" autoPict="0" macro="[0]!IP_signature">
                <anchor moveWithCells="1" sizeWithCells="1">
                  <from>
                    <xdr:col>9</xdr:col>
                    <xdr:colOff>0</xdr:colOff>
                    <xdr:row>45</xdr:row>
                    <xdr:rowOff>0</xdr:rowOff>
                  </from>
                  <to>
                    <xdr:col>12</xdr:col>
                    <xdr:colOff>0</xdr:colOff>
                    <xdr:row>47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C78FF9-16AF-4AA7-8CE6-0962E3130CF7}">
  <sheetPr codeName="Sheet74">
    <tabColor rgb="FF00B050"/>
    <pageSetUpPr autoPageBreaks="0"/>
  </sheetPr>
  <dimension ref="B1:BU66"/>
  <sheetViews>
    <sheetView showGridLines="0" showRowColHeaders="0" topLeftCell="A2" zoomScaleNormal="100" zoomScaleSheetLayoutView="100" workbookViewId="0">
      <selection activeCell="BP3" sqref="BP3:BU4"/>
    </sheetView>
  </sheetViews>
  <sheetFormatPr defaultColWidth="9.140625" defaultRowHeight="12.75" x14ac:dyDescent="0.2"/>
  <cols>
    <col min="1" max="1" width="1.5703125" style="87" customWidth="1"/>
    <col min="2" max="2" width="3.5703125" style="87" customWidth="1"/>
    <col min="3" max="3" width="5.5703125" style="87" customWidth="1"/>
    <col min="4" max="4" width="9.140625" style="87" customWidth="1"/>
    <col min="5" max="5" width="14" style="87" customWidth="1"/>
    <col min="6" max="6" width="7.85546875" style="87" customWidth="1"/>
    <col min="7" max="11" width="5.140625" style="87" customWidth="1"/>
    <col min="12" max="12" width="21.5703125" style="87" customWidth="1"/>
    <col min="13" max="13" width="6.5703125" style="87" customWidth="1"/>
    <col min="14" max="14" width="12.5703125" style="87" customWidth="1"/>
    <col min="15" max="15" width="7.85546875" style="87" customWidth="1"/>
    <col min="16" max="16" width="2.7109375" style="87" customWidth="1"/>
    <col min="17" max="17" width="4.85546875" style="87" customWidth="1"/>
    <col min="18" max="18" width="7.28515625" style="87" customWidth="1"/>
    <col min="19" max="19" width="1.7109375" style="87" customWidth="1"/>
    <col min="20" max="20" width="19.140625" style="88" hidden="1" customWidth="1"/>
    <col min="21" max="21" width="31.140625" style="88" hidden="1" customWidth="1"/>
    <col min="22" max="22" width="5.140625" style="88" hidden="1" customWidth="1"/>
    <col min="23" max="24" width="6.28515625" style="88" hidden="1" customWidth="1"/>
    <col min="25" max="25" width="8.42578125" style="88" hidden="1" customWidth="1"/>
    <col min="26" max="26" width="7.85546875" style="88" hidden="1" customWidth="1"/>
    <col min="27" max="27" width="10.7109375" style="88" hidden="1" customWidth="1"/>
    <col min="28" max="28" width="8" style="88" hidden="1" customWidth="1"/>
    <col min="29" max="31" width="5.140625" style="88" hidden="1" customWidth="1"/>
    <col min="32" max="34" width="5.85546875" style="88" hidden="1" customWidth="1"/>
    <col min="35" max="35" width="8.5703125" style="89" hidden="1" customWidth="1"/>
    <col min="36" max="36" width="7" style="88" hidden="1" customWidth="1"/>
    <col min="37" max="38" width="5.28515625" style="88" hidden="1" customWidth="1"/>
    <col min="39" max="40" width="7" style="88" hidden="1" customWidth="1"/>
    <col min="41" max="41" width="5.140625" style="88" hidden="1" customWidth="1"/>
    <col min="42" max="42" width="11.28515625" style="88" hidden="1" customWidth="1"/>
    <col min="43" max="43" width="6.42578125" style="88" hidden="1" customWidth="1"/>
    <col min="44" max="44" width="8.28515625" style="88" hidden="1" customWidth="1"/>
    <col min="45" max="45" width="8.85546875" style="88" hidden="1" customWidth="1"/>
    <col min="46" max="46" width="10.7109375" style="88" hidden="1" customWidth="1"/>
    <col min="47" max="47" width="8.85546875" style="88" hidden="1" customWidth="1"/>
    <col min="48" max="48" width="6.28515625" style="88" hidden="1" customWidth="1"/>
    <col min="49" max="49" width="10" style="88" hidden="1" customWidth="1"/>
    <col min="50" max="50" width="7.5703125" style="88" hidden="1" customWidth="1"/>
    <col min="51" max="51" width="7" style="88" hidden="1" customWidth="1"/>
    <col min="52" max="52" width="8.140625" style="88" hidden="1" customWidth="1"/>
    <col min="53" max="53" width="12.5703125" style="88" hidden="1" customWidth="1"/>
    <col min="54" max="54" width="7.7109375" style="88" hidden="1" customWidth="1"/>
    <col min="55" max="55" width="12.7109375" style="88" hidden="1" customWidth="1"/>
    <col min="56" max="56" width="7" style="88" hidden="1" customWidth="1"/>
    <col min="57" max="57" width="15.5703125" style="88" hidden="1" customWidth="1"/>
    <col min="58" max="58" width="9.140625" style="88" hidden="1" customWidth="1"/>
    <col min="59" max="59" width="10" style="88" hidden="1" customWidth="1"/>
    <col min="60" max="60" width="5.28515625" style="88" hidden="1" customWidth="1"/>
    <col min="61" max="61" width="4" style="88" hidden="1" customWidth="1"/>
    <col min="62" max="62" width="4.7109375" style="88" hidden="1" customWidth="1"/>
    <col min="63" max="63" width="5.5703125" style="88" hidden="1" customWidth="1"/>
    <col min="64" max="64" width="5.28515625" style="88" hidden="1" customWidth="1"/>
    <col min="65" max="65" width="4" style="88" hidden="1" customWidth="1"/>
    <col min="66" max="66" width="5.5703125" style="88" hidden="1" customWidth="1"/>
    <col min="67" max="67" width="5" style="90" customWidth="1"/>
    <col min="68" max="73" width="5" style="87" customWidth="1"/>
    <col min="74" max="16384" width="9.140625" style="87"/>
  </cols>
  <sheetData>
    <row r="1" spans="2:73" s="84" customFormat="1" ht="12" hidden="1" x14ac:dyDescent="0.2">
      <c r="T1" s="85"/>
      <c r="U1" s="85"/>
      <c r="V1" s="85"/>
      <c r="W1" s="85"/>
      <c r="X1" s="85"/>
      <c r="Y1" s="85"/>
      <c r="Z1" s="85"/>
      <c r="AA1" s="85"/>
      <c r="AB1" s="85"/>
      <c r="AC1" s="85"/>
      <c r="AD1" s="85"/>
      <c r="AE1" s="85"/>
      <c r="AF1" s="85"/>
      <c r="AG1" s="85"/>
      <c r="AH1" s="85"/>
      <c r="AI1" s="86"/>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row>
    <row r="2" spans="2:73" ht="13.5" thickBot="1" x14ac:dyDescent="0.25"/>
    <row r="3" spans="2:73" ht="13.5" customHeight="1" thickTop="1" x14ac:dyDescent="0.2">
      <c r="B3" s="967" t="s">
        <v>267</v>
      </c>
      <c r="C3" s="968"/>
      <c r="D3" s="968"/>
      <c r="E3" s="968"/>
      <c r="F3" s="968"/>
      <c r="G3" s="969"/>
      <c r="H3" s="970" t="s">
        <v>689</v>
      </c>
      <c r="I3" s="971"/>
      <c r="J3" s="971"/>
      <c r="K3" s="971"/>
      <c r="L3" s="971"/>
      <c r="M3" s="971"/>
      <c r="N3" s="972"/>
      <c r="O3" s="973" t="s">
        <v>269</v>
      </c>
      <c r="P3" s="974"/>
      <c r="Q3" s="973" t="s">
        <v>270</v>
      </c>
      <c r="R3" s="975"/>
      <c r="S3" s="91"/>
      <c r="T3" s="92"/>
      <c r="U3" s="92"/>
      <c r="V3" s="92"/>
      <c r="W3" s="92"/>
      <c r="X3" s="92"/>
      <c r="Y3" s="92"/>
      <c r="Z3" s="92"/>
      <c r="AA3" s="92"/>
      <c r="AB3" s="92"/>
      <c r="AC3" s="92"/>
      <c r="AD3" s="92"/>
      <c r="AE3" s="92"/>
      <c r="AF3" s="92"/>
      <c r="AG3" s="92"/>
      <c r="AH3" s="92"/>
      <c r="AI3" s="93"/>
      <c r="AJ3" s="92"/>
      <c r="AK3" s="92"/>
      <c r="AL3" s="92"/>
      <c r="AM3" s="92"/>
      <c r="AN3" s="92"/>
      <c r="AO3" s="92"/>
      <c r="AP3" s="92"/>
      <c r="AQ3" s="85"/>
      <c r="AR3" s="85"/>
      <c r="AW3" s="88" t="s">
        <v>271</v>
      </c>
      <c r="AX3" s="88" t="s">
        <v>272</v>
      </c>
      <c r="AY3" s="88" t="s">
        <v>273</v>
      </c>
      <c r="AZ3" s="88" t="s">
        <v>274</v>
      </c>
      <c r="BA3" s="88" t="s">
        <v>275</v>
      </c>
      <c r="BB3" s="88" t="s">
        <v>276</v>
      </c>
      <c r="BP3" s="1032" t="s">
        <v>843</v>
      </c>
      <c r="BQ3" s="1032"/>
      <c r="BR3" s="1032"/>
      <c r="BS3" s="1032"/>
      <c r="BT3" s="1032"/>
      <c r="BU3" s="1032"/>
    </row>
    <row r="4" spans="2:73" s="94" customFormat="1" ht="15.75" customHeight="1" x14ac:dyDescent="0.2">
      <c r="B4" s="994" t="s">
        <v>277</v>
      </c>
      <c r="C4" s="995"/>
      <c r="D4" s="995"/>
      <c r="E4" s="995"/>
      <c r="F4" s="995"/>
      <c r="G4" s="996"/>
      <c r="H4" s="937" t="s">
        <v>762</v>
      </c>
      <c r="I4" s="938"/>
      <c r="J4" s="938"/>
      <c r="K4" s="938"/>
      <c r="L4" s="938"/>
      <c r="M4" s="938"/>
      <c r="N4" s="939"/>
      <c r="O4" s="997"/>
      <c r="P4" s="998"/>
      <c r="Q4" s="999"/>
      <c r="R4" s="1000"/>
      <c r="S4" s="95"/>
      <c r="T4" s="96"/>
      <c r="U4" s="96"/>
      <c r="V4" s="96"/>
      <c r="W4" s="96"/>
      <c r="X4" s="96"/>
      <c r="Y4" s="96"/>
      <c r="Z4" s="96"/>
      <c r="AA4" s="96"/>
      <c r="AB4" s="96"/>
      <c r="AC4" s="96"/>
      <c r="AD4" s="96"/>
      <c r="AE4" s="96"/>
      <c r="AF4" s="96"/>
      <c r="AG4" s="96"/>
      <c r="AH4" s="96"/>
      <c r="AI4" s="97"/>
      <c r="AJ4" s="96"/>
      <c r="AK4" s="96"/>
      <c r="AL4" s="96"/>
      <c r="AM4" s="96"/>
      <c r="AN4" s="96"/>
      <c r="AO4" s="96"/>
      <c r="AP4" s="96"/>
      <c r="AQ4" s="98"/>
      <c r="AR4" s="98"/>
      <c r="AS4" s="99"/>
      <c r="AT4" s="100" t="s">
        <v>278</v>
      </c>
      <c r="AU4" s="101" t="b">
        <v>1</v>
      </c>
      <c r="AV4" s="99">
        <v>0</v>
      </c>
      <c r="AW4" s="99" t="b">
        <f>IF(ISERR(OR(AW8:AW39)),"UNK",IF(AND(graded_aca_events&gt;=1,input_test),FALSE,OR(AW8:AW39)))</f>
        <v>1</v>
      </c>
      <c r="AX4" s="99" t="b">
        <f>IF(ISERR(OR(AX8:AX39)),"UNK",IF(AND(graded_aca_events&gt;=1,input_test),FALSE,OR(AX8:AX39)))</f>
        <v>1</v>
      </c>
      <c r="AY4" s="99" t="b">
        <f>IF(ISERR(OR(AY8:AY39)),"UNK",OR(AY8:AY39))</f>
        <v>0</v>
      </c>
      <c r="AZ4" s="99" t="b">
        <f>IF(ISERR(OR(AZ8:AZ39)),"UNK",OR(AZ8:AZ39))</f>
        <v>0</v>
      </c>
      <c r="BA4" s="99" t="b">
        <f>IF(ISERR(OR(BA8:BA39)),"UNK",OR(BA8:BA39))</f>
        <v>0</v>
      </c>
      <c r="BB4" s="99" t="b">
        <f>IF(ISERR(OR(BB8:BB39)),"UNK",OR(BB8:BB39))</f>
        <v>0</v>
      </c>
      <c r="BC4" s="102" t="b">
        <f>OR(BC8:BC39)</f>
        <v>0</v>
      </c>
      <c r="BD4" s="102" t="b">
        <f>OR(BD8:BD39)</f>
        <v>0</v>
      </c>
      <c r="BE4" s="102" t="b">
        <f>OR(BE8:BE39)</f>
        <v>0</v>
      </c>
      <c r="BF4" s="102"/>
      <c r="BG4" s="99"/>
      <c r="BH4" s="944" t="s">
        <v>279</v>
      </c>
      <c r="BI4" s="944"/>
      <c r="BJ4" s="944"/>
      <c r="BK4" s="944"/>
      <c r="BL4" s="977" t="s">
        <v>280</v>
      </c>
      <c r="BM4" s="977"/>
      <c r="BN4" s="977"/>
      <c r="BO4" s="90"/>
      <c r="BP4" s="1032"/>
      <c r="BQ4" s="1032"/>
      <c r="BR4" s="1032"/>
      <c r="BS4" s="1032"/>
      <c r="BT4" s="1032"/>
      <c r="BU4" s="1032"/>
    </row>
    <row r="5" spans="2:73" s="91" customFormat="1" ht="7.5" customHeight="1" x14ac:dyDescent="0.25">
      <c r="B5" s="978" t="s">
        <v>281</v>
      </c>
      <c r="C5" s="979"/>
      <c r="D5" s="979"/>
      <c r="E5" s="980"/>
      <c r="F5" s="981" t="s">
        <v>282</v>
      </c>
      <c r="G5" s="980"/>
      <c r="H5" s="981" t="s">
        <v>283</v>
      </c>
      <c r="I5" s="979"/>
      <c r="J5" s="979"/>
      <c r="K5" s="979"/>
      <c r="L5" s="980"/>
      <c r="M5" s="982" t="s">
        <v>284</v>
      </c>
      <c r="N5" s="983"/>
      <c r="O5" s="984" t="s">
        <v>285</v>
      </c>
      <c r="P5" s="985"/>
      <c r="Q5" s="981" t="str">
        <f>IF(AU41=0,"GRADE","GRADE (inc. bonus)")</f>
        <v>GRADE</v>
      </c>
      <c r="R5" s="986"/>
      <c r="T5" s="92"/>
      <c r="U5" s="92"/>
      <c r="V5" s="92"/>
      <c r="W5" s="92"/>
      <c r="X5" s="92"/>
      <c r="Y5" s="92"/>
      <c r="Z5" s="92"/>
      <c r="AA5" s="92"/>
      <c r="AB5" s="92"/>
      <c r="AC5" s="92"/>
      <c r="AD5" s="92"/>
      <c r="AE5" s="92"/>
      <c r="AF5" s="92"/>
      <c r="AG5" s="92"/>
      <c r="AH5" s="92"/>
      <c r="AI5" s="93"/>
      <c r="AJ5" s="92"/>
      <c r="AK5" s="92"/>
      <c r="AL5" s="92"/>
      <c r="AM5" s="92"/>
      <c r="AN5" s="92"/>
      <c r="AO5" s="92"/>
      <c r="AP5" s="92"/>
      <c r="AQ5" s="92"/>
      <c r="AR5" s="92"/>
      <c r="AS5" s="92"/>
      <c r="AT5" s="92"/>
      <c r="AU5" s="92"/>
      <c r="AV5" s="92"/>
      <c r="AW5" s="92"/>
      <c r="AX5" s="92"/>
      <c r="AY5" s="92"/>
      <c r="AZ5" s="92"/>
      <c r="BA5" s="92"/>
      <c r="BB5" s="92"/>
      <c r="BC5" s="92"/>
      <c r="BD5" s="92"/>
      <c r="BE5" s="92"/>
      <c r="BF5" s="92"/>
      <c r="BG5" s="92"/>
      <c r="BH5" s="944"/>
      <c r="BI5" s="944"/>
      <c r="BJ5" s="944"/>
      <c r="BK5" s="944"/>
      <c r="BL5" s="977"/>
      <c r="BM5" s="977"/>
      <c r="BN5" s="977"/>
      <c r="BO5" s="103"/>
    </row>
    <row r="6" spans="2:73" s="94" customFormat="1" ht="15.75" customHeight="1" thickBot="1" x14ac:dyDescent="0.25">
      <c r="B6" s="1001"/>
      <c r="C6" s="1002"/>
      <c r="D6" s="1002"/>
      <c r="E6" s="1003"/>
      <c r="F6" s="1004" t="s">
        <v>457</v>
      </c>
      <c r="G6" s="1005"/>
      <c r="H6" s="1006"/>
      <c r="I6" s="1007"/>
      <c r="J6" s="1007"/>
      <c r="K6" s="1007"/>
      <c r="L6" s="1005"/>
      <c r="M6" s="1008"/>
      <c r="N6" s="1009"/>
      <c r="O6" s="1010"/>
      <c r="P6" s="1011"/>
      <c r="Q6" s="949" t="str">
        <f>IF((graded_aca_events+graded_amn_events)&lt;1,"0",IF(ISERROR(AR46),"",IF(F41&lt;&gt;"COMPLETE","INCOMPLETE",AR46)))</f>
        <v>0</v>
      </c>
      <c r="R6" s="950"/>
      <c r="S6" s="87"/>
      <c r="T6" s="99"/>
      <c r="U6" s="99">
        <v>2</v>
      </c>
      <c r="V6" s="99">
        <v>3</v>
      </c>
      <c r="W6" s="99">
        <v>6</v>
      </c>
      <c r="X6" s="99">
        <v>7</v>
      </c>
      <c r="Y6" s="99">
        <v>11</v>
      </c>
      <c r="Z6" s="99">
        <v>8</v>
      </c>
      <c r="AA6" s="99">
        <v>9</v>
      </c>
      <c r="AB6" s="99">
        <v>10</v>
      </c>
      <c r="AC6" s="99">
        <v>5</v>
      </c>
      <c r="AD6" s="99">
        <v>4</v>
      </c>
      <c r="AE6" s="99">
        <v>12</v>
      </c>
      <c r="AF6" s="99">
        <v>13</v>
      </c>
      <c r="AG6" s="99"/>
      <c r="AH6" s="99"/>
      <c r="AI6" s="104"/>
      <c r="AJ6" s="105"/>
      <c r="AK6" s="105"/>
      <c r="AL6" s="105"/>
      <c r="AM6" s="105" t="b">
        <f>IF(COUNT(AM8:AM39)&gt;0,TRUE,FALSE)</f>
        <v>0</v>
      </c>
      <c r="AN6" s="105" t="b">
        <f>IF(COUNT(AN8:AN39)&gt;0,TRUE,FALSE)</f>
        <v>0</v>
      </c>
      <c r="AO6" s="99"/>
      <c r="AP6" s="99"/>
      <c r="AQ6" s="98"/>
      <c r="AR6" s="98"/>
      <c r="AS6" s="99"/>
      <c r="AT6" s="106">
        <v>0.1</v>
      </c>
      <c r="AU6" s="99"/>
      <c r="AV6" s="107">
        <f>0.01*input_maxb</f>
        <v>0</v>
      </c>
      <c r="AW6" s="108" t="s">
        <v>287</v>
      </c>
      <c r="AX6" s="109"/>
      <c r="AY6" s="108" t="s">
        <v>288</v>
      </c>
      <c r="AZ6" s="109"/>
      <c r="BA6" s="110" t="s">
        <v>289</v>
      </c>
      <c r="BB6" s="110"/>
      <c r="BC6" s="108" t="s">
        <v>290</v>
      </c>
      <c r="BD6" s="110"/>
      <c r="BE6" s="111"/>
      <c r="BF6" s="112"/>
      <c r="BG6" s="99" t="s">
        <v>291</v>
      </c>
      <c r="BH6" s="944"/>
      <c r="BI6" s="944"/>
      <c r="BJ6" s="944"/>
      <c r="BK6" s="944"/>
      <c r="BL6" s="977"/>
      <c r="BM6" s="977"/>
      <c r="BN6" s="977"/>
      <c r="BO6" s="90"/>
    </row>
    <row r="7" spans="2:73" ht="27" customHeight="1" thickBot="1" x14ac:dyDescent="0.25">
      <c r="B7" s="951" t="s">
        <v>292</v>
      </c>
      <c r="C7" s="952"/>
      <c r="D7" s="952"/>
      <c r="E7" s="952"/>
      <c r="F7" s="953"/>
      <c r="G7" s="113" t="s">
        <v>293</v>
      </c>
      <c r="H7" s="114" t="s">
        <v>294</v>
      </c>
      <c r="I7" s="115" t="s">
        <v>295</v>
      </c>
      <c r="J7" s="116" t="s">
        <v>296</v>
      </c>
      <c r="K7" s="117" t="s">
        <v>297</v>
      </c>
      <c r="L7" s="954" t="s">
        <v>298</v>
      </c>
      <c r="M7" s="952"/>
      <c r="N7" s="952"/>
      <c r="O7" s="952"/>
      <c r="P7" s="952"/>
      <c r="Q7" s="952"/>
      <c r="R7" s="955"/>
      <c r="T7" s="118" t="s">
        <v>299</v>
      </c>
      <c r="U7" s="118"/>
      <c r="V7" s="118" t="s">
        <v>300</v>
      </c>
      <c r="W7" s="118" t="s">
        <v>301</v>
      </c>
      <c r="X7" s="118" t="s">
        <v>302</v>
      </c>
      <c r="Y7" s="118" t="s">
        <v>303</v>
      </c>
      <c r="Z7" s="118" t="s">
        <v>304</v>
      </c>
      <c r="AA7" s="118" t="s">
        <v>305</v>
      </c>
      <c r="AB7" s="118" t="s">
        <v>306</v>
      </c>
      <c r="AC7" s="118" t="s">
        <v>307</v>
      </c>
      <c r="AD7" s="118" t="s">
        <v>308</v>
      </c>
      <c r="AE7" s="118" t="s">
        <v>309</v>
      </c>
      <c r="AF7" s="118" t="s">
        <v>310</v>
      </c>
      <c r="AG7" s="118" t="s">
        <v>311</v>
      </c>
      <c r="AH7" s="118" t="s">
        <v>312</v>
      </c>
      <c r="AI7" s="119" t="s">
        <v>313</v>
      </c>
      <c r="AJ7" s="120" t="s">
        <v>314</v>
      </c>
      <c r="AK7" s="121" t="s">
        <v>315</v>
      </c>
      <c r="AL7" s="121" t="s">
        <v>316</v>
      </c>
      <c r="AM7" s="121" t="s">
        <v>317</v>
      </c>
      <c r="AN7" s="121" t="s">
        <v>318</v>
      </c>
      <c r="AO7" s="120" t="s">
        <v>319</v>
      </c>
      <c r="AP7" s="120" t="s">
        <v>320</v>
      </c>
      <c r="AQ7" s="122" t="s">
        <v>321</v>
      </c>
      <c r="AR7" s="123" t="s">
        <v>1</v>
      </c>
      <c r="AS7" s="122" t="s">
        <v>322</v>
      </c>
      <c r="AT7" s="123" t="s">
        <v>1</v>
      </c>
      <c r="AU7" s="122" t="s">
        <v>323</v>
      </c>
      <c r="AV7" s="124" t="s">
        <v>324</v>
      </c>
      <c r="AW7" s="125" t="s">
        <v>325</v>
      </c>
      <c r="AX7" s="126" t="s">
        <v>326</v>
      </c>
      <c r="AY7" s="125" t="s">
        <v>327</v>
      </c>
      <c r="AZ7" s="126" t="s">
        <v>328</v>
      </c>
      <c r="BA7" s="127" t="s">
        <v>329</v>
      </c>
      <c r="BB7" s="127" t="s">
        <v>330</v>
      </c>
      <c r="BC7" s="128" t="s">
        <v>331</v>
      </c>
      <c r="BD7" s="129" t="s">
        <v>332</v>
      </c>
      <c r="BE7" s="130" t="s">
        <v>333</v>
      </c>
      <c r="BF7" s="131" t="s">
        <v>334</v>
      </c>
      <c r="BH7" s="88" t="s">
        <v>335</v>
      </c>
      <c r="BI7" s="88" t="s">
        <v>336</v>
      </c>
      <c r="BJ7" s="118" t="s">
        <v>337</v>
      </c>
      <c r="BK7" s="88" t="s">
        <v>338</v>
      </c>
      <c r="BL7" s="88" t="s">
        <v>335</v>
      </c>
      <c r="BM7" s="88" t="s">
        <v>336</v>
      </c>
      <c r="BN7" s="88" t="s">
        <v>338</v>
      </c>
    </row>
    <row r="8" spans="2:73" ht="12.95" customHeight="1" x14ac:dyDescent="0.2">
      <c r="B8" s="132" t="str">
        <f>IF(ISNA(Z8),"",IF(OR(Z8=1,Z8=2),"",1))</f>
        <v/>
      </c>
      <c r="C8" s="956" t="str">
        <f t="shared" ref="C8:C36" si="0">IF(ISNA(Z8),"",CONCATENATE($U8,IF(ISNUMBER(AI8),TEXT(ROUND($AI8,3)," (0.0%)"),""),IF(AU8&gt;0," Bonus","")))</f>
        <v>Airmanship Tasks</v>
      </c>
      <c r="D8" s="956"/>
      <c r="E8" s="956"/>
      <c r="F8" s="957"/>
      <c r="G8" s="133" t="str">
        <f t="shared" ref="G8:G39" si="1">BH8</f>
        <v/>
      </c>
      <c r="H8" s="134" t="str">
        <f t="shared" ref="H8:I39" si="2">BJ8</f>
        <v/>
      </c>
      <c r="I8" s="135" t="str">
        <f t="shared" si="2"/>
        <v/>
      </c>
      <c r="J8" s="136"/>
      <c r="K8" s="137"/>
      <c r="L8" s="1012"/>
      <c r="M8" s="1013"/>
      <c r="N8" s="1013"/>
      <c r="O8" s="1013"/>
      <c r="P8" s="1013"/>
      <c r="Q8" s="1013"/>
      <c r="R8" s="1014"/>
      <c r="T8" s="88">
        <v>1</v>
      </c>
      <c r="U8" s="88" t="s">
        <v>339</v>
      </c>
      <c r="V8" s="453" t="s">
        <v>340</v>
      </c>
      <c r="W8" s="453" t="s">
        <v>340</v>
      </c>
      <c r="X8" s="453" t="s">
        <v>340</v>
      </c>
      <c r="Y8" s="453" t="s">
        <v>340</v>
      </c>
      <c r="Z8" s="453">
        <v>1</v>
      </c>
      <c r="AA8" s="453">
        <v>0</v>
      </c>
      <c r="AB8" s="453">
        <v>0</v>
      </c>
      <c r="AC8" s="453" t="s">
        <v>340</v>
      </c>
      <c r="AD8" s="453" t="s">
        <v>340</v>
      </c>
      <c r="AE8" s="453">
        <v>0</v>
      </c>
      <c r="AF8" s="453" t="s">
        <v>340</v>
      </c>
      <c r="AG8" s="453" t="str">
        <f t="shared" ref="AG8:AG39" si="3">IF(CrewSoloQual="Yes",$AC8,$AD8)</f>
        <v/>
      </c>
      <c r="AH8" s="453" t="str">
        <f t="shared" ref="AH8:AH39" si="4">IF(ISNUMBER(AC8),IF(CrewSoloQual="Yes",$AC8-1,$AD8-1),"")</f>
        <v/>
      </c>
      <c r="AI8" s="138" t="str">
        <f>IF(NOT(OR(Z8=1,Z8=2)),IF(AQ8&gt;0,$AR$44*AQ8/SUMIF($AQ$8:$AQ$39,"&gt;0"),IF(AU8&gt;0,$AV$44*AU8/SUMIF($AU$8:$AU$39,"&gt;0"),IF(AS8&gt;0,$AT$44*AS8/SUMIF($AS$8:$AS$39,"&gt;0"),""))),IF(SUMIF(AJ9:$AJ$39,"=" &amp; AJ8,AI9:$AI$39)=0,"",SUMIF(AJ9:$AJ$39,"=" &amp; AJ8,AI9:$AI$39)))</f>
        <v/>
      </c>
      <c r="AJ8" s="139">
        <f>0</f>
        <v>0</v>
      </c>
      <c r="AK8" s="453" t="str">
        <f>BI8</f>
        <v/>
      </c>
      <c r="AL8" s="453" t="str">
        <f>IF(ISBLANK(K8),"",K8)</f>
        <v/>
      </c>
      <c r="AM8" s="453" t="str">
        <f>IF(ISNUMBER(AK8),IF(ISNUMBER(AL8),1,""),"")</f>
        <v/>
      </c>
      <c r="AN8" s="453" t="str">
        <f t="shared" ref="AN8:AN36" si="5">IF(ISNUMBER(AH8),IF(AND(AB8=0,ISNUMBER(AC8),ISNUMBER(AL8)),1,""),"")</f>
        <v/>
      </c>
      <c r="AO8" s="453" t="str">
        <f t="shared" ref="AO8:AO39" si="6">IF(AB8=0,IF(CrewSoloQual="No",BI8,BK8),"")</f>
        <v/>
      </c>
      <c r="AP8" s="453" t="str">
        <f t="shared" ref="AP8:AP39" si="7">IF(ISNA(Z8),"",IF(AND(ISNUMBER(B8),G8&gt;=1,H8&lt;&gt;"NG"),IF(K8&lt;BK8,TRUE,FALSE),IF(AND(G8&gt;=1,J8="NA"),TRUE,IF(AND(AM8=1,G8=0,AL8&lt;BI8),TRUE,""))))</f>
        <v/>
      </c>
      <c r="AQ8" s="140">
        <f>IF(ISNA(Z8),0,IF(OR(J8="NA",W8="",AB8=0),0,W8))</f>
        <v>0</v>
      </c>
      <c r="AR8" s="141" t="str">
        <f t="shared" ref="AR8:AR39" si="8">IF(ISNA(Z8),"",IF(AND(NOT(OR(Z8=1,Z8=2,AK8="NG",AB8=0)),IF(ISNUMBER(AL8),AL8&gt;=0,FALSE)),VLOOKUP((10*AD8+AC8),$AQ$50:$AV$58,2+AL8,FALSE),IF(AND(input_test=TRUE,ISNUMBER(AD8),V8&lt;&gt;0),VLOOKUP((10*AD8+AC8),$AQ$50:$AV$58,2,FALSE),"")))</f>
        <v/>
      </c>
      <c r="AS8" s="142">
        <f>IF(ISNA(Z8),0,IF(OR(J8="NA",X8="",AB8=1),0,X8))</f>
        <v>0</v>
      </c>
      <c r="AT8" s="141" t="str">
        <f t="shared" ref="AT8:AT39" si="9">IF(ISNA(Z8),"",IF(AND(NOT(OR(Z8=1,Z8=2,AK8="NG",AB8=1)),IF(ISNUMBER(AL8),AL8&gt;=0,FALSE)),VLOOKUP((10*AH8+AG8),$AQ$50:$AV$58,2+AL8,FALSE),IF(AND(input_test=TRUE,ISNUMBER(AD8),V8&lt;&gt;0),VLOOKUP((10*AH8+AG8),$AQ$50:$AV$58,2,FALSE),"")))</f>
        <v/>
      </c>
      <c r="AU8" s="143">
        <f t="shared" ref="AU8:AU39" si="10">IF(ISNA(Z8),0,IF(OR(J8="NA",Y8=""),0,Y8))</f>
        <v>0</v>
      </c>
      <c r="AV8" s="144" t="str">
        <f t="shared" ref="AV8:AV39" si="11">AR8</f>
        <v/>
      </c>
      <c r="AW8" s="143" t="b">
        <f t="shared" ref="AW8:AW39" si="12">IF(ISNA(Z8),FALSE,IF(OR(AB8=1,G8=0,Z8=1,Z8=2),FALSE,IF(OR(J8="NA",J8&gt;=G8),FALSE,TRUE)))</f>
        <v>0</v>
      </c>
      <c r="AX8" s="145" t="b">
        <f t="shared" ref="AX8:AX39" si="13">IF(ISNA(Z8),FALSE,IF(OR(AB8=0,G8=0,Z8=1,Z8=2,J8="NA"),FALSE,IF(AK8="NG",IF(NOT(ISBLANK(K8)),FALSE,TRUE),IF(J8&gt;=G8,FALSE,TRUE))))</f>
        <v>0</v>
      </c>
      <c r="AY8" s="143" t="b">
        <f t="shared" ref="AY8:AY39" si="14">IF(ISNA(Z8),FALSE,IF(OR(AB8=1,G8&lt;1,Z8=1,Z8=2,AE8=0,ISBLANK(K8)),FALSE,IF(OR(J8="NA",K8&gt;=BI8),FALSE,TRUE)))</f>
        <v>0</v>
      </c>
      <c r="AZ8" s="145" t="b">
        <f t="shared" ref="AZ8:AZ39" si="15">IF(ISNA(Z8),FALSE,IF(OR(AB8=0,G8=0,Z8=1,Z8=2,AE8=0,BI8="NG",K8="",ISBLANK(K8)),FALSE,IF(OR(J8="NA",K8&gt;=AK8),FALSE,TRUE)))</f>
        <v>0</v>
      </c>
      <c r="BA8" s="453" t="b">
        <f t="shared" ref="BA8:BA39" si="16">IF(ISNA(Z8),FALSE,IF(OR(AB8=1,G8&lt;1,Z8=1,Z8=2,AE8=0),FALSE,IF(J8="NA",TRUE,FALSE)))</f>
        <v>0</v>
      </c>
      <c r="BB8" s="453" t="b">
        <f t="shared" ref="BB8:BB39" si="17">IF(ISNA(Z8),FALSE,IF(OR(AB8=0,G8=0,Z8=1,Z8=2),FALSE,IF(J8="NA",TRUE,FALSE)))</f>
        <v>0</v>
      </c>
      <c r="BC8" s="143" t="b">
        <f t="shared" ref="BC8:BC39" si="18">IF(OR(ISNA($Z8),ISNUMBER($Z8),NOT(ISNUMBER($J8)),K8="D"),FALSE,IF(AND(NOT(ISNUMBER($K8)),J8&gt;0),TRUE,FALSE))</f>
        <v>0</v>
      </c>
      <c r="BD8" s="146" t="b">
        <f>IF(OR(ISNA($Z8),ISNUMBER($Z8),NOT(ISNUMBER(K8))),FALSE,OR(NOT(ISNUMBER(J8)),J8=0,AND(J8=0,K8&lt;&gt;0)))</f>
        <v>0</v>
      </c>
      <c r="BE8" s="145" t="b">
        <f t="shared" ref="BE8:BE21" si="19">IF(OR(ISNA($Z8),K8&lt;&gt;"D"),FALSE,IF(OR(AND(H8="NG",J8=0),AND(H8&lt;&gt;"NG",NOT(OR(J8="NA",J8=0)))),TRUE,FALSE))</f>
        <v>0</v>
      </c>
      <c r="BF8" s="147" t="b">
        <f t="shared" ref="BF8:BF30" si="20">IF(OR(ISNA($Z8),H8&lt;&gt;"NG"),FALSE,IF(AND(J8="NA",K8&lt;&gt;""),TRUE,FALSE))</f>
        <v>0</v>
      </c>
      <c r="BG8" s="453" t="b">
        <f t="shared" ref="BG8:BG21" si="21">IF(ISNA($Z8),"NA",IF(OR(AZ8,AY8,AX8,AW8,AP8,BA8,BB8),TRUE,FALSE))</f>
        <v>0</v>
      </c>
      <c r="BH8" s="148" t="str">
        <f>IF(ISNA($Z8),"",IF(OR($Z8=1,$Z8=2),"",$V8))</f>
        <v/>
      </c>
      <c r="BI8" s="453" t="str">
        <f t="shared" ref="BI8:BI39" si="22">IF(ISNA($Z8),"",IF(OR($Z8=1,$Z8=2,$G8=""),"",IF(AB8=0,AH8,$AD8)))</f>
        <v/>
      </c>
      <c r="BJ8" s="453" t="str">
        <f t="shared" ref="BJ8:BJ39" si="23">IF(ISNA(AE8),"",IF(OR(Z8=1,Z8=2),"",IF(OR(AE8=0,AD8="NG"),TEXT(BI8,"0"),CONCATENATE(TEXT(BI8,"0"),"*"))))</f>
        <v/>
      </c>
      <c r="BK8" s="453" t="str">
        <f t="shared" ref="BK8:BK39" si="24">IF(ISNA($Z8),"",IF(OR($Z8=1,$Z8=2,$G8=""),"",IF(AB8=0,AG8,$AC8)))</f>
        <v/>
      </c>
      <c r="BL8" s="148" t="str">
        <f>IF(ISBLANK(BH8),"",IF(BH8=0,"",BH8))</f>
        <v/>
      </c>
      <c r="BM8" s="453" t="str">
        <f t="shared" ref="BM8:BM39" si="25">IF($BH8=0,"",IF($BI8="NG","D",$BI8))</f>
        <v/>
      </c>
      <c r="BN8" s="453" t="str">
        <f t="shared" ref="BN8:BN39" si="26">IF(ISNA(U8),"",IF($BH8=0,"",IF($BI8="NG","D",BK8)))</f>
        <v/>
      </c>
      <c r="BO8" s="149" t="s">
        <v>341</v>
      </c>
      <c r="BP8" s="150"/>
    </row>
    <row r="9" spans="2:73" s="94" customFormat="1" ht="12.95" customHeight="1" x14ac:dyDescent="0.2">
      <c r="B9" s="151" t="str">
        <f>IF(ISNA(Z9),"",IF(OR(Z9=1,Z9=2),"    ",MAX($B$8:B8)+1))</f>
        <v xml:space="preserve">    </v>
      </c>
      <c r="C9" s="904" t="str">
        <f t="shared" si="0"/>
        <v>Airmanship Tasks (10.0%)</v>
      </c>
      <c r="D9" s="904"/>
      <c r="E9" s="904"/>
      <c r="F9" s="905"/>
      <c r="G9" s="133" t="str">
        <f t="shared" si="1"/>
        <v/>
      </c>
      <c r="H9" s="134" t="str">
        <f t="shared" si="2"/>
        <v/>
      </c>
      <c r="I9" s="152" t="str">
        <f t="shared" si="2"/>
        <v/>
      </c>
      <c r="J9" s="480"/>
      <c r="K9" s="159"/>
      <c r="L9" s="1015"/>
      <c r="M9" s="1016"/>
      <c r="N9" s="1016"/>
      <c r="O9" s="1016"/>
      <c r="P9" s="1016"/>
      <c r="Q9" s="1016"/>
      <c r="R9" s="1017"/>
      <c r="T9" s="99">
        <v>2</v>
      </c>
      <c r="U9" s="88" t="s">
        <v>339</v>
      </c>
      <c r="V9" s="453" t="s">
        <v>340</v>
      </c>
      <c r="W9" s="453" t="s">
        <v>340</v>
      </c>
      <c r="X9" s="453" t="s">
        <v>340</v>
      </c>
      <c r="Y9" s="453" t="s">
        <v>340</v>
      </c>
      <c r="Z9" s="146">
        <v>2</v>
      </c>
      <c r="AA9" s="146">
        <v>1</v>
      </c>
      <c r="AB9" s="146">
        <v>0</v>
      </c>
      <c r="AC9" s="453" t="s">
        <v>340</v>
      </c>
      <c r="AD9" s="453" t="s">
        <v>340</v>
      </c>
      <c r="AE9" s="453" t="s">
        <v>340</v>
      </c>
      <c r="AF9" s="453" t="s">
        <v>340</v>
      </c>
      <c r="AG9" s="453" t="str">
        <f t="shared" si="3"/>
        <v/>
      </c>
      <c r="AH9" s="453" t="str">
        <f t="shared" si="4"/>
        <v/>
      </c>
      <c r="AI9" s="138">
        <f>IF(NOT(OR(Z9=1,Z9=2)),IF(AQ9&gt;0,$AR$44*AQ9/SUMIF($AQ$8:$AQ$39,"&gt;0"),IF(AU9&gt;0,$AV$44*AU9/SUMIF($AU$8:$AU$39,"&gt;0"),IF(AS9&gt;0,$AT$44*AS9/SUMIF($AS$8:$AS$39,"&gt;0"),""))),IF(SUMIF(AJ10:$AJ$39,"=" &amp; AJ9,AI10:$AI$39)=0,"",SUMIF(AJ10:$AJ$39,"=" &amp; AJ9,AI10:$AI$39)))</f>
        <v>0.1</v>
      </c>
      <c r="AJ9" s="139">
        <f>IF(OR(Z9=1,Z9=2,AA9&lt;AA8),AJ8+1,AJ8)</f>
        <v>1</v>
      </c>
      <c r="AK9" s="453" t="str">
        <f t="shared" ref="AK9:AK39" si="27">BI9</f>
        <v/>
      </c>
      <c r="AL9" s="146" t="str">
        <f t="shared" ref="AL9:AL39" si="28">IF(ISBLANK(K9),"",K9)</f>
        <v/>
      </c>
      <c r="AM9" s="146" t="str">
        <f>IF(ISNUMBER(AK9),IF(ISNUMBER(AL9),1,""),"")</f>
        <v/>
      </c>
      <c r="AN9" s="146" t="str">
        <f t="shared" si="5"/>
        <v/>
      </c>
      <c r="AO9" s="146" t="str">
        <f t="shared" si="6"/>
        <v/>
      </c>
      <c r="AP9" s="453" t="str">
        <f>IF(ISNA(Z9),"",IF(AND(ISNUMBER(B9),G9&gt;=1,H9&lt;&gt;"NG"),IF(K9&lt;BK9,TRUE,FALSE),IF(AND(G9&gt;=1,J9="NA"),TRUE,IF(AND(AM9=1,G9=0,AL9&lt;BI9),TRUE,""))))</f>
        <v/>
      </c>
      <c r="AQ9" s="140">
        <f t="shared" ref="AQ9:AQ39" si="29">IF(ISNA(Z9),0,IF(OR(J9="NA",W9="",AB9=0),0,W9))</f>
        <v>0</v>
      </c>
      <c r="AR9" s="141" t="str">
        <f>IF(ISNA(Z9),"",IF(AND(NOT(OR(Z9=1,Z9=2,AK9="NG",AB9=0)),IF(ISNUMBER(AL9),AL9&gt;=0,FALSE)),VLOOKUP((10*AD9+AC9),$AQ$50:$AV$58,2+AL9,FALSE),IF(AND(input_test=TRUE,ISNUMBER(AD9),V9&lt;&gt;0),VLOOKUP((10*AD9+AC9),$AQ$50:$AV$58,2,FALSE),"")))</f>
        <v/>
      </c>
      <c r="AS9" s="142">
        <f t="shared" ref="AS9:AS39" si="30">IF(ISNA(Z9),0,IF(OR(J9="NA",X9="",AB9=1),0,X9))</f>
        <v>0</v>
      </c>
      <c r="AT9" s="141" t="str">
        <f>IF(ISNA(Z9),"",IF(AND(NOT(OR(Z9=1,Z9=2,AK9="NG",AB9=1)),IF(ISNUMBER(AL9),AL9&gt;=0,FALSE)),VLOOKUP((10*AH9+AG9),$AQ$50:$AV$58,2+AL9,FALSE),IF(AND(input_test=TRUE,ISNUMBER(AD9),V9&lt;&gt;0),VLOOKUP((10*AH9+AG9),$AQ$50:$AV$58,2,FALSE),"")))</f>
        <v/>
      </c>
      <c r="AU9" s="143">
        <f t="shared" si="10"/>
        <v>0</v>
      </c>
      <c r="AV9" s="144" t="str">
        <f t="shared" si="11"/>
        <v/>
      </c>
      <c r="AW9" s="143" t="b">
        <f t="shared" si="12"/>
        <v>0</v>
      </c>
      <c r="AX9" s="145" t="b">
        <f t="shared" si="13"/>
        <v>0</v>
      </c>
      <c r="AY9" s="143" t="b">
        <f t="shared" si="14"/>
        <v>0</v>
      </c>
      <c r="AZ9" s="145" t="b">
        <f t="shared" si="15"/>
        <v>0</v>
      </c>
      <c r="BA9" s="453" t="b">
        <f t="shared" si="16"/>
        <v>0</v>
      </c>
      <c r="BB9" s="453" t="b">
        <f t="shared" si="17"/>
        <v>0</v>
      </c>
      <c r="BC9" s="143" t="b">
        <f t="shared" si="18"/>
        <v>0</v>
      </c>
      <c r="BD9" s="146" t="b">
        <f t="shared" ref="BD9:BD39" si="31">IF(OR(ISNA($Z9),ISNUMBER($Z9),NOT(ISNUMBER(K9))),FALSE,OR(NOT(ISNUMBER(J9)),J9=0,AND(J9=0,K9&lt;&gt;0)))</f>
        <v>0</v>
      </c>
      <c r="BE9" s="145" t="b">
        <f t="shared" si="19"/>
        <v>0</v>
      </c>
      <c r="BF9" s="147" t="b">
        <f t="shared" si="20"/>
        <v>0</v>
      </c>
      <c r="BG9" s="453" t="b">
        <f t="shared" si="21"/>
        <v>0</v>
      </c>
      <c r="BH9" s="453" t="str">
        <f t="shared" ref="BH9:BH39" si="32">IF(ISNA($Z9),"",IF(OR($Z9=1,$Z9=2),"",$V9))</f>
        <v/>
      </c>
      <c r="BI9" s="453" t="str">
        <f t="shared" si="22"/>
        <v/>
      </c>
      <c r="BJ9" s="453" t="str">
        <f t="shared" si="23"/>
        <v/>
      </c>
      <c r="BK9" s="453" t="str">
        <f t="shared" si="24"/>
        <v/>
      </c>
      <c r="BL9" s="148" t="str">
        <f t="shared" ref="BL9:BL39" si="33">IF(ISBLANK(BH9),"",IF(BH9=0,"",BH9))</f>
        <v/>
      </c>
      <c r="BM9" s="453" t="str">
        <f t="shared" si="25"/>
        <v/>
      </c>
      <c r="BN9" s="453" t="str">
        <f t="shared" si="26"/>
        <v/>
      </c>
      <c r="BO9" s="155" t="s">
        <v>343</v>
      </c>
      <c r="BP9" s="156" t="s">
        <v>344</v>
      </c>
    </row>
    <row r="10" spans="2:73" s="94" customFormat="1" ht="12.95" customHeight="1" x14ac:dyDescent="0.2">
      <c r="B10" s="151">
        <f>IF(ISNA(Z10),"",IF(OR(Z10=1,Z10=2),"    ",MAX($B$8:B9)+1))</f>
        <v>1</v>
      </c>
      <c r="C10" s="904" t="str">
        <f t="shared" si="0"/>
        <v xml:space="preserve">      - Basic Aircraft Procedures (2.0%)</v>
      </c>
      <c r="D10" s="904"/>
      <c r="E10" s="904"/>
      <c r="F10" s="905"/>
      <c r="G10" s="133">
        <f t="shared" si="1"/>
        <v>1</v>
      </c>
      <c r="H10" s="134" t="str">
        <f t="shared" si="2"/>
        <v>1*</v>
      </c>
      <c r="I10" s="152">
        <f t="shared" si="2"/>
        <v>2</v>
      </c>
      <c r="J10" s="153"/>
      <c r="K10" s="154"/>
      <c r="L10" s="1015"/>
      <c r="M10" s="1016"/>
      <c r="N10" s="1016"/>
      <c r="O10" s="1016"/>
      <c r="P10" s="1016"/>
      <c r="Q10" s="1016"/>
      <c r="R10" s="1017"/>
      <c r="T10" s="99">
        <v>3</v>
      </c>
      <c r="U10" s="88" t="s">
        <v>690</v>
      </c>
      <c r="V10" s="453">
        <v>1</v>
      </c>
      <c r="W10" s="453" t="s">
        <v>340</v>
      </c>
      <c r="X10" s="453">
        <v>1</v>
      </c>
      <c r="Y10" s="453" t="s">
        <v>340</v>
      </c>
      <c r="Z10" s="146" t="s">
        <v>340</v>
      </c>
      <c r="AA10" s="146">
        <v>2</v>
      </c>
      <c r="AB10" s="146">
        <v>0</v>
      </c>
      <c r="AC10" s="453">
        <v>3</v>
      </c>
      <c r="AD10" s="453">
        <v>2</v>
      </c>
      <c r="AE10" s="453">
        <v>1</v>
      </c>
      <c r="AF10" s="453" t="b">
        <v>1</v>
      </c>
      <c r="AG10" s="453">
        <f t="shared" si="3"/>
        <v>2</v>
      </c>
      <c r="AH10" s="453">
        <f t="shared" si="4"/>
        <v>1</v>
      </c>
      <c r="AI10" s="138">
        <f>IF(NOT(OR(Z10=1,Z10=2)),IF(AQ10&gt;0,$AR$44*AQ10/SUMIF($AQ$8:$AQ$39,"&gt;0"),IF(AU10&gt;0,$AV$44*AU10/SUMIF($AU$8:$AU$39,"&gt;0"),IF(AS10&gt;0,$AT$44*AS10/SUMIF($AS$8:$AS$39,"&gt;0"),""))),IF(SUMIF(AJ11:$AJ$39,"=" &amp; AJ10,AI11:$AI$39)=0,"",SUMIF(AJ11:$AJ$39,"=" &amp; AJ10,AI11:$AI$39)))</f>
        <v>0.02</v>
      </c>
      <c r="AJ10" s="139">
        <f t="shared" ref="AJ10:AJ39" si="34">IF(OR(Z10=1,Z10=2,AA10&lt;AA9),AJ9+1,AJ9)</f>
        <v>1</v>
      </c>
      <c r="AK10" s="453">
        <f t="shared" si="27"/>
        <v>1</v>
      </c>
      <c r="AL10" s="146" t="str">
        <f t="shared" si="28"/>
        <v/>
      </c>
      <c r="AM10" s="146" t="str">
        <f t="shared" ref="AM10:AM39" si="35">IF(ISNUMBER(AK10),IF(ISNUMBER(AL10),1,""),"")</f>
        <v/>
      </c>
      <c r="AN10" s="146" t="str">
        <f t="shared" si="5"/>
        <v/>
      </c>
      <c r="AO10" s="146">
        <f t="shared" si="6"/>
        <v>1</v>
      </c>
      <c r="AP10" s="453" t="b">
        <f t="shared" si="7"/>
        <v>1</v>
      </c>
      <c r="AQ10" s="140">
        <f t="shared" si="29"/>
        <v>0</v>
      </c>
      <c r="AR10" s="141" t="str">
        <f t="shared" si="8"/>
        <v/>
      </c>
      <c r="AS10" s="142">
        <f t="shared" si="30"/>
        <v>1</v>
      </c>
      <c r="AT10" s="141" t="str">
        <f t="shared" si="9"/>
        <v/>
      </c>
      <c r="AU10" s="143">
        <f t="shared" si="10"/>
        <v>0</v>
      </c>
      <c r="AV10" s="144" t="str">
        <f t="shared" si="11"/>
        <v/>
      </c>
      <c r="AW10" s="143" t="b">
        <f t="shared" si="12"/>
        <v>1</v>
      </c>
      <c r="AX10" s="145" t="b">
        <f t="shared" si="13"/>
        <v>0</v>
      </c>
      <c r="AY10" s="143" t="b">
        <f t="shared" si="14"/>
        <v>0</v>
      </c>
      <c r="AZ10" s="145" t="b">
        <f t="shared" si="15"/>
        <v>0</v>
      </c>
      <c r="BA10" s="453" t="b">
        <f t="shared" si="16"/>
        <v>0</v>
      </c>
      <c r="BB10" s="453" t="b">
        <f t="shared" si="17"/>
        <v>0</v>
      </c>
      <c r="BC10" s="143" t="b">
        <f t="shared" si="18"/>
        <v>0</v>
      </c>
      <c r="BD10" s="146" t="b">
        <f t="shared" si="31"/>
        <v>0</v>
      </c>
      <c r="BE10" s="145" t="b">
        <f t="shared" si="19"/>
        <v>0</v>
      </c>
      <c r="BF10" s="147" t="b">
        <f t="shared" si="20"/>
        <v>0</v>
      </c>
      <c r="BG10" s="453" t="b">
        <f t="shared" si="21"/>
        <v>1</v>
      </c>
      <c r="BH10" s="453">
        <f t="shared" si="32"/>
        <v>1</v>
      </c>
      <c r="BI10" s="453">
        <f t="shared" si="22"/>
        <v>1</v>
      </c>
      <c r="BJ10" s="453" t="str">
        <f t="shared" si="23"/>
        <v>1*</v>
      </c>
      <c r="BK10" s="453">
        <f t="shared" si="24"/>
        <v>2</v>
      </c>
      <c r="BL10" s="148">
        <f t="shared" si="33"/>
        <v>1</v>
      </c>
      <c r="BM10" s="453">
        <f t="shared" si="25"/>
        <v>1</v>
      </c>
      <c r="BN10" s="453">
        <f t="shared" si="26"/>
        <v>2</v>
      </c>
      <c r="BO10" s="155">
        <v>0</v>
      </c>
      <c r="BP10" s="156" t="s">
        <v>346</v>
      </c>
    </row>
    <row r="11" spans="2:73" s="94" customFormat="1" ht="12.95" customHeight="1" x14ac:dyDescent="0.2">
      <c r="B11" s="151">
        <f>IF(ISNA(Z11),"",IF(OR(Z11=1,Z11=2),"    ",MAX($B$8:B10)+1))</f>
        <v>2</v>
      </c>
      <c r="C11" s="904" t="str">
        <f t="shared" si="0"/>
        <v xml:space="preserve">      - Basic Aircraft Handling (2.0%)</v>
      </c>
      <c r="D11" s="904"/>
      <c r="E11" s="904"/>
      <c r="F11" s="905"/>
      <c r="G11" s="133">
        <f t="shared" si="1"/>
        <v>1</v>
      </c>
      <c r="H11" s="134" t="str">
        <f t="shared" si="2"/>
        <v>1*</v>
      </c>
      <c r="I11" s="152">
        <f t="shared" si="2"/>
        <v>2</v>
      </c>
      <c r="J11" s="153"/>
      <c r="K11" s="154"/>
      <c r="L11" s="1015"/>
      <c r="M11" s="1016"/>
      <c r="N11" s="1016"/>
      <c r="O11" s="1016"/>
      <c r="P11" s="1016"/>
      <c r="Q11" s="1016"/>
      <c r="R11" s="1017"/>
      <c r="T11" s="99">
        <v>4</v>
      </c>
      <c r="U11" s="88" t="s">
        <v>691</v>
      </c>
      <c r="V11" s="453">
        <v>1</v>
      </c>
      <c r="W11" s="453" t="s">
        <v>340</v>
      </c>
      <c r="X11" s="453">
        <v>1</v>
      </c>
      <c r="Y11" s="453" t="s">
        <v>340</v>
      </c>
      <c r="Z11" s="146" t="s">
        <v>340</v>
      </c>
      <c r="AA11" s="146">
        <v>2</v>
      </c>
      <c r="AB11" s="146">
        <v>0</v>
      </c>
      <c r="AC11" s="453">
        <v>3</v>
      </c>
      <c r="AD11" s="453">
        <v>2</v>
      </c>
      <c r="AE11" s="453">
        <v>1</v>
      </c>
      <c r="AF11" s="453" t="b">
        <v>1</v>
      </c>
      <c r="AG11" s="453">
        <f t="shared" si="3"/>
        <v>2</v>
      </c>
      <c r="AH11" s="453">
        <f t="shared" si="4"/>
        <v>1</v>
      </c>
      <c r="AI11" s="138">
        <f>IF(NOT(OR(Z11=1,Z11=2)),IF(AQ11&gt;0,$AR$44*AQ11/SUMIF($AQ$8:$AQ$39,"&gt;0"),IF(AU11&gt;0,$AV$44*AU11/SUMIF($AU$8:$AU$39,"&gt;0"),IF(AS11&gt;0,$AT$44*AS11/SUMIF($AS$8:$AS$39,"&gt;0"),""))),IF(SUMIF(AJ12:$AJ$39,"=" &amp; AJ11,AI12:$AI$39)=0,"",SUMIF(AJ12:$AJ$39,"=" &amp; AJ11,AI12:$AI$39)))</f>
        <v>0.02</v>
      </c>
      <c r="AJ11" s="139">
        <f t="shared" si="34"/>
        <v>1</v>
      </c>
      <c r="AK11" s="453">
        <f t="shared" si="27"/>
        <v>1</v>
      </c>
      <c r="AL11" s="146" t="str">
        <f t="shared" si="28"/>
        <v/>
      </c>
      <c r="AM11" s="146" t="str">
        <f t="shared" si="35"/>
        <v/>
      </c>
      <c r="AN11" s="146" t="str">
        <f t="shared" si="5"/>
        <v/>
      </c>
      <c r="AO11" s="146">
        <f t="shared" si="6"/>
        <v>1</v>
      </c>
      <c r="AP11" s="453" t="b">
        <f t="shared" si="7"/>
        <v>1</v>
      </c>
      <c r="AQ11" s="140">
        <f t="shared" si="29"/>
        <v>0</v>
      </c>
      <c r="AR11" s="141" t="str">
        <f t="shared" si="8"/>
        <v/>
      </c>
      <c r="AS11" s="142">
        <f t="shared" si="30"/>
        <v>1</v>
      </c>
      <c r="AT11" s="141" t="str">
        <f t="shared" si="9"/>
        <v/>
      </c>
      <c r="AU11" s="143">
        <f t="shared" si="10"/>
        <v>0</v>
      </c>
      <c r="AV11" s="144" t="str">
        <f t="shared" si="11"/>
        <v/>
      </c>
      <c r="AW11" s="143" t="b">
        <f t="shared" si="12"/>
        <v>1</v>
      </c>
      <c r="AX11" s="145" t="b">
        <f t="shared" si="13"/>
        <v>0</v>
      </c>
      <c r="AY11" s="143" t="b">
        <f t="shared" si="14"/>
        <v>0</v>
      </c>
      <c r="AZ11" s="145" t="b">
        <f t="shared" si="15"/>
        <v>0</v>
      </c>
      <c r="BA11" s="453" t="b">
        <f t="shared" si="16"/>
        <v>0</v>
      </c>
      <c r="BB11" s="453" t="b">
        <f t="shared" si="17"/>
        <v>0</v>
      </c>
      <c r="BC11" s="143" t="b">
        <f t="shared" si="18"/>
        <v>0</v>
      </c>
      <c r="BD11" s="146" t="b">
        <f t="shared" si="31"/>
        <v>0</v>
      </c>
      <c r="BE11" s="145" t="b">
        <f t="shared" si="19"/>
        <v>0</v>
      </c>
      <c r="BF11" s="147" t="b">
        <f t="shared" si="20"/>
        <v>0</v>
      </c>
      <c r="BG11" s="453" t="b">
        <f t="shared" si="21"/>
        <v>1</v>
      </c>
      <c r="BH11" s="453">
        <f t="shared" si="32"/>
        <v>1</v>
      </c>
      <c r="BI11" s="453">
        <f t="shared" si="22"/>
        <v>1</v>
      </c>
      <c r="BJ11" s="453" t="str">
        <f t="shared" si="23"/>
        <v>1*</v>
      </c>
      <c r="BK11" s="453">
        <f t="shared" si="24"/>
        <v>2</v>
      </c>
      <c r="BL11" s="148">
        <f t="shared" si="33"/>
        <v>1</v>
      </c>
      <c r="BM11" s="453">
        <f t="shared" si="25"/>
        <v>1</v>
      </c>
      <c r="BN11" s="453">
        <f t="shared" si="26"/>
        <v>2</v>
      </c>
      <c r="BO11" s="155">
        <v>1</v>
      </c>
      <c r="BP11" s="156" t="s">
        <v>348</v>
      </c>
    </row>
    <row r="12" spans="2:73" s="94" customFormat="1" ht="12.95" customHeight="1" x14ac:dyDescent="0.2">
      <c r="B12" s="151">
        <f>IF(ISNA(Z12),"",IF(OR(Z12=1,Z12=2),"    ",MAX($B$8:B11)+1))</f>
        <v>3</v>
      </c>
      <c r="C12" s="904" t="str">
        <f t="shared" si="0"/>
        <v xml:space="preserve">      - LA Proc./Orientation/Comm (2.0%)</v>
      </c>
      <c r="D12" s="904"/>
      <c r="E12" s="904"/>
      <c r="F12" s="905"/>
      <c r="G12" s="133">
        <f t="shared" si="1"/>
        <v>1</v>
      </c>
      <c r="H12" s="134" t="str">
        <f t="shared" si="2"/>
        <v>2*</v>
      </c>
      <c r="I12" s="152">
        <f t="shared" si="2"/>
        <v>3</v>
      </c>
      <c r="J12" s="153"/>
      <c r="K12" s="154"/>
      <c r="L12" s="1015"/>
      <c r="M12" s="1016"/>
      <c r="N12" s="1016"/>
      <c r="O12" s="1016"/>
      <c r="P12" s="1016"/>
      <c r="Q12" s="1016"/>
      <c r="R12" s="1017"/>
      <c r="T12" s="99">
        <v>5</v>
      </c>
      <c r="U12" s="88" t="s">
        <v>692</v>
      </c>
      <c r="V12" s="453">
        <v>1</v>
      </c>
      <c r="W12" s="453" t="s">
        <v>340</v>
      </c>
      <c r="X12" s="453">
        <v>1</v>
      </c>
      <c r="Y12" s="453" t="s">
        <v>340</v>
      </c>
      <c r="Z12" s="146" t="s">
        <v>340</v>
      </c>
      <c r="AA12" s="146">
        <v>2</v>
      </c>
      <c r="AB12" s="146">
        <v>0</v>
      </c>
      <c r="AC12" s="453">
        <v>3</v>
      </c>
      <c r="AD12" s="453">
        <v>3</v>
      </c>
      <c r="AE12" s="453">
        <v>1</v>
      </c>
      <c r="AF12" s="453" t="b">
        <v>1</v>
      </c>
      <c r="AG12" s="453">
        <f t="shared" si="3"/>
        <v>3</v>
      </c>
      <c r="AH12" s="453">
        <f t="shared" si="4"/>
        <v>2</v>
      </c>
      <c r="AI12" s="138">
        <f>IF(NOT(OR(Z12=1,Z12=2)),IF(AQ12&gt;0,$AR$44*AQ12/SUMIF($AQ$8:$AQ$39,"&gt;0"),IF(AU12&gt;0,$AV$44*AU12/SUMIF($AU$8:$AU$39,"&gt;0"),IF(AS12&gt;0,$AT$44*AS12/SUMIF($AS$8:$AS$39,"&gt;0"),""))),IF(SUMIF(AJ13:$AJ$39,"=" &amp; AJ12,AI13:$AI$39)=0,"",SUMIF(AJ13:$AJ$39,"=" &amp; AJ12,AI13:$AI$39)))</f>
        <v>0.02</v>
      </c>
      <c r="AJ12" s="139">
        <f t="shared" si="34"/>
        <v>1</v>
      </c>
      <c r="AK12" s="453">
        <f t="shared" si="27"/>
        <v>2</v>
      </c>
      <c r="AL12" s="146" t="str">
        <f t="shared" si="28"/>
        <v/>
      </c>
      <c r="AM12" s="146" t="str">
        <f t="shared" si="35"/>
        <v/>
      </c>
      <c r="AN12" s="146" t="str">
        <f t="shared" si="5"/>
        <v/>
      </c>
      <c r="AO12" s="146">
        <f t="shared" si="6"/>
        <v>2</v>
      </c>
      <c r="AP12" s="453" t="b">
        <f t="shared" si="7"/>
        <v>1</v>
      </c>
      <c r="AQ12" s="140">
        <f t="shared" si="29"/>
        <v>0</v>
      </c>
      <c r="AR12" s="141" t="str">
        <f t="shared" si="8"/>
        <v/>
      </c>
      <c r="AS12" s="142">
        <f t="shared" si="30"/>
        <v>1</v>
      </c>
      <c r="AT12" s="141" t="str">
        <f t="shared" si="9"/>
        <v/>
      </c>
      <c r="AU12" s="143">
        <f t="shared" si="10"/>
        <v>0</v>
      </c>
      <c r="AV12" s="144" t="str">
        <f t="shared" si="11"/>
        <v/>
      </c>
      <c r="AW12" s="143" t="b">
        <f t="shared" si="12"/>
        <v>1</v>
      </c>
      <c r="AX12" s="145" t="b">
        <f t="shared" si="13"/>
        <v>0</v>
      </c>
      <c r="AY12" s="143" t="b">
        <f t="shared" si="14"/>
        <v>0</v>
      </c>
      <c r="AZ12" s="145" t="b">
        <f t="shared" si="15"/>
        <v>0</v>
      </c>
      <c r="BA12" s="453" t="b">
        <f t="shared" si="16"/>
        <v>0</v>
      </c>
      <c r="BB12" s="453" t="b">
        <f t="shared" si="17"/>
        <v>0</v>
      </c>
      <c r="BC12" s="143" t="b">
        <f t="shared" si="18"/>
        <v>0</v>
      </c>
      <c r="BD12" s="146" t="b">
        <f t="shared" si="31"/>
        <v>0</v>
      </c>
      <c r="BE12" s="145" t="b">
        <f t="shared" si="19"/>
        <v>0</v>
      </c>
      <c r="BF12" s="147" t="b">
        <f t="shared" si="20"/>
        <v>0</v>
      </c>
      <c r="BG12" s="453" t="b">
        <f t="shared" si="21"/>
        <v>1</v>
      </c>
      <c r="BH12" s="453">
        <f t="shared" si="32"/>
        <v>1</v>
      </c>
      <c r="BI12" s="453">
        <f t="shared" si="22"/>
        <v>2</v>
      </c>
      <c r="BJ12" s="453" t="str">
        <f t="shared" si="23"/>
        <v>2*</v>
      </c>
      <c r="BK12" s="453">
        <f t="shared" si="24"/>
        <v>3</v>
      </c>
      <c r="BL12" s="148">
        <f t="shared" si="33"/>
        <v>1</v>
      </c>
      <c r="BM12" s="453">
        <f t="shared" si="25"/>
        <v>2</v>
      </c>
      <c r="BN12" s="453">
        <f t="shared" si="26"/>
        <v>3</v>
      </c>
      <c r="BO12" s="155">
        <v>2</v>
      </c>
      <c r="BP12" s="156" t="s">
        <v>350</v>
      </c>
    </row>
    <row r="13" spans="2:73" s="94" customFormat="1" ht="12.95" customHeight="1" x14ac:dyDescent="0.2">
      <c r="B13" s="151">
        <f>IF(ISNA(Z13),"",IF(OR(Z13=1,Z13=2),"    ",MAX($B$8:B12)+1))</f>
        <v>4</v>
      </c>
      <c r="C13" s="904" t="str">
        <f t="shared" si="0"/>
        <v xml:space="preserve">      - SA/Judgement (2.0%)</v>
      </c>
      <c r="D13" s="904"/>
      <c r="E13" s="904"/>
      <c r="F13" s="905"/>
      <c r="G13" s="133">
        <f t="shared" si="1"/>
        <v>1</v>
      </c>
      <c r="H13" s="134" t="str">
        <f t="shared" si="2"/>
        <v>2*</v>
      </c>
      <c r="I13" s="152">
        <f t="shared" si="2"/>
        <v>3</v>
      </c>
      <c r="J13" s="153"/>
      <c r="K13" s="154"/>
      <c r="L13" s="1015"/>
      <c r="M13" s="1016"/>
      <c r="N13" s="1016"/>
      <c r="O13" s="1016"/>
      <c r="P13" s="1016"/>
      <c r="Q13" s="1016"/>
      <c r="R13" s="1017"/>
      <c r="T13" s="99">
        <v>6</v>
      </c>
      <c r="U13" s="88" t="s">
        <v>693</v>
      </c>
      <c r="V13" s="453">
        <v>1</v>
      </c>
      <c r="W13" s="453" t="s">
        <v>340</v>
      </c>
      <c r="X13" s="453">
        <v>1</v>
      </c>
      <c r="Y13" s="453" t="s">
        <v>340</v>
      </c>
      <c r="Z13" s="146" t="s">
        <v>340</v>
      </c>
      <c r="AA13" s="146">
        <v>2</v>
      </c>
      <c r="AB13" s="146">
        <v>0</v>
      </c>
      <c r="AC13" s="453">
        <v>3</v>
      </c>
      <c r="AD13" s="453">
        <v>3</v>
      </c>
      <c r="AE13" s="453">
        <v>1</v>
      </c>
      <c r="AF13" s="453" t="b">
        <v>1</v>
      </c>
      <c r="AG13" s="453">
        <f t="shared" si="3"/>
        <v>3</v>
      </c>
      <c r="AH13" s="453">
        <f t="shared" si="4"/>
        <v>2</v>
      </c>
      <c r="AI13" s="138">
        <f>IF(NOT(OR(Z13=1,Z13=2)),IF(AQ13&gt;0,$AR$44*AQ13/SUMIF($AQ$8:$AQ$39,"&gt;0"),IF(AU13&gt;0,$AV$44*AU13/SUMIF($AU$8:$AU$39,"&gt;0"),IF(AS13&gt;0,$AT$44*AS13/SUMIF($AS$8:$AS$39,"&gt;0"),""))),IF(SUMIF(AJ14:$AJ$39,"=" &amp; AJ13,AI14:$AI$39)=0,"",SUMIF(AJ14:$AJ$39,"=" &amp; AJ13,AI14:$AI$39)))</f>
        <v>0.02</v>
      </c>
      <c r="AJ13" s="139">
        <f t="shared" si="34"/>
        <v>1</v>
      </c>
      <c r="AK13" s="453">
        <f t="shared" si="27"/>
        <v>2</v>
      </c>
      <c r="AL13" s="146" t="str">
        <f t="shared" si="28"/>
        <v/>
      </c>
      <c r="AM13" s="146" t="str">
        <f t="shared" si="35"/>
        <v/>
      </c>
      <c r="AN13" s="146" t="str">
        <f t="shared" si="5"/>
        <v/>
      </c>
      <c r="AO13" s="146">
        <f t="shared" si="6"/>
        <v>2</v>
      </c>
      <c r="AP13" s="453" t="b">
        <f t="shared" si="7"/>
        <v>1</v>
      </c>
      <c r="AQ13" s="140">
        <f t="shared" si="29"/>
        <v>0</v>
      </c>
      <c r="AR13" s="141" t="str">
        <f t="shared" si="8"/>
        <v/>
      </c>
      <c r="AS13" s="142">
        <f t="shared" si="30"/>
        <v>1</v>
      </c>
      <c r="AT13" s="141" t="str">
        <f t="shared" si="9"/>
        <v/>
      </c>
      <c r="AU13" s="143">
        <f t="shared" si="10"/>
        <v>0</v>
      </c>
      <c r="AV13" s="144" t="str">
        <f t="shared" si="11"/>
        <v/>
      </c>
      <c r="AW13" s="143" t="b">
        <f t="shared" si="12"/>
        <v>1</v>
      </c>
      <c r="AX13" s="145" t="b">
        <f t="shared" si="13"/>
        <v>0</v>
      </c>
      <c r="AY13" s="143" t="b">
        <f t="shared" si="14"/>
        <v>0</v>
      </c>
      <c r="AZ13" s="145" t="b">
        <f t="shared" si="15"/>
        <v>0</v>
      </c>
      <c r="BA13" s="453" t="b">
        <f t="shared" si="16"/>
        <v>0</v>
      </c>
      <c r="BB13" s="453" t="b">
        <f t="shared" si="17"/>
        <v>0</v>
      </c>
      <c r="BC13" s="143" t="b">
        <f t="shared" si="18"/>
        <v>0</v>
      </c>
      <c r="BD13" s="146" t="b">
        <f t="shared" si="31"/>
        <v>0</v>
      </c>
      <c r="BE13" s="145" t="b">
        <f t="shared" si="19"/>
        <v>0</v>
      </c>
      <c r="BF13" s="147" t="b">
        <f t="shared" si="20"/>
        <v>0</v>
      </c>
      <c r="BG13" s="453" t="b">
        <f t="shared" si="21"/>
        <v>1</v>
      </c>
      <c r="BH13" s="453">
        <f t="shared" si="32"/>
        <v>1</v>
      </c>
      <c r="BI13" s="453">
        <f t="shared" si="22"/>
        <v>2</v>
      </c>
      <c r="BJ13" s="453" t="str">
        <f t="shared" si="23"/>
        <v>2*</v>
      </c>
      <c r="BK13" s="453">
        <f t="shared" si="24"/>
        <v>3</v>
      </c>
      <c r="BL13" s="148">
        <f t="shared" si="33"/>
        <v>1</v>
      </c>
      <c r="BM13" s="453">
        <f t="shared" si="25"/>
        <v>2</v>
      </c>
      <c r="BN13" s="453">
        <f t="shared" si="26"/>
        <v>3</v>
      </c>
      <c r="BO13" s="155">
        <v>3</v>
      </c>
      <c r="BP13" s="156" t="s">
        <v>352</v>
      </c>
    </row>
    <row r="14" spans="2:73" s="94" customFormat="1" ht="12.95" customHeight="1" x14ac:dyDescent="0.2">
      <c r="B14" s="151">
        <f>IF(ISNA(Z14),"",IF(OR(Z14=1,Z14=2),"    ",MAX($B$8:B13)+1))</f>
        <v>5</v>
      </c>
      <c r="C14" s="904" t="str">
        <f t="shared" si="0"/>
        <v xml:space="preserve">      - Clearing/Visual Lookout (2.0%)</v>
      </c>
      <c r="D14" s="904"/>
      <c r="E14" s="904"/>
      <c r="F14" s="905"/>
      <c r="G14" s="133">
        <f t="shared" si="1"/>
        <v>1</v>
      </c>
      <c r="H14" s="134" t="str">
        <f t="shared" si="2"/>
        <v>2*</v>
      </c>
      <c r="I14" s="152">
        <f t="shared" si="2"/>
        <v>3</v>
      </c>
      <c r="J14" s="157"/>
      <c r="K14" s="154"/>
      <c r="L14" s="1015"/>
      <c r="M14" s="1016"/>
      <c r="N14" s="1016"/>
      <c r="O14" s="1016"/>
      <c r="P14" s="1016"/>
      <c r="Q14" s="1016"/>
      <c r="R14" s="1017"/>
      <c r="T14" s="99">
        <v>7</v>
      </c>
      <c r="U14" s="88" t="s">
        <v>694</v>
      </c>
      <c r="V14" s="453">
        <v>1</v>
      </c>
      <c r="W14" s="453" t="s">
        <v>340</v>
      </c>
      <c r="X14" s="453">
        <v>1</v>
      </c>
      <c r="Y14" s="453" t="s">
        <v>340</v>
      </c>
      <c r="Z14" s="146" t="s">
        <v>340</v>
      </c>
      <c r="AA14" s="146">
        <v>2</v>
      </c>
      <c r="AB14" s="146">
        <v>0</v>
      </c>
      <c r="AC14" s="453">
        <v>3</v>
      </c>
      <c r="AD14" s="453">
        <v>3</v>
      </c>
      <c r="AE14" s="453">
        <v>1</v>
      </c>
      <c r="AF14" s="453" t="b">
        <v>1</v>
      </c>
      <c r="AG14" s="453">
        <f t="shared" si="3"/>
        <v>3</v>
      </c>
      <c r="AH14" s="453">
        <f t="shared" si="4"/>
        <v>2</v>
      </c>
      <c r="AI14" s="138">
        <f>IF(NOT(OR(Z14=1,Z14=2)),IF(AQ14&gt;0,$AR$44*AQ14/SUMIF($AQ$8:$AQ$39,"&gt;0"),IF(AU14&gt;0,$AV$44*AU14/SUMIF($AU$8:$AU$39,"&gt;0"),IF(AS14&gt;0,$AT$44*AS14/SUMIF($AS$8:$AS$39,"&gt;0"),""))),IF(SUMIF(AJ15:$AJ$39,"=" &amp; AJ14,AI15:$AI$39)=0,"",SUMIF(AJ15:$AJ$39,"=" &amp; AJ14,AI15:$AI$39)))</f>
        <v>0.02</v>
      </c>
      <c r="AJ14" s="139">
        <f t="shared" si="34"/>
        <v>1</v>
      </c>
      <c r="AK14" s="453">
        <f t="shared" si="27"/>
        <v>2</v>
      </c>
      <c r="AL14" s="146" t="str">
        <f t="shared" si="28"/>
        <v/>
      </c>
      <c r="AM14" s="146" t="str">
        <f t="shared" si="35"/>
        <v/>
      </c>
      <c r="AN14" s="146" t="str">
        <f t="shared" si="5"/>
        <v/>
      </c>
      <c r="AO14" s="146">
        <f t="shared" si="6"/>
        <v>2</v>
      </c>
      <c r="AP14" s="453" t="b">
        <f t="shared" si="7"/>
        <v>1</v>
      </c>
      <c r="AQ14" s="140">
        <f t="shared" si="29"/>
        <v>0</v>
      </c>
      <c r="AR14" s="141" t="str">
        <f t="shared" si="8"/>
        <v/>
      </c>
      <c r="AS14" s="142">
        <f t="shared" si="30"/>
        <v>1</v>
      </c>
      <c r="AT14" s="141" t="str">
        <f t="shared" si="9"/>
        <v/>
      </c>
      <c r="AU14" s="143">
        <f t="shared" si="10"/>
        <v>0</v>
      </c>
      <c r="AV14" s="144" t="str">
        <f t="shared" si="11"/>
        <v/>
      </c>
      <c r="AW14" s="143" t="b">
        <f t="shared" si="12"/>
        <v>1</v>
      </c>
      <c r="AX14" s="145" t="b">
        <f t="shared" si="13"/>
        <v>0</v>
      </c>
      <c r="AY14" s="143" t="b">
        <f t="shared" si="14"/>
        <v>0</v>
      </c>
      <c r="AZ14" s="145" t="b">
        <f t="shared" si="15"/>
        <v>0</v>
      </c>
      <c r="BA14" s="453" t="b">
        <f t="shared" si="16"/>
        <v>0</v>
      </c>
      <c r="BB14" s="453" t="b">
        <f t="shared" si="17"/>
        <v>0</v>
      </c>
      <c r="BC14" s="143" t="b">
        <f t="shared" si="18"/>
        <v>0</v>
      </c>
      <c r="BD14" s="146" t="b">
        <f t="shared" si="31"/>
        <v>0</v>
      </c>
      <c r="BE14" s="145" t="b">
        <f t="shared" si="19"/>
        <v>0</v>
      </c>
      <c r="BF14" s="147" t="b">
        <f t="shared" si="20"/>
        <v>0</v>
      </c>
      <c r="BG14" s="453" t="b">
        <f t="shared" si="21"/>
        <v>1</v>
      </c>
      <c r="BH14" s="453">
        <f t="shared" si="32"/>
        <v>1</v>
      </c>
      <c r="BI14" s="453">
        <f t="shared" si="22"/>
        <v>2</v>
      </c>
      <c r="BJ14" s="453" t="str">
        <f t="shared" si="23"/>
        <v>2*</v>
      </c>
      <c r="BK14" s="453">
        <f t="shared" si="24"/>
        <v>3</v>
      </c>
      <c r="BL14" s="148">
        <f t="shared" si="33"/>
        <v>1</v>
      </c>
      <c r="BM14" s="453">
        <f t="shared" si="25"/>
        <v>2</v>
      </c>
      <c r="BN14" s="453">
        <f t="shared" si="26"/>
        <v>3</v>
      </c>
      <c r="BO14" s="155">
        <v>4</v>
      </c>
      <c r="BP14" s="156" t="s">
        <v>354</v>
      </c>
    </row>
    <row r="15" spans="2:73" s="94" customFormat="1" ht="12.95" customHeight="1" x14ac:dyDescent="0.2">
      <c r="B15" s="151" t="str">
        <f>IF(ISNA(Z15),"",IF(OR(Z15=1,Z15=2),"    ",MAX($B$8:B14)+1))</f>
        <v xml:space="preserve">    </v>
      </c>
      <c r="C15" s="904" t="str">
        <f t="shared" si="0"/>
        <v>Academic Tasks</v>
      </c>
      <c r="D15" s="904"/>
      <c r="E15" s="904"/>
      <c r="F15" s="905"/>
      <c r="G15" s="133" t="str">
        <f t="shared" si="1"/>
        <v/>
      </c>
      <c r="H15" s="134" t="str">
        <f t="shared" si="2"/>
        <v/>
      </c>
      <c r="I15" s="152" t="str">
        <f t="shared" si="2"/>
        <v/>
      </c>
      <c r="J15" s="158"/>
      <c r="K15" s="159"/>
      <c r="L15" s="1015"/>
      <c r="M15" s="1016"/>
      <c r="N15" s="1016"/>
      <c r="O15" s="1016"/>
      <c r="P15" s="1016"/>
      <c r="Q15" s="1016"/>
      <c r="R15" s="1017"/>
      <c r="T15" s="99">
        <v>8</v>
      </c>
      <c r="U15" s="88" t="s">
        <v>351</v>
      </c>
      <c r="V15" s="453" t="s">
        <v>340</v>
      </c>
      <c r="W15" s="453" t="s">
        <v>340</v>
      </c>
      <c r="X15" s="453" t="s">
        <v>340</v>
      </c>
      <c r="Y15" s="453" t="s">
        <v>340</v>
      </c>
      <c r="Z15" s="146">
        <v>1</v>
      </c>
      <c r="AA15" s="146">
        <v>0</v>
      </c>
      <c r="AB15" s="146">
        <v>1</v>
      </c>
      <c r="AC15" s="453" t="s">
        <v>340</v>
      </c>
      <c r="AD15" s="453" t="s">
        <v>340</v>
      </c>
      <c r="AE15" s="453">
        <v>0</v>
      </c>
      <c r="AF15" s="453" t="s">
        <v>340</v>
      </c>
      <c r="AG15" s="453" t="str">
        <f t="shared" si="3"/>
        <v/>
      </c>
      <c r="AH15" s="453" t="str">
        <f t="shared" si="4"/>
        <v/>
      </c>
      <c r="AI15" s="138" t="str">
        <f>IF(NOT(OR(Z15=1,Z15=2)),IF(AQ15&gt;0,$AR$44*AQ15/SUMIF($AQ$8:$AQ$39,"&gt;0"),IF(AU15&gt;0,$AV$44*AU15/SUMIF($AU$8:$AU$39,"&gt;0"),IF(AS15&gt;0,$AT$44*AS15/SUMIF($AS$8:$AS$39,"&gt;0"),""))),IF(SUMIF(AJ16:$AJ$39,"=" &amp; AJ15,AI16:$AI$39)=0,"",SUMIF(AJ16:$AJ$39,"=" &amp; AJ15,AI16:$AI$39)))</f>
        <v/>
      </c>
      <c r="AJ15" s="139">
        <f t="shared" si="34"/>
        <v>2</v>
      </c>
      <c r="AK15" s="453" t="str">
        <f t="shared" si="27"/>
        <v/>
      </c>
      <c r="AL15" s="146" t="str">
        <f t="shared" si="28"/>
        <v/>
      </c>
      <c r="AM15" s="146" t="str">
        <f t="shared" si="35"/>
        <v/>
      </c>
      <c r="AN15" s="146" t="str">
        <f t="shared" si="5"/>
        <v/>
      </c>
      <c r="AO15" s="146" t="str">
        <f t="shared" si="6"/>
        <v/>
      </c>
      <c r="AP15" s="453" t="str">
        <f t="shared" si="7"/>
        <v/>
      </c>
      <c r="AQ15" s="140">
        <f t="shared" si="29"/>
        <v>0</v>
      </c>
      <c r="AR15" s="141" t="str">
        <f t="shared" si="8"/>
        <v/>
      </c>
      <c r="AS15" s="142">
        <f t="shared" si="30"/>
        <v>0</v>
      </c>
      <c r="AT15" s="141" t="str">
        <f t="shared" si="9"/>
        <v/>
      </c>
      <c r="AU15" s="143">
        <f t="shared" si="10"/>
        <v>0</v>
      </c>
      <c r="AV15" s="144" t="str">
        <f t="shared" si="11"/>
        <v/>
      </c>
      <c r="AW15" s="143" t="b">
        <f t="shared" si="12"/>
        <v>0</v>
      </c>
      <c r="AX15" s="145" t="b">
        <f t="shared" si="13"/>
        <v>0</v>
      </c>
      <c r="AY15" s="143" t="b">
        <f t="shared" si="14"/>
        <v>0</v>
      </c>
      <c r="AZ15" s="145" t="b">
        <f t="shared" si="15"/>
        <v>0</v>
      </c>
      <c r="BA15" s="453" t="b">
        <f t="shared" si="16"/>
        <v>0</v>
      </c>
      <c r="BB15" s="453" t="b">
        <f t="shared" si="17"/>
        <v>0</v>
      </c>
      <c r="BC15" s="143" t="b">
        <f t="shared" si="18"/>
        <v>0</v>
      </c>
      <c r="BD15" s="146" t="b">
        <f t="shared" si="31"/>
        <v>0</v>
      </c>
      <c r="BE15" s="145" t="b">
        <f t="shared" si="19"/>
        <v>0</v>
      </c>
      <c r="BF15" s="147" t="b">
        <f t="shared" si="20"/>
        <v>0</v>
      </c>
      <c r="BG15" s="453" t="b">
        <f t="shared" si="21"/>
        <v>0</v>
      </c>
      <c r="BH15" s="453" t="str">
        <f t="shared" si="32"/>
        <v/>
      </c>
      <c r="BI15" s="453" t="str">
        <f t="shared" si="22"/>
        <v/>
      </c>
      <c r="BJ15" s="453" t="str">
        <f t="shared" si="23"/>
        <v/>
      </c>
      <c r="BK15" s="453" t="str">
        <f t="shared" si="24"/>
        <v/>
      </c>
      <c r="BL15" s="148" t="str">
        <f t="shared" si="33"/>
        <v/>
      </c>
      <c r="BM15" s="453" t="str">
        <f t="shared" si="25"/>
        <v/>
      </c>
      <c r="BN15" s="453" t="str">
        <f t="shared" si="26"/>
        <v/>
      </c>
      <c r="BO15" s="90"/>
    </row>
    <row r="16" spans="2:73" s="94" customFormat="1" ht="12.95" customHeight="1" x14ac:dyDescent="0.2">
      <c r="B16" s="151" t="str">
        <f>IF(ISNA(Z16),"",IF(OR(Z16=1,Z16=2),"    ",MAX($B$8:B15)+1))</f>
        <v xml:space="preserve">    </v>
      </c>
      <c r="C16" s="904" t="str">
        <f t="shared" si="0"/>
        <v>Test Conduct (40.0%)</v>
      </c>
      <c r="D16" s="904"/>
      <c r="E16" s="904"/>
      <c r="F16" s="905"/>
      <c r="G16" s="133" t="str">
        <f t="shared" si="1"/>
        <v/>
      </c>
      <c r="H16" s="134" t="str">
        <f t="shared" si="2"/>
        <v/>
      </c>
      <c r="I16" s="152" t="str">
        <f t="shared" si="2"/>
        <v/>
      </c>
      <c r="J16" s="480"/>
      <c r="K16" s="159"/>
      <c r="L16" s="1015"/>
      <c r="M16" s="1016"/>
      <c r="N16" s="1016"/>
      <c r="O16" s="1016"/>
      <c r="P16" s="1016"/>
      <c r="Q16" s="1016"/>
      <c r="R16" s="1017"/>
      <c r="T16" s="99">
        <v>9</v>
      </c>
      <c r="U16" s="88" t="s">
        <v>353</v>
      </c>
      <c r="V16" s="453" t="s">
        <v>340</v>
      </c>
      <c r="W16" s="453" t="s">
        <v>340</v>
      </c>
      <c r="X16" s="453" t="s">
        <v>340</v>
      </c>
      <c r="Y16" s="453" t="s">
        <v>340</v>
      </c>
      <c r="Z16" s="146">
        <v>2</v>
      </c>
      <c r="AA16" s="146">
        <v>1</v>
      </c>
      <c r="AB16" s="146">
        <v>1</v>
      </c>
      <c r="AC16" s="453" t="s">
        <v>340</v>
      </c>
      <c r="AD16" s="453" t="s">
        <v>340</v>
      </c>
      <c r="AE16" s="453" t="s">
        <v>340</v>
      </c>
      <c r="AF16" s="453" t="s">
        <v>340</v>
      </c>
      <c r="AG16" s="453" t="str">
        <f t="shared" si="3"/>
        <v/>
      </c>
      <c r="AH16" s="453" t="str">
        <f t="shared" si="4"/>
        <v/>
      </c>
      <c r="AI16" s="138">
        <f>IF(NOT(OR(Z16=1,Z16=2)),IF(AQ16&gt;0,$AR$44*AQ16/SUMIF($AQ$8:$AQ$39,"&gt;0"),IF(AU16&gt;0,$AV$44*AU16/SUMIF($AU$8:$AU$39,"&gt;0"),IF(AS16&gt;0,$AT$44*AS16/SUMIF($AS$8:$AS$39,"&gt;0"),""))),IF(SUMIF(AJ17:$AJ$39,"=" &amp; AJ16,AI17:$AI$39)=0,"",SUMIF(AJ17:$AJ$39,"=" &amp; AJ16,AI17:$AI$39)))</f>
        <v>0.4</v>
      </c>
      <c r="AJ16" s="139">
        <f t="shared" si="34"/>
        <v>3</v>
      </c>
      <c r="AK16" s="453" t="str">
        <f t="shared" si="27"/>
        <v/>
      </c>
      <c r="AL16" s="146" t="str">
        <f t="shared" si="28"/>
        <v/>
      </c>
      <c r="AM16" s="146" t="str">
        <f t="shared" si="35"/>
        <v/>
      </c>
      <c r="AN16" s="146" t="str">
        <f t="shared" si="5"/>
        <v/>
      </c>
      <c r="AO16" s="146" t="str">
        <f t="shared" si="6"/>
        <v/>
      </c>
      <c r="AP16" s="453" t="str">
        <f t="shared" si="7"/>
        <v/>
      </c>
      <c r="AQ16" s="140">
        <f t="shared" si="29"/>
        <v>0</v>
      </c>
      <c r="AR16" s="141" t="str">
        <f t="shared" si="8"/>
        <v/>
      </c>
      <c r="AS16" s="142">
        <f t="shared" si="30"/>
        <v>0</v>
      </c>
      <c r="AT16" s="141" t="str">
        <f t="shared" si="9"/>
        <v/>
      </c>
      <c r="AU16" s="143">
        <f t="shared" si="10"/>
        <v>0</v>
      </c>
      <c r="AV16" s="144" t="str">
        <f t="shared" si="11"/>
        <v/>
      </c>
      <c r="AW16" s="143" t="b">
        <f t="shared" si="12"/>
        <v>0</v>
      </c>
      <c r="AX16" s="145" t="b">
        <f t="shared" si="13"/>
        <v>0</v>
      </c>
      <c r="AY16" s="143" t="b">
        <f t="shared" si="14"/>
        <v>0</v>
      </c>
      <c r="AZ16" s="145" t="b">
        <f t="shared" si="15"/>
        <v>0</v>
      </c>
      <c r="BA16" s="453" t="b">
        <f t="shared" si="16"/>
        <v>0</v>
      </c>
      <c r="BB16" s="453" t="b">
        <f t="shared" si="17"/>
        <v>0</v>
      </c>
      <c r="BC16" s="143" t="b">
        <f t="shared" si="18"/>
        <v>0</v>
      </c>
      <c r="BD16" s="146" t="b">
        <f t="shared" si="31"/>
        <v>0</v>
      </c>
      <c r="BE16" s="145" t="b">
        <f t="shared" si="19"/>
        <v>0</v>
      </c>
      <c r="BF16" s="147" t="b">
        <f t="shared" si="20"/>
        <v>0</v>
      </c>
      <c r="BG16" s="453" t="b">
        <f t="shared" si="21"/>
        <v>0</v>
      </c>
      <c r="BH16" s="453" t="str">
        <f t="shared" si="32"/>
        <v/>
      </c>
      <c r="BI16" s="453" t="str">
        <f t="shared" si="22"/>
        <v/>
      </c>
      <c r="BJ16" s="453" t="str">
        <f t="shared" si="23"/>
        <v/>
      </c>
      <c r="BK16" s="453" t="str">
        <f t="shared" si="24"/>
        <v/>
      </c>
      <c r="BL16" s="148" t="str">
        <f t="shared" si="33"/>
        <v/>
      </c>
      <c r="BM16" s="453" t="str">
        <f t="shared" si="25"/>
        <v/>
      </c>
      <c r="BN16" s="453" t="str">
        <f t="shared" si="26"/>
        <v/>
      </c>
      <c r="BO16" s="155"/>
      <c r="BP16" s="160"/>
    </row>
    <row r="17" spans="2:73" s="94" customFormat="1" ht="12.95" customHeight="1" x14ac:dyDescent="0.2">
      <c r="B17" s="151">
        <f>IF(ISNA(Z17),"",IF(OR(Z17=1,Z17=2),"    ",MAX($B$8:B16)+1))</f>
        <v>6</v>
      </c>
      <c r="C17" s="904" t="str">
        <f t="shared" si="0"/>
        <v xml:space="preserve">      - Mission Preparation (10.0%)</v>
      </c>
      <c r="D17" s="904"/>
      <c r="E17" s="904"/>
      <c r="F17" s="905"/>
      <c r="G17" s="133">
        <f t="shared" si="1"/>
        <v>1</v>
      </c>
      <c r="H17" s="134" t="str">
        <f t="shared" si="2"/>
        <v>2</v>
      </c>
      <c r="I17" s="152">
        <f t="shared" si="2"/>
        <v>3</v>
      </c>
      <c r="J17" s="153"/>
      <c r="K17" s="154"/>
      <c r="L17" s="1015"/>
      <c r="M17" s="1016"/>
      <c r="N17" s="1016"/>
      <c r="O17" s="1016"/>
      <c r="P17" s="1016"/>
      <c r="Q17" s="1016"/>
      <c r="R17" s="1017"/>
      <c r="T17" s="99">
        <v>10</v>
      </c>
      <c r="U17" s="88" t="s">
        <v>498</v>
      </c>
      <c r="V17" s="453">
        <v>1</v>
      </c>
      <c r="W17" s="453">
        <v>2</v>
      </c>
      <c r="X17" s="453" t="s">
        <v>340</v>
      </c>
      <c r="Y17" s="453" t="s">
        <v>340</v>
      </c>
      <c r="Z17" s="146" t="s">
        <v>340</v>
      </c>
      <c r="AA17" s="146">
        <v>2</v>
      </c>
      <c r="AB17" s="146">
        <v>1</v>
      </c>
      <c r="AC17" s="453">
        <v>3</v>
      </c>
      <c r="AD17" s="453">
        <v>2</v>
      </c>
      <c r="AE17" s="453">
        <v>0</v>
      </c>
      <c r="AF17" s="453" t="b">
        <v>1</v>
      </c>
      <c r="AG17" s="453">
        <f t="shared" si="3"/>
        <v>2</v>
      </c>
      <c r="AH17" s="453">
        <f t="shared" si="4"/>
        <v>1</v>
      </c>
      <c r="AI17" s="138">
        <f>IF(NOT(OR(Z17=1,Z17=2)),IF(AQ17&gt;0,$AR$44*AQ17/SUMIF($AQ$8:$AQ$39,"&gt;0"),IF(AU17&gt;0,$AV$44*AU17/SUMIF($AU$8:$AU$39,"&gt;0"),IF(AS17&gt;0,$AT$44*AS17/SUMIF($AS$8:$AS$39,"&gt;0"),""))),IF(SUMIF(AJ18:$AJ$39,"=" &amp; AJ17,AI18:$AI$39)=0,"",SUMIF(AJ18:$AJ$39,"=" &amp; AJ17,AI18:$AI$39)))</f>
        <v>0.1</v>
      </c>
      <c r="AJ17" s="139">
        <f t="shared" si="34"/>
        <v>3</v>
      </c>
      <c r="AK17" s="453">
        <f t="shared" si="27"/>
        <v>2</v>
      </c>
      <c r="AL17" s="146" t="str">
        <f t="shared" si="28"/>
        <v/>
      </c>
      <c r="AM17" s="146" t="str">
        <f t="shared" si="35"/>
        <v/>
      </c>
      <c r="AN17" s="146" t="str">
        <f t="shared" si="5"/>
        <v/>
      </c>
      <c r="AO17" s="146" t="str">
        <f t="shared" si="6"/>
        <v/>
      </c>
      <c r="AP17" s="453" t="b">
        <f t="shared" si="7"/>
        <v>1</v>
      </c>
      <c r="AQ17" s="140">
        <f t="shared" si="29"/>
        <v>2</v>
      </c>
      <c r="AR17" s="141" t="str">
        <f t="shared" si="8"/>
        <v/>
      </c>
      <c r="AS17" s="142">
        <f t="shared" si="30"/>
        <v>0</v>
      </c>
      <c r="AT17" s="141" t="str">
        <f t="shared" si="9"/>
        <v/>
      </c>
      <c r="AU17" s="143">
        <f t="shared" si="10"/>
        <v>0</v>
      </c>
      <c r="AV17" s="144" t="str">
        <f t="shared" si="11"/>
        <v/>
      </c>
      <c r="AW17" s="143" t="b">
        <f t="shared" si="12"/>
        <v>0</v>
      </c>
      <c r="AX17" s="145" t="b">
        <f t="shared" si="13"/>
        <v>1</v>
      </c>
      <c r="AY17" s="143" t="b">
        <f t="shared" si="14"/>
        <v>0</v>
      </c>
      <c r="AZ17" s="145" t="b">
        <f t="shared" si="15"/>
        <v>0</v>
      </c>
      <c r="BA17" s="453" t="b">
        <f t="shared" si="16"/>
        <v>0</v>
      </c>
      <c r="BB17" s="453" t="b">
        <f t="shared" si="17"/>
        <v>0</v>
      </c>
      <c r="BC17" s="143" t="b">
        <f t="shared" si="18"/>
        <v>0</v>
      </c>
      <c r="BD17" s="146" t="b">
        <f t="shared" si="31"/>
        <v>0</v>
      </c>
      <c r="BE17" s="145" t="b">
        <f t="shared" si="19"/>
        <v>0</v>
      </c>
      <c r="BF17" s="147" t="b">
        <f t="shared" si="20"/>
        <v>0</v>
      </c>
      <c r="BG17" s="453" t="b">
        <f t="shared" si="21"/>
        <v>1</v>
      </c>
      <c r="BH17" s="453">
        <f t="shared" si="32"/>
        <v>1</v>
      </c>
      <c r="BI17" s="453">
        <f t="shared" si="22"/>
        <v>2</v>
      </c>
      <c r="BJ17" s="453" t="str">
        <f t="shared" si="23"/>
        <v>2</v>
      </c>
      <c r="BK17" s="453">
        <f t="shared" si="24"/>
        <v>3</v>
      </c>
      <c r="BL17" s="148">
        <f t="shared" si="33"/>
        <v>1</v>
      </c>
      <c r="BM17" s="453">
        <f t="shared" si="25"/>
        <v>2</v>
      </c>
      <c r="BN17" s="453">
        <f t="shared" si="26"/>
        <v>3</v>
      </c>
      <c r="BO17" s="90"/>
    </row>
    <row r="18" spans="2:73" s="94" customFormat="1" ht="12.95" customHeight="1" x14ac:dyDescent="0.2">
      <c r="B18" s="151">
        <f>IF(ISNA(Z18),"",IF(OR(Z18=1,Z18=2),"    ",MAX($B$8:B17)+1))</f>
        <v>7</v>
      </c>
      <c r="C18" s="904" t="str">
        <f t="shared" si="0"/>
        <v xml:space="preserve">      - Test SA/Adaptation (10.0%)</v>
      </c>
      <c r="D18" s="904"/>
      <c r="E18" s="904"/>
      <c r="F18" s="905"/>
      <c r="G18" s="133">
        <f t="shared" si="1"/>
        <v>1</v>
      </c>
      <c r="H18" s="134" t="str">
        <f t="shared" si="2"/>
        <v>2</v>
      </c>
      <c r="I18" s="152">
        <f t="shared" si="2"/>
        <v>3</v>
      </c>
      <c r="J18" s="153"/>
      <c r="K18" s="154"/>
      <c r="L18" s="1015"/>
      <c r="M18" s="1016"/>
      <c r="N18" s="1016"/>
      <c r="O18" s="1016"/>
      <c r="P18" s="1016"/>
      <c r="Q18" s="1016"/>
      <c r="R18" s="1017"/>
      <c r="T18" s="99">
        <v>11</v>
      </c>
      <c r="U18" s="88" t="s">
        <v>695</v>
      </c>
      <c r="V18" s="453">
        <v>1</v>
      </c>
      <c r="W18" s="453">
        <v>2</v>
      </c>
      <c r="X18" s="453" t="s">
        <v>340</v>
      </c>
      <c r="Y18" s="453" t="s">
        <v>340</v>
      </c>
      <c r="Z18" s="146" t="s">
        <v>340</v>
      </c>
      <c r="AA18" s="146">
        <v>2</v>
      </c>
      <c r="AB18" s="146">
        <v>1</v>
      </c>
      <c r="AC18" s="453">
        <v>3</v>
      </c>
      <c r="AD18" s="453">
        <v>2</v>
      </c>
      <c r="AE18" s="453">
        <v>0</v>
      </c>
      <c r="AF18" s="453" t="b">
        <v>1</v>
      </c>
      <c r="AG18" s="453">
        <f t="shared" si="3"/>
        <v>2</v>
      </c>
      <c r="AH18" s="453">
        <f t="shared" si="4"/>
        <v>1</v>
      </c>
      <c r="AI18" s="138">
        <f>IF(NOT(OR(Z18=1,Z18=2)),IF(AQ18&gt;0,$AR$44*AQ18/SUMIF($AQ$8:$AQ$39,"&gt;0"),IF(AU18&gt;0,$AV$44*AU18/SUMIF($AU$8:$AU$39,"&gt;0"),IF(AS18&gt;0,$AT$44*AS18/SUMIF($AS$8:$AS$39,"&gt;0"),""))),IF(SUMIF(AJ19:$AJ$39,"=" &amp; AJ18,AI19:$AI$39)=0,"",SUMIF(AJ19:$AJ$39,"=" &amp; AJ18,AI19:$AI$39)))</f>
        <v>0.1</v>
      </c>
      <c r="AJ18" s="139">
        <f t="shared" si="34"/>
        <v>3</v>
      </c>
      <c r="AK18" s="453">
        <f t="shared" si="27"/>
        <v>2</v>
      </c>
      <c r="AL18" s="146" t="str">
        <f t="shared" si="28"/>
        <v/>
      </c>
      <c r="AM18" s="146" t="str">
        <f t="shared" si="35"/>
        <v/>
      </c>
      <c r="AN18" s="146" t="str">
        <f t="shared" si="5"/>
        <v/>
      </c>
      <c r="AO18" s="146" t="str">
        <f t="shared" si="6"/>
        <v/>
      </c>
      <c r="AP18" s="453" t="b">
        <f t="shared" si="7"/>
        <v>1</v>
      </c>
      <c r="AQ18" s="140">
        <f t="shared" si="29"/>
        <v>2</v>
      </c>
      <c r="AR18" s="141" t="str">
        <f t="shared" si="8"/>
        <v/>
      </c>
      <c r="AS18" s="142">
        <f t="shared" si="30"/>
        <v>0</v>
      </c>
      <c r="AT18" s="141" t="str">
        <f t="shared" si="9"/>
        <v/>
      </c>
      <c r="AU18" s="143">
        <f t="shared" si="10"/>
        <v>0</v>
      </c>
      <c r="AV18" s="144" t="str">
        <f t="shared" si="11"/>
        <v/>
      </c>
      <c r="AW18" s="143" t="b">
        <f t="shared" si="12"/>
        <v>0</v>
      </c>
      <c r="AX18" s="145" t="b">
        <f t="shared" si="13"/>
        <v>1</v>
      </c>
      <c r="AY18" s="143" t="b">
        <f t="shared" si="14"/>
        <v>0</v>
      </c>
      <c r="AZ18" s="145" t="b">
        <f t="shared" si="15"/>
        <v>0</v>
      </c>
      <c r="BA18" s="453" t="b">
        <f t="shared" si="16"/>
        <v>0</v>
      </c>
      <c r="BB18" s="453" t="b">
        <f t="shared" si="17"/>
        <v>0</v>
      </c>
      <c r="BC18" s="143" t="b">
        <f t="shared" si="18"/>
        <v>0</v>
      </c>
      <c r="BD18" s="146" t="b">
        <f t="shared" si="31"/>
        <v>0</v>
      </c>
      <c r="BE18" s="145" t="b">
        <f t="shared" si="19"/>
        <v>0</v>
      </c>
      <c r="BF18" s="147" t="b">
        <f t="shared" si="20"/>
        <v>0</v>
      </c>
      <c r="BG18" s="453" t="b">
        <f t="shared" si="21"/>
        <v>1</v>
      </c>
      <c r="BH18" s="453">
        <f t="shared" si="32"/>
        <v>1</v>
      </c>
      <c r="BI18" s="453">
        <f t="shared" si="22"/>
        <v>2</v>
      </c>
      <c r="BJ18" s="453" t="str">
        <f t="shared" si="23"/>
        <v>2</v>
      </c>
      <c r="BK18" s="453">
        <f t="shared" si="24"/>
        <v>3</v>
      </c>
      <c r="BL18" s="148">
        <f t="shared" si="33"/>
        <v>1</v>
      </c>
      <c r="BM18" s="453">
        <f t="shared" si="25"/>
        <v>2</v>
      </c>
      <c r="BN18" s="453">
        <f t="shared" si="26"/>
        <v>3</v>
      </c>
      <c r="BO18" s="300"/>
      <c r="BP18" s="160" t="s">
        <v>355</v>
      </c>
      <c r="BQ18" s="161"/>
      <c r="BR18" s="161"/>
      <c r="BS18" s="161"/>
      <c r="BT18" s="161"/>
      <c r="BU18" s="161"/>
    </row>
    <row r="19" spans="2:73" s="94" customFormat="1" ht="12.95" customHeight="1" x14ac:dyDescent="0.2">
      <c r="B19" s="151">
        <f>IF(ISNA(Z19),"",IF(OR(Z19=1,Z19=2),"    ",MAX($B$8:B18)+1))</f>
        <v>8</v>
      </c>
      <c r="C19" s="904" t="str">
        <f t="shared" si="0"/>
        <v xml:space="preserve">      - Communication (10.0%)</v>
      </c>
      <c r="D19" s="904"/>
      <c r="E19" s="904"/>
      <c r="F19" s="905"/>
      <c r="G19" s="133">
        <f t="shared" si="1"/>
        <v>1</v>
      </c>
      <c r="H19" s="134" t="str">
        <f t="shared" si="2"/>
        <v>2</v>
      </c>
      <c r="I19" s="152">
        <f t="shared" si="2"/>
        <v>3</v>
      </c>
      <c r="J19" s="153"/>
      <c r="K19" s="154"/>
      <c r="L19" s="1015"/>
      <c r="M19" s="1016"/>
      <c r="N19" s="1016"/>
      <c r="O19" s="1016"/>
      <c r="P19" s="1016"/>
      <c r="Q19" s="1016"/>
      <c r="R19" s="1017"/>
      <c r="T19" s="99">
        <v>12</v>
      </c>
      <c r="U19" s="88" t="s">
        <v>500</v>
      </c>
      <c r="V19" s="453">
        <v>1</v>
      </c>
      <c r="W19" s="453">
        <v>2</v>
      </c>
      <c r="X19" s="453" t="s">
        <v>340</v>
      </c>
      <c r="Y19" s="453" t="s">
        <v>340</v>
      </c>
      <c r="Z19" s="146" t="s">
        <v>340</v>
      </c>
      <c r="AA19" s="146">
        <v>2</v>
      </c>
      <c r="AB19" s="146">
        <v>1</v>
      </c>
      <c r="AC19" s="453">
        <v>3</v>
      </c>
      <c r="AD19" s="453">
        <v>2</v>
      </c>
      <c r="AE19" s="453">
        <v>0</v>
      </c>
      <c r="AF19" s="453" t="b">
        <v>1</v>
      </c>
      <c r="AG19" s="453">
        <f t="shared" si="3"/>
        <v>2</v>
      </c>
      <c r="AH19" s="453">
        <f t="shared" si="4"/>
        <v>1</v>
      </c>
      <c r="AI19" s="138">
        <f>IF(NOT(OR(Z19=1,Z19=2)),IF(AQ19&gt;0,$AR$44*AQ19/SUMIF($AQ$8:$AQ$39,"&gt;0"),IF(AU19&gt;0,$AV$44*AU19/SUMIF($AU$8:$AU$39,"&gt;0"),IF(AS19&gt;0,$AT$44*AS19/SUMIF($AS$8:$AS$39,"&gt;0"),""))),IF(SUMIF(AJ20:$AJ$39,"=" &amp; AJ19,AI20:$AI$39)=0,"",SUMIF(AJ20:$AJ$39,"=" &amp; AJ19,AI20:$AI$39)))</f>
        <v>0.1</v>
      </c>
      <c r="AJ19" s="139">
        <f t="shared" si="34"/>
        <v>3</v>
      </c>
      <c r="AK19" s="453">
        <f t="shared" si="27"/>
        <v>2</v>
      </c>
      <c r="AL19" s="146" t="str">
        <f t="shared" si="28"/>
        <v/>
      </c>
      <c r="AM19" s="146" t="str">
        <f t="shared" si="35"/>
        <v/>
      </c>
      <c r="AN19" s="146" t="str">
        <f t="shared" si="5"/>
        <v/>
      </c>
      <c r="AO19" s="146" t="str">
        <f t="shared" si="6"/>
        <v/>
      </c>
      <c r="AP19" s="453" t="b">
        <f t="shared" si="7"/>
        <v>1</v>
      </c>
      <c r="AQ19" s="140">
        <f t="shared" si="29"/>
        <v>2</v>
      </c>
      <c r="AR19" s="141" t="str">
        <f t="shared" si="8"/>
        <v/>
      </c>
      <c r="AS19" s="142">
        <f t="shared" si="30"/>
        <v>0</v>
      </c>
      <c r="AT19" s="141" t="str">
        <f t="shared" si="9"/>
        <v/>
      </c>
      <c r="AU19" s="143">
        <f t="shared" si="10"/>
        <v>0</v>
      </c>
      <c r="AV19" s="144" t="str">
        <f t="shared" si="11"/>
        <v/>
      </c>
      <c r="AW19" s="143" t="b">
        <f t="shared" si="12"/>
        <v>0</v>
      </c>
      <c r="AX19" s="145" t="b">
        <f t="shared" si="13"/>
        <v>1</v>
      </c>
      <c r="AY19" s="143" t="b">
        <f t="shared" si="14"/>
        <v>0</v>
      </c>
      <c r="AZ19" s="145" t="b">
        <f t="shared" si="15"/>
        <v>0</v>
      </c>
      <c r="BA19" s="453" t="b">
        <f t="shared" si="16"/>
        <v>0</v>
      </c>
      <c r="BB19" s="453" t="b">
        <f t="shared" si="17"/>
        <v>0</v>
      </c>
      <c r="BC19" s="143" t="b">
        <f t="shared" si="18"/>
        <v>0</v>
      </c>
      <c r="BD19" s="146" t="b">
        <f t="shared" si="31"/>
        <v>0</v>
      </c>
      <c r="BE19" s="145" t="b">
        <f t="shared" si="19"/>
        <v>0</v>
      </c>
      <c r="BF19" s="147" t="b">
        <f t="shared" si="20"/>
        <v>0</v>
      </c>
      <c r="BG19" s="453" t="b">
        <f t="shared" si="21"/>
        <v>1</v>
      </c>
      <c r="BH19" s="453">
        <f t="shared" si="32"/>
        <v>1</v>
      </c>
      <c r="BI19" s="453">
        <f t="shared" si="22"/>
        <v>2</v>
      </c>
      <c r="BJ19" s="453" t="str">
        <f t="shared" si="23"/>
        <v>2</v>
      </c>
      <c r="BK19" s="453">
        <f t="shared" si="24"/>
        <v>3</v>
      </c>
      <c r="BL19" s="148">
        <f t="shared" si="33"/>
        <v>1</v>
      </c>
      <c r="BM19" s="453">
        <f t="shared" si="25"/>
        <v>2</v>
      </c>
      <c r="BN19" s="453">
        <f t="shared" si="26"/>
        <v>3</v>
      </c>
      <c r="BO19" s="300"/>
      <c r="BP19" s="150"/>
      <c r="BQ19" s="935" t="s">
        <v>356</v>
      </c>
      <c r="BR19" s="935"/>
      <c r="BS19" s="935"/>
      <c r="BT19" s="935"/>
      <c r="BU19" s="935"/>
    </row>
    <row r="20" spans="2:73" s="94" customFormat="1" ht="12.95" customHeight="1" x14ac:dyDescent="0.2">
      <c r="B20" s="151">
        <f>IF(ISNA(Z20),"",IF(OR(Z20=1,Z20=2),"    ",MAX($B$8:B19)+1))</f>
        <v>9</v>
      </c>
      <c r="C20" s="904" t="str">
        <f t="shared" si="0"/>
        <v xml:space="preserve">      - Teamwork/CRM (10.0%)</v>
      </c>
      <c r="D20" s="904"/>
      <c r="E20" s="904"/>
      <c r="F20" s="905"/>
      <c r="G20" s="133">
        <f t="shared" si="1"/>
        <v>1</v>
      </c>
      <c r="H20" s="134" t="str">
        <f t="shared" si="2"/>
        <v>2</v>
      </c>
      <c r="I20" s="152">
        <f t="shared" si="2"/>
        <v>3</v>
      </c>
      <c r="J20" s="157"/>
      <c r="K20" s="154"/>
      <c r="L20" s="1015"/>
      <c r="M20" s="1016"/>
      <c r="N20" s="1016"/>
      <c r="O20" s="1016"/>
      <c r="P20" s="1016"/>
      <c r="Q20" s="1016"/>
      <c r="R20" s="1017"/>
      <c r="T20" s="99">
        <v>13</v>
      </c>
      <c r="U20" s="88" t="s">
        <v>696</v>
      </c>
      <c r="V20" s="453">
        <v>1</v>
      </c>
      <c r="W20" s="453">
        <v>2</v>
      </c>
      <c r="X20" s="453" t="s">
        <v>340</v>
      </c>
      <c r="Y20" s="453" t="s">
        <v>340</v>
      </c>
      <c r="Z20" s="146" t="s">
        <v>340</v>
      </c>
      <c r="AA20" s="146">
        <v>2</v>
      </c>
      <c r="AB20" s="146">
        <v>1</v>
      </c>
      <c r="AC20" s="453">
        <v>3</v>
      </c>
      <c r="AD20" s="453">
        <v>2</v>
      </c>
      <c r="AE20" s="453">
        <v>0</v>
      </c>
      <c r="AF20" s="453" t="b">
        <v>1</v>
      </c>
      <c r="AG20" s="453">
        <f t="shared" si="3"/>
        <v>2</v>
      </c>
      <c r="AH20" s="453">
        <f t="shared" si="4"/>
        <v>1</v>
      </c>
      <c r="AI20" s="138">
        <f>IF(NOT(OR(Z20=1,Z20=2)),IF(AQ20&gt;0,$AR$44*AQ20/SUMIF($AQ$8:$AQ$39,"&gt;0"),IF(AU20&gt;0,$AV$44*AU20/SUMIF($AU$8:$AU$39,"&gt;0"),IF(AS20&gt;0,$AT$44*AS20/SUMIF($AS$8:$AS$39,"&gt;0"),""))),IF(SUMIF(AJ21:$AJ$39,"=" &amp; AJ20,AI21:$AI$39)=0,"",SUMIF(AJ21:$AJ$39,"=" &amp; AJ20,AI21:$AI$39)))</f>
        <v>0.1</v>
      </c>
      <c r="AJ20" s="139">
        <f t="shared" si="34"/>
        <v>3</v>
      </c>
      <c r="AK20" s="453">
        <f t="shared" si="27"/>
        <v>2</v>
      </c>
      <c r="AL20" s="146" t="str">
        <f t="shared" si="28"/>
        <v/>
      </c>
      <c r="AM20" s="146" t="str">
        <f t="shared" si="35"/>
        <v/>
      </c>
      <c r="AN20" s="146" t="str">
        <f t="shared" si="5"/>
        <v/>
      </c>
      <c r="AO20" s="146" t="str">
        <f t="shared" si="6"/>
        <v/>
      </c>
      <c r="AP20" s="453" t="b">
        <f t="shared" si="7"/>
        <v>1</v>
      </c>
      <c r="AQ20" s="140">
        <f t="shared" si="29"/>
        <v>2</v>
      </c>
      <c r="AR20" s="141" t="str">
        <f t="shared" si="8"/>
        <v/>
      </c>
      <c r="AS20" s="142">
        <f t="shared" si="30"/>
        <v>0</v>
      </c>
      <c r="AT20" s="141" t="str">
        <f t="shared" si="9"/>
        <v/>
      </c>
      <c r="AU20" s="143">
        <f t="shared" si="10"/>
        <v>0</v>
      </c>
      <c r="AV20" s="144" t="str">
        <f t="shared" si="11"/>
        <v/>
      </c>
      <c r="AW20" s="143" t="b">
        <f t="shared" si="12"/>
        <v>0</v>
      </c>
      <c r="AX20" s="145" t="b">
        <f t="shared" si="13"/>
        <v>1</v>
      </c>
      <c r="AY20" s="143" t="b">
        <f t="shared" si="14"/>
        <v>0</v>
      </c>
      <c r="AZ20" s="145" t="b">
        <f t="shared" si="15"/>
        <v>0</v>
      </c>
      <c r="BA20" s="453" t="b">
        <f t="shared" si="16"/>
        <v>0</v>
      </c>
      <c r="BB20" s="453" t="b">
        <f t="shared" si="17"/>
        <v>0</v>
      </c>
      <c r="BC20" s="143" t="b">
        <f t="shared" si="18"/>
        <v>0</v>
      </c>
      <c r="BD20" s="146" t="b">
        <f t="shared" si="31"/>
        <v>0</v>
      </c>
      <c r="BE20" s="145" t="b">
        <f t="shared" si="19"/>
        <v>0</v>
      </c>
      <c r="BF20" s="147" t="b">
        <f t="shared" si="20"/>
        <v>0</v>
      </c>
      <c r="BG20" s="453" t="b">
        <f t="shared" si="21"/>
        <v>1</v>
      </c>
      <c r="BH20" s="453">
        <f t="shared" si="32"/>
        <v>1</v>
      </c>
      <c r="BI20" s="453">
        <f t="shared" si="22"/>
        <v>2</v>
      </c>
      <c r="BJ20" s="453" t="str">
        <f t="shared" si="23"/>
        <v>2</v>
      </c>
      <c r="BK20" s="453">
        <f t="shared" si="24"/>
        <v>3</v>
      </c>
      <c r="BL20" s="148">
        <f t="shared" si="33"/>
        <v>1</v>
      </c>
      <c r="BM20" s="453">
        <f t="shared" si="25"/>
        <v>2</v>
      </c>
      <c r="BN20" s="453">
        <f t="shared" si="26"/>
        <v>3</v>
      </c>
      <c r="BO20" s="300"/>
      <c r="BP20" s="300"/>
      <c r="BQ20" s="300">
        <v>0</v>
      </c>
      <c r="BR20" s="300">
        <v>1</v>
      </c>
      <c r="BS20" s="300">
        <v>2</v>
      </c>
      <c r="BT20" s="300">
        <v>3</v>
      </c>
      <c r="BU20" s="300">
        <v>4</v>
      </c>
    </row>
    <row r="21" spans="2:73" s="94" customFormat="1" ht="12.95" customHeight="1" x14ac:dyDescent="0.2">
      <c r="B21" s="151" t="str">
        <f>IF(ISNA(Z21),"",IF(OR(Z21=1,Z21=2),"    ",MAX($B$8:B20)+1))</f>
        <v xml:space="preserve">    </v>
      </c>
      <c r="C21" s="904" t="str">
        <f t="shared" si="0"/>
        <v>Test Execution (50.0%)</v>
      </c>
      <c r="D21" s="904"/>
      <c r="E21" s="904"/>
      <c r="F21" s="905"/>
      <c r="G21" s="133" t="str">
        <f t="shared" si="1"/>
        <v/>
      </c>
      <c r="H21" s="134" t="str">
        <f t="shared" si="2"/>
        <v/>
      </c>
      <c r="I21" s="152" t="str">
        <f t="shared" si="2"/>
        <v/>
      </c>
      <c r="J21" s="480"/>
      <c r="K21" s="159"/>
      <c r="L21" s="1015"/>
      <c r="M21" s="1016"/>
      <c r="N21" s="1016"/>
      <c r="O21" s="1016"/>
      <c r="P21" s="1016"/>
      <c r="Q21" s="1016"/>
      <c r="R21" s="1017"/>
      <c r="T21" s="99">
        <v>14</v>
      </c>
      <c r="U21" s="88" t="s">
        <v>623</v>
      </c>
      <c r="V21" s="453" t="s">
        <v>340</v>
      </c>
      <c r="W21" s="453" t="s">
        <v>340</v>
      </c>
      <c r="X21" s="453" t="s">
        <v>340</v>
      </c>
      <c r="Y21" s="453" t="s">
        <v>340</v>
      </c>
      <c r="Z21" s="146">
        <v>2</v>
      </c>
      <c r="AA21" s="146">
        <v>1</v>
      </c>
      <c r="AB21" s="146">
        <v>1</v>
      </c>
      <c r="AC21" s="453" t="s">
        <v>340</v>
      </c>
      <c r="AD21" s="453" t="s">
        <v>340</v>
      </c>
      <c r="AE21" s="453" t="s">
        <v>340</v>
      </c>
      <c r="AF21" s="453" t="s">
        <v>340</v>
      </c>
      <c r="AG21" s="453" t="str">
        <f t="shared" si="3"/>
        <v/>
      </c>
      <c r="AH21" s="453" t="str">
        <f t="shared" si="4"/>
        <v/>
      </c>
      <c r="AI21" s="138">
        <f>IF(NOT(OR(Z21=1,Z21=2)),IF(AQ21&gt;0,$AR$44*AQ21/SUMIF($AQ$8:$AQ$39,"&gt;0"),IF(AU21&gt;0,$AV$44*AU21/SUMIF($AU$8:$AU$39,"&gt;0"),IF(AS21&gt;0,$AT$44*AS21/SUMIF($AS$8:$AS$39,"&gt;0"),""))),IF(SUMIF(AJ22:$AJ$39,"=" &amp; AJ21,AI22:$AI$39)=0,"",SUMIF(AJ22:$AJ$39,"=" &amp; AJ21,AI22:$AI$39)))</f>
        <v>0.5</v>
      </c>
      <c r="AJ21" s="139">
        <f t="shared" si="34"/>
        <v>4</v>
      </c>
      <c r="AK21" s="453" t="str">
        <f t="shared" si="27"/>
        <v/>
      </c>
      <c r="AL21" s="146" t="str">
        <f t="shared" si="28"/>
        <v/>
      </c>
      <c r="AM21" s="146" t="str">
        <f t="shared" si="35"/>
        <v/>
      </c>
      <c r="AN21" s="146" t="str">
        <f t="shared" si="5"/>
        <v/>
      </c>
      <c r="AO21" s="146" t="str">
        <f t="shared" si="6"/>
        <v/>
      </c>
      <c r="AP21" s="453" t="str">
        <f t="shared" si="7"/>
        <v/>
      </c>
      <c r="AQ21" s="140">
        <f t="shared" si="29"/>
        <v>0</v>
      </c>
      <c r="AR21" s="141" t="str">
        <f t="shared" si="8"/>
        <v/>
      </c>
      <c r="AS21" s="142">
        <f t="shared" si="30"/>
        <v>0</v>
      </c>
      <c r="AT21" s="141" t="str">
        <f t="shared" si="9"/>
        <v/>
      </c>
      <c r="AU21" s="143">
        <f t="shared" si="10"/>
        <v>0</v>
      </c>
      <c r="AV21" s="144" t="str">
        <f t="shared" si="11"/>
        <v/>
      </c>
      <c r="AW21" s="143" t="b">
        <f t="shared" si="12"/>
        <v>0</v>
      </c>
      <c r="AX21" s="145" t="b">
        <f t="shared" si="13"/>
        <v>0</v>
      </c>
      <c r="AY21" s="143" t="b">
        <f t="shared" si="14"/>
        <v>0</v>
      </c>
      <c r="AZ21" s="145" t="b">
        <f t="shared" si="15"/>
        <v>0</v>
      </c>
      <c r="BA21" s="453" t="b">
        <f t="shared" si="16"/>
        <v>0</v>
      </c>
      <c r="BB21" s="453" t="b">
        <f t="shared" si="17"/>
        <v>0</v>
      </c>
      <c r="BC21" s="143" t="b">
        <f t="shared" si="18"/>
        <v>0</v>
      </c>
      <c r="BD21" s="146" t="b">
        <f t="shared" si="31"/>
        <v>0</v>
      </c>
      <c r="BE21" s="145" t="b">
        <f t="shared" si="19"/>
        <v>0</v>
      </c>
      <c r="BF21" s="147" t="b">
        <f t="shared" si="20"/>
        <v>0</v>
      </c>
      <c r="BG21" s="453" t="b">
        <f t="shared" si="21"/>
        <v>0</v>
      </c>
      <c r="BH21" s="453" t="str">
        <f t="shared" si="32"/>
        <v/>
      </c>
      <c r="BI21" s="453" t="str">
        <f t="shared" si="22"/>
        <v/>
      </c>
      <c r="BJ21" s="453" t="str">
        <f t="shared" si="23"/>
        <v/>
      </c>
      <c r="BK21" s="453" t="str">
        <f t="shared" si="24"/>
        <v/>
      </c>
      <c r="BL21" s="148" t="str">
        <f t="shared" si="33"/>
        <v/>
      </c>
      <c r="BM21" s="453" t="str">
        <f t="shared" si="25"/>
        <v/>
      </c>
      <c r="BN21" s="453" t="str">
        <f t="shared" si="26"/>
        <v/>
      </c>
      <c r="BO21" s="936" t="s">
        <v>358</v>
      </c>
      <c r="BP21" s="300" t="s">
        <v>359</v>
      </c>
      <c r="BQ21" s="162">
        <f t="shared" ref="BQ21:BU29" si="36">AR50</f>
        <v>0.7</v>
      </c>
      <c r="BR21" s="163">
        <f t="shared" si="36"/>
        <v>0.9</v>
      </c>
      <c r="BS21" s="163">
        <f t="shared" si="36"/>
        <v>0.93330000000000002</v>
      </c>
      <c r="BT21" s="163">
        <f t="shared" si="36"/>
        <v>0.9667</v>
      </c>
      <c r="BU21" s="164">
        <f t="shared" si="36"/>
        <v>1</v>
      </c>
    </row>
    <row r="22" spans="2:73" s="94" customFormat="1" ht="12.95" customHeight="1" x14ac:dyDescent="0.2">
      <c r="B22" s="151">
        <f>IF(ISNA(Z22),"",IF(OR(Z22=1,Z22=2),"    ",MAX($B$8:B21)+1))</f>
        <v>10</v>
      </c>
      <c r="C22" s="904" t="str">
        <f t="shared" si="0"/>
        <v xml:space="preserve">      - LCO FTT Execution (15.0%)</v>
      </c>
      <c r="D22" s="904"/>
      <c r="E22" s="904"/>
      <c r="F22" s="905"/>
      <c r="G22" s="133">
        <f t="shared" si="1"/>
        <v>1</v>
      </c>
      <c r="H22" s="134" t="str">
        <f t="shared" si="2"/>
        <v>2</v>
      </c>
      <c r="I22" s="152">
        <f t="shared" si="2"/>
        <v>3</v>
      </c>
      <c r="J22" s="153"/>
      <c r="K22" s="154"/>
      <c r="L22" s="1015"/>
      <c r="M22" s="1016"/>
      <c r="N22" s="1016"/>
      <c r="O22" s="1016"/>
      <c r="P22" s="1016"/>
      <c r="Q22" s="1016"/>
      <c r="R22" s="1017"/>
      <c r="T22" s="99">
        <v>15</v>
      </c>
      <c r="U22" s="88" t="s">
        <v>697</v>
      </c>
      <c r="V22" s="453">
        <v>1</v>
      </c>
      <c r="W22" s="453">
        <v>3</v>
      </c>
      <c r="X22" s="453" t="s">
        <v>340</v>
      </c>
      <c r="Y22" s="453" t="s">
        <v>340</v>
      </c>
      <c r="Z22" s="146" t="s">
        <v>340</v>
      </c>
      <c r="AA22" s="146">
        <v>2</v>
      </c>
      <c r="AB22" s="146">
        <v>1</v>
      </c>
      <c r="AC22" s="453">
        <v>3</v>
      </c>
      <c r="AD22" s="453">
        <v>2</v>
      </c>
      <c r="AE22" s="453">
        <v>0</v>
      </c>
      <c r="AF22" s="453" t="b">
        <v>1</v>
      </c>
      <c r="AG22" s="453">
        <f t="shared" si="3"/>
        <v>2</v>
      </c>
      <c r="AH22" s="453">
        <f t="shared" si="4"/>
        <v>1</v>
      </c>
      <c r="AI22" s="138">
        <f>IF(NOT(OR(Z22=1,Z22=2)),IF(AQ22&gt;0,$AR$44*AQ22/SUMIF($AQ$8:$AQ$39,"&gt;0"),IF(AU22&gt;0,$AV$44*AU22/SUMIF($AU$8:$AU$39,"&gt;0"),IF(AS22&gt;0,$AT$44*AS22/SUMIF($AS$8:$AS$39,"&gt;0"),""))),IF(SUMIF(AJ23:$AJ$39,"=" &amp; AJ22,AI23:$AI$39)=0,"",SUMIF(AJ23:$AJ$39,"=" &amp; AJ22,AI23:$AI$39)))</f>
        <v>0.15000000000000002</v>
      </c>
      <c r="AJ22" s="139">
        <f t="shared" si="34"/>
        <v>4</v>
      </c>
      <c r="AK22" s="453">
        <f t="shared" si="27"/>
        <v>2</v>
      </c>
      <c r="AL22" s="146" t="str">
        <f t="shared" si="28"/>
        <v/>
      </c>
      <c r="AM22" s="146" t="str">
        <f t="shared" si="35"/>
        <v/>
      </c>
      <c r="AN22" s="146" t="str">
        <f t="shared" si="5"/>
        <v/>
      </c>
      <c r="AO22" s="146" t="str">
        <f t="shared" si="6"/>
        <v/>
      </c>
      <c r="AP22" s="453" t="b">
        <f t="shared" si="7"/>
        <v>1</v>
      </c>
      <c r="AQ22" s="140">
        <f t="shared" si="29"/>
        <v>3</v>
      </c>
      <c r="AR22" s="141" t="str">
        <f t="shared" si="8"/>
        <v/>
      </c>
      <c r="AS22" s="142">
        <f t="shared" si="30"/>
        <v>0</v>
      </c>
      <c r="AT22" s="141" t="str">
        <f t="shared" si="9"/>
        <v/>
      </c>
      <c r="AU22" s="143">
        <f t="shared" si="10"/>
        <v>0</v>
      </c>
      <c r="AV22" s="144" t="str">
        <f t="shared" si="11"/>
        <v/>
      </c>
      <c r="AW22" s="143" t="b">
        <f t="shared" si="12"/>
        <v>0</v>
      </c>
      <c r="AX22" s="145" t="b">
        <f t="shared" si="13"/>
        <v>1</v>
      </c>
      <c r="AY22" s="143" t="b">
        <f t="shared" si="14"/>
        <v>0</v>
      </c>
      <c r="AZ22" s="145" t="b">
        <f t="shared" si="15"/>
        <v>0</v>
      </c>
      <c r="BA22" s="453" t="b">
        <f t="shared" si="16"/>
        <v>0</v>
      </c>
      <c r="BB22" s="453" t="b">
        <f t="shared" si="17"/>
        <v>0</v>
      </c>
      <c r="BC22" s="143" t="b">
        <f t="shared" si="18"/>
        <v>0</v>
      </c>
      <c r="BD22" s="146" t="b">
        <f t="shared" si="31"/>
        <v>0</v>
      </c>
      <c r="BE22" s="145" t="b">
        <f>IF(OR(ISNA($Z22),K22&lt;&gt;"D"),FALSE,IF(OR(AND(H22="NG",J22=0),AND(H22&lt;&gt;"NG",NOT(OR(J22="NA",J22=0)))),TRUE,FALSE))</f>
        <v>0</v>
      </c>
      <c r="BF22" s="147" t="b">
        <f t="shared" si="20"/>
        <v>0</v>
      </c>
      <c r="BG22" s="453" t="b">
        <f>IF(ISNA($Z22),"NA",IF(OR(AZ22,AY22,AX22,AW22,AP22,BA22,BB22),TRUE,FALSE))</f>
        <v>1</v>
      </c>
      <c r="BH22" s="453">
        <f t="shared" si="32"/>
        <v>1</v>
      </c>
      <c r="BI22" s="453">
        <f t="shared" si="22"/>
        <v>2</v>
      </c>
      <c r="BJ22" s="453" t="str">
        <f t="shared" si="23"/>
        <v>2</v>
      </c>
      <c r="BK22" s="453">
        <f t="shared" si="24"/>
        <v>3</v>
      </c>
      <c r="BL22" s="148">
        <f t="shared" si="33"/>
        <v>1</v>
      </c>
      <c r="BM22" s="453">
        <f t="shared" si="25"/>
        <v>2</v>
      </c>
      <c r="BN22" s="453">
        <f t="shared" si="26"/>
        <v>3</v>
      </c>
      <c r="BO22" s="936"/>
      <c r="BP22" s="300" t="s">
        <v>360</v>
      </c>
      <c r="BQ22" s="165">
        <f t="shared" si="36"/>
        <v>0.7</v>
      </c>
      <c r="BR22" s="166">
        <f t="shared" si="36"/>
        <v>0.8</v>
      </c>
      <c r="BS22" s="166">
        <f t="shared" si="36"/>
        <v>0.9</v>
      </c>
      <c r="BT22" s="166">
        <f t="shared" si="36"/>
        <v>0.95</v>
      </c>
      <c r="BU22" s="167">
        <f t="shared" si="36"/>
        <v>1</v>
      </c>
    </row>
    <row r="23" spans="2:73" s="94" customFormat="1" ht="12.95" customHeight="1" x14ac:dyDescent="0.2">
      <c r="B23" s="151">
        <f>IF(ISNA(Z23),"",IF(OR(Z23=1,Z23=2),"    ",MAX($B$8:B22)+1))</f>
        <v>11</v>
      </c>
      <c r="C23" s="904" t="str">
        <f t="shared" si="0"/>
        <v xml:space="preserve">      - Structures FTT Execution (15.0%)</v>
      </c>
      <c r="D23" s="904"/>
      <c r="E23" s="904"/>
      <c r="F23" s="905"/>
      <c r="G23" s="133">
        <f t="shared" si="1"/>
        <v>1</v>
      </c>
      <c r="H23" s="134" t="str">
        <f t="shared" si="2"/>
        <v>2</v>
      </c>
      <c r="I23" s="152">
        <f t="shared" si="2"/>
        <v>3</v>
      </c>
      <c r="J23" s="153"/>
      <c r="K23" s="154"/>
      <c r="L23" s="1015"/>
      <c r="M23" s="1016"/>
      <c r="N23" s="1016"/>
      <c r="O23" s="1016"/>
      <c r="P23" s="1016"/>
      <c r="Q23" s="1016"/>
      <c r="R23" s="1017"/>
      <c r="T23" s="99">
        <v>16</v>
      </c>
      <c r="U23" s="88" t="s">
        <v>698</v>
      </c>
      <c r="V23" s="453">
        <v>1</v>
      </c>
      <c r="W23" s="453">
        <v>3</v>
      </c>
      <c r="X23" s="453" t="s">
        <v>340</v>
      </c>
      <c r="Y23" s="453" t="s">
        <v>340</v>
      </c>
      <c r="Z23" s="146" t="s">
        <v>340</v>
      </c>
      <c r="AA23" s="146">
        <v>2</v>
      </c>
      <c r="AB23" s="146">
        <v>1</v>
      </c>
      <c r="AC23" s="453">
        <v>3</v>
      </c>
      <c r="AD23" s="453">
        <v>2</v>
      </c>
      <c r="AE23" s="453">
        <v>0</v>
      </c>
      <c r="AF23" s="453" t="b">
        <v>1</v>
      </c>
      <c r="AG23" s="453">
        <f t="shared" si="3"/>
        <v>2</v>
      </c>
      <c r="AH23" s="453">
        <f t="shared" si="4"/>
        <v>1</v>
      </c>
      <c r="AI23" s="138">
        <f>IF(NOT(OR(Z23=1,Z23=2)),IF(AQ23&gt;0,$AR$44*AQ23/SUMIF($AQ$8:$AQ$39,"&gt;0"),IF(AU23&gt;0,$AV$44*AU23/SUMIF($AU$8:$AU$39,"&gt;0"),IF(AS23&gt;0,$AT$44*AS23/SUMIF($AS$8:$AS$39,"&gt;0"),""))),IF(SUMIF(AJ24:$AJ$39,"=" &amp; AJ23,AI24:$AI$39)=0,"",SUMIF(AJ24:$AJ$39,"=" &amp; AJ23,AI24:$AI$39)))</f>
        <v>0.15000000000000002</v>
      </c>
      <c r="AJ23" s="139">
        <f t="shared" si="34"/>
        <v>4</v>
      </c>
      <c r="AK23" s="453">
        <f t="shared" si="27"/>
        <v>2</v>
      </c>
      <c r="AL23" s="146" t="str">
        <f t="shared" si="28"/>
        <v/>
      </c>
      <c r="AM23" s="146" t="str">
        <f t="shared" si="35"/>
        <v/>
      </c>
      <c r="AN23" s="146" t="str">
        <f t="shared" si="5"/>
        <v/>
      </c>
      <c r="AO23" s="146" t="str">
        <f t="shared" si="6"/>
        <v/>
      </c>
      <c r="AP23" s="453" t="b">
        <f t="shared" si="7"/>
        <v>1</v>
      </c>
      <c r="AQ23" s="140">
        <f t="shared" si="29"/>
        <v>3</v>
      </c>
      <c r="AR23" s="141" t="str">
        <f t="shared" si="8"/>
        <v/>
      </c>
      <c r="AS23" s="142">
        <f t="shared" si="30"/>
        <v>0</v>
      </c>
      <c r="AT23" s="141" t="str">
        <f t="shared" si="9"/>
        <v/>
      </c>
      <c r="AU23" s="143">
        <f t="shared" si="10"/>
        <v>0</v>
      </c>
      <c r="AV23" s="144" t="str">
        <f t="shared" si="11"/>
        <v/>
      </c>
      <c r="AW23" s="143" t="b">
        <f t="shared" si="12"/>
        <v>0</v>
      </c>
      <c r="AX23" s="145" t="b">
        <f t="shared" si="13"/>
        <v>1</v>
      </c>
      <c r="AY23" s="143" t="b">
        <f t="shared" si="14"/>
        <v>0</v>
      </c>
      <c r="AZ23" s="145" t="b">
        <f t="shared" si="15"/>
        <v>0</v>
      </c>
      <c r="BA23" s="453" t="b">
        <f t="shared" si="16"/>
        <v>0</v>
      </c>
      <c r="BB23" s="453" t="b">
        <f t="shared" si="17"/>
        <v>0</v>
      </c>
      <c r="BC23" s="143" t="b">
        <f t="shared" si="18"/>
        <v>0</v>
      </c>
      <c r="BD23" s="146" t="b">
        <f t="shared" si="31"/>
        <v>0</v>
      </c>
      <c r="BE23" s="145" t="b">
        <f t="shared" ref="BE23:BE39" si="37">IF(OR(ISNA($Z23),K23&lt;&gt;"D"),FALSE,IF(OR(AND(H23="NG",J23=0),AND(H23&lt;&gt;"NG",NOT(OR(J23="NA",J23=0)))),TRUE,FALSE))</f>
        <v>0</v>
      </c>
      <c r="BF23" s="147" t="b">
        <f t="shared" si="20"/>
        <v>0</v>
      </c>
      <c r="BG23" s="453" t="b">
        <f t="shared" ref="BG23:BG39" si="38">IF(ISNA($Z23),"NA",IF(OR(AZ23,AY23,AX23,AW23,AP23,BA23,BB23),TRUE,FALSE))</f>
        <v>1</v>
      </c>
      <c r="BH23" s="453">
        <f t="shared" si="32"/>
        <v>1</v>
      </c>
      <c r="BI23" s="453">
        <f t="shared" si="22"/>
        <v>2</v>
      </c>
      <c r="BJ23" s="453" t="str">
        <f t="shared" si="23"/>
        <v>2</v>
      </c>
      <c r="BK23" s="453">
        <f t="shared" si="24"/>
        <v>3</v>
      </c>
      <c r="BL23" s="148">
        <f t="shared" si="33"/>
        <v>1</v>
      </c>
      <c r="BM23" s="453">
        <f t="shared" si="25"/>
        <v>2</v>
      </c>
      <c r="BN23" s="453">
        <f t="shared" si="26"/>
        <v>3</v>
      </c>
      <c r="BO23" s="936"/>
      <c r="BP23" s="300" t="s">
        <v>361</v>
      </c>
      <c r="BQ23" s="165">
        <f t="shared" si="36"/>
        <v>0.7</v>
      </c>
      <c r="BR23" s="166">
        <f t="shared" si="36"/>
        <v>0.76670000000000005</v>
      </c>
      <c r="BS23" s="166">
        <f t="shared" si="36"/>
        <v>0.83330000000000004</v>
      </c>
      <c r="BT23" s="166">
        <f t="shared" si="36"/>
        <v>0.9</v>
      </c>
      <c r="BU23" s="167">
        <f t="shared" si="36"/>
        <v>1</v>
      </c>
    </row>
    <row r="24" spans="2:73" s="94" customFormat="1" ht="12.95" customHeight="1" x14ac:dyDescent="0.2">
      <c r="B24" s="151">
        <f>IF(ISNA(Z24),"",IF(OR(Z24=1,Z24=2),"    ",MAX($B$8:B23)+1))</f>
        <v>12</v>
      </c>
      <c r="C24" s="904" t="str">
        <f t="shared" si="0"/>
        <v xml:space="preserve">      - Abort Maneuver Execution (10.0%)</v>
      </c>
      <c r="D24" s="904"/>
      <c r="E24" s="904"/>
      <c r="F24" s="905"/>
      <c r="G24" s="133">
        <f t="shared" si="1"/>
        <v>1</v>
      </c>
      <c r="H24" s="134" t="str">
        <f t="shared" si="2"/>
        <v>2</v>
      </c>
      <c r="I24" s="152">
        <f t="shared" si="2"/>
        <v>3</v>
      </c>
      <c r="J24" s="157"/>
      <c r="K24" s="154"/>
      <c r="L24" s="1015"/>
      <c r="M24" s="1016"/>
      <c r="N24" s="1016"/>
      <c r="O24" s="1016"/>
      <c r="P24" s="1016"/>
      <c r="Q24" s="1016"/>
      <c r="R24" s="1017"/>
      <c r="T24" s="99">
        <v>17</v>
      </c>
      <c r="U24" s="88" t="s">
        <v>699</v>
      </c>
      <c r="V24" s="453">
        <v>1</v>
      </c>
      <c r="W24" s="453">
        <v>2</v>
      </c>
      <c r="X24" s="453" t="s">
        <v>340</v>
      </c>
      <c r="Y24" s="453" t="s">
        <v>340</v>
      </c>
      <c r="Z24" s="146" t="s">
        <v>340</v>
      </c>
      <c r="AA24" s="146">
        <v>2</v>
      </c>
      <c r="AB24" s="146">
        <v>1</v>
      </c>
      <c r="AC24" s="453">
        <v>3</v>
      </c>
      <c r="AD24" s="453">
        <v>2</v>
      </c>
      <c r="AE24" s="453">
        <v>0</v>
      </c>
      <c r="AF24" s="453" t="b">
        <v>1</v>
      </c>
      <c r="AG24" s="453">
        <f t="shared" si="3"/>
        <v>2</v>
      </c>
      <c r="AH24" s="453">
        <f t="shared" si="4"/>
        <v>1</v>
      </c>
      <c r="AI24" s="138">
        <f>IF(NOT(OR(Z24=1,Z24=2)),IF(AQ24&gt;0,$AR$44*AQ24/SUMIF($AQ$8:$AQ$39,"&gt;0"),IF(AU24&gt;0,$AV$44*AU24/SUMIF($AU$8:$AU$39,"&gt;0"),IF(AS24&gt;0,$AT$44*AS24/SUMIF($AS$8:$AS$39,"&gt;0"),""))),IF(SUMIF(AJ25:$AJ$39,"=" &amp; AJ24,AI25:$AI$39)=0,"",SUMIF(AJ25:$AJ$39,"=" &amp; AJ24,AI25:$AI$39)))</f>
        <v>0.1</v>
      </c>
      <c r="AJ24" s="139">
        <f t="shared" si="34"/>
        <v>4</v>
      </c>
      <c r="AK24" s="453">
        <f t="shared" si="27"/>
        <v>2</v>
      </c>
      <c r="AL24" s="146" t="str">
        <f t="shared" si="28"/>
        <v/>
      </c>
      <c r="AM24" s="146" t="str">
        <f t="shared" si="35"/>
        <v/>
      </c>
      <c r="AN24" s="146" t="str">
        <f t="shared" si="5"/>
        <v/>
      </c>
      <c r="AO24" s="146" t="str">
        <f t="shared" si="6"/>
        <v/>
      </c>
      <c r="AP24" s="453" t="b">
        <f t="shared" si="7"/>
        <v>1</v>
      </c>
      <c r="AQ24" s="140">
        <f t="shared" si="29"/>
        <v>2</v>
      </c>
      <c r="AR24" s="141" t="str">
        <f t="shared" si="8"/>
        <v/>
      </c>
      <c r="AS24" s="142">
        <f t="shared" si="30"/>
        <v>0</v>
      </c>
      <c r="AT24" s="141" t="str">
        <f t="shared" si="9"/>
        <v/>
      </c>
      <c r="AU24" s="143">
        <f t="shared" si="10"/>
        <v>0</v>
      </c>
      <c r="AV24" s="144" t="str">
        <f t="shared" si="11"/>
        <v/>
      </c>
      <c r="AW24" s="143" t="b">
        <f t="shared" si="12"/>
        <v>0</v>
      </c>
      <c r="AX24" s="145" t="b">
        <f t="shared" si="13"/>
        <v>1</v>
      </c>
      <c r="AY24" s="143" t="b">
        <f t="shared" si="14"/>
        <v>0</v>
      </c>
      <c r="AZ24" s="145" t="b">
        <f t="shared" si="15"/>
        <v>0</v>
      </c>
      <c r="BA24" s="453" t="b">
        <f t="shared" si="16"/>
        <v>0</v>
      </c>
      <c r="BB24" s="453" t="b">
        <f t="shared" si="17"/>
        <v>0</v>
      </c>
      <c r="BC24" s="143" t="b">
        <f t="shared" si="18"/>
        <v>0</v>
      </c>
      <c r="BD24" s="146" t="b">
        <f t="shared" si="31"/>
        <v>0</v>
      </c>
      <c r="BE24" s="145" t="b">
        <f t="shared" si="37"/>
        <v>0</v>
      </c>
      <c r="BF24" s="147" t="b">
        <f t="shared" si="20"/>
        <v>0</v>
      </c>
      <c r="BG24" s="453" t="b">
        <f t="shared" si="38"/>
        <v>1</v>
      </c>
      <c r="BH24" s="453">
        <f t="shared" si="32"/>
        <v>1</v>
      </c>
      <c r="BI24" s="453">
        <f t="shared" si="22"/>
        <v>2</v>
      </c>
      <c r="BJ24" s="453" t="str">
        <f t="shared" si="23"/>
        <v>2</v>
      </c>
      <c r="BK24" s="453">
        <f t="shared" si="24"/>
        <v>3</v>
      </c>
      <c r="BL24" s="148">
        <f t="shared" si="33"/>
        <v>1</v>
      </c>
      <c r="BM24" s="453">
        <f t="shared" si="25"/>
        <v>2</v>
      </c>
      <c r="BN24" s="453">
        <f t="shared" si="26"/>
        <v>3</v>
      </c>
      <c r="BO24" s="936"/>
      <c r="BP24" s="300" t="s">
        <v>362</v>
      </c>
      <c r="BQ24" s="165">
        <f t="shared" si="36"/>
        <v>0.6</v>
      </c>
      <c r="BR24" s="166">
        <f t="shared" si="36"/>
        <v>0.9</v>
      </c>
      <c r="BS24" s="166">
        <f t="shared" si="36"/>
        <v>0.93330000000000002</v>
      </c>
      <c r="BT24" s="166">
        <f t="shared" si="36"/>
        <v>0.9667</v>
      </c>
      <c r="BU24" s="167">
        <f t="shared" si="36"/>
        <v>1</v>
      </c>
    </row>
    <row r="25" spans="2:73" s="94" customFormat="1" ht="12.95" customHeight="1" x14ac:dyDescent="0.2">
      <c r="B25" s="151">
        <f>IF(ISNA(Z25),"",IF(OR(Z25=1,Z25=2),"    ",MAX($B$8:B24)+1))</f>
        <v>13</v>
      </c>
      <c r="C25" s="904" t="str">
        <f t="shared" si="0"/>
        <v xml:space="preserve">      - Staying within Cleared Envelope  (10.0%)</v>
      </c>
      <c r="D25" s="904"/>
      <c r="E25" s="904"/>
      <c r="F25" s="905"/>
      <c r="G25" s="133">
        <f t="shared" si="1"/>
        <v>1</v>
      </c>
      <c r="H25" s="134" t="str">
        <f t="shared" si="2"/>
        <v>2</v>
      </c>
      <c r="I25" s="152">
        <f t="shared" si="2"/>
        <v>3</v>
      </c>
      <c r="J25" s="153"/>
      <c r="K25" s="154"/>
      <c r="L25" s="1015"/>
      <c r="M25" s="1016"/>
      <c r="N25" s="1016"/>
      <c r="O25" s="1016"/>
      <c r="P25" s="1016"/>
      <c r="Q25" s="1016"/>
      <c r="R25" s="1017"/>
      <c r="T25" s="99">
        <v>18</v>
      </c>
      <c r="U25" s="88" t="s">
        <v>700</v>
      </c>
      <c r="V25" s="453">
        <v>1</v>
      </c>
      <c r="W25" s="453">
        <v>2</v>
      </c>
      <c r="X25" s="453" t="s">
        <v>340</v>
      </c>
      <c r="Y25" s="453" t="s">
        <v>340</v>
      </c>
      <c r="Z25" s="146" t="s">
        <v>340</v>
      </c>
      <c r="AA25" s="146">
        <v>2</v>
      </c>
      <c r="AB25" s="146">
        <v>1</v>
      </c>
      <c r="AC25" s="453">
        <v>3</v>
      </c>
      <c r="AD25" s="453">
        <v>2</v>
      </c>
      <c r="AE25" s="453">
        <v>0</v>
      </c>
      <c r="AF25" s="453" t="b">
        <v>1</v>
      </c>
      <c r="AG25" s="453">
        <f t="shared" si="3"/>
        <v>2</v>
      </c>
      <c r="AH25" s="453">
        <f t="shared" si="4"/>
        <v>1</v>
      </c>
      <c r="AI25" s="138">
        <f>IF(NOT(OR(Z25=1,Z25=2)),IF(AQ25&gt;0,$AR$44*AQ25/SUMIF($AQ$8:$AQ$39,"&gt;0"),IF(AU25&gt;0,$AV$44*AU25/SUMIF($AU$8:$AU$39,"&gt;0"),IF(AS25&gt;0,$AT$44*AS25/SUMIF($AS$8:$AS$39,"&gt;0"),""))),IF(SUMIF(AJ26:$AJ$39,"=" &amp; AJ25,AI26:$AI$39)=0,"",SUMIF(AJ26:$AJ$39,"=" &amp; AJ25,AI26:$AI$39)))</f>
        <v>0.1</v>
      </c>
      <c r="AJ25" s="139">
        <f t="shared" si="34"/>
        <v>4</v>
      </c>
      <c r="AK25" s="453">
        <f t="shared" si="27"/>
        <v>2</v>
      </c>
      <c r="AL25" s="146" t="str">
        <f t="shared" si="28"/>
        <v/>
      </c>
      <c r="AM25" s="146" t="str">
        <f t="shared" si="35"/>
        <v/>
      </c>
      <c r="AN25" s="146" t="str">
        <f t="shared" si="5"/>
        <v/>
      </c>
      <c r="AO25" s="146" t="str">
        <f t="shared" si="6"/>
        <v/>
      </c>
      <c r="AP25" s="453" t="b">
        <f t="shared" si="7"/>
        <v>1</v>
      </c>
      <c r="AQ25" s="140">
        <f t="shared" si="29"/>
        <v>2</v>
      </c>
      <c r="AR25" s="141" t="str">
        <f t="shared" si="8"/>
        <v/>
      </c>
      <c r="AS25" s="142">
        <f t="shared" si="30"/>
        <v>0</v>
      </c>
      <c r="AT25" s="141" t="str">
        <f t="shared" si="9"/>
        <v/>
      </c>
      <c r="AU25" s="143">
        <f t="shared" si="10"/>
        <v>0</v>
      </c>
      <c r="AV25" s="144" t="str">
        <f t="shared" si="11"/>
        <v/>
      </c>
      <c r="AW25" s="143" t="b">
        <f t="shared" si="12"/>
        <v>0</v>
      </c>
      <c r="AX25" s="145" t="b">
        <f t="shared" si="13"/>
        <v>1</v>
      </c>
      <c r="AY25" s="143" t="b">
        <f t="shared" si="14"/>
        <v>0</v>
      </c>
      <c r="AZ25" s="145" t="b">
        <f t="shared" si="15"/>
        <v>0</v>
      </c>
      <c r="BA25" s="453" t="b">
        <f t="shared" si="16"/>
        <v>0</v>
      </c>
      <c r="BB25" s="453" t="b">
        <f t="shared" si="17"/>
        <v>0</v>
      </c>
      <c r="BC25" s="143" t="b">
        <f t="shared" si="18"/>
        <v>0</v>
      </c>
      <c r="BD25" s="146" t="b">
        <f t="shared" si="31"/>
        <v>0</v>
      </c>
      <c r="BE25" s="145" t="b">
        <f t="shared" si="37"/>
        <v>0</v>
      </c>
      <c r="BF25" s="147" t="b">
        <f t="shared" si="20"/>
        <v>0</v>
      </c>
      <c r="BG25" s="453" t="b">
        <f t="shared" si="38"/>
        <v>1</v>
      </c>
      <c r="BH25" s="453">
        <f t="shared" si="32"/>
        <v>1</v>
      </c>
      <c r="BI25" s="453">
        <f t="shared" si="22"/>
        <v>2</v>
      </c>
      <c r="BJ25" s="453" t="str">
        <f t="shared" si="23"/>
        <v>2</v>
      </c>
      <c r="BK25" s="453">
        <f t="shared" si="24"/>
        <v>3</v>
      </c>
      <c r="BL25" s="148">
        <f t="shared" si="33"/>
        <v>1</v>
      </c>
      <c r="BM25" s="453">
        <f t="shared" si="25"/>
        <v>2</v>
      </c>
      <c r="BN25" s="453">
        <f t="shared" si="26"/>
        <v>3</v>
      </c>
      <c r="BO25" s="936"/>
      <c r="BP25" s="300" t="s">
        <v>363</v>
      </c>
      <c r="BQ25" s="165">
        <f t="shared" si="36"/>
        <v>0.6</v>
      </c>
      <c r="BR25" s="166">
        <f t="shared" si="36"/>
        <v>0.7</v>
      </c>
      <c r="BS25" s="166">
        <f t="shared" si="36"/>
        <v>0.9</v>
      </c>
      <c r="BT25" s="166">
        <f t="shared" si="36"/>
        <v>0.95</v>
      </c>
      <c r="BU25" s="167">
        <f t="shared" si="36"/>
        <v>1</v>
      </c>
    </row>
    <row r="26" spans="2:73" s="94" customFormat="1" ht="12.95" customHeight="1" x14ac:dyDescent="0.2">
      <c r="B26" s="151" t="str">
        <f>IF(ISNA(Z26),"",IF(OR(Z26=1,Z26=2),"    ",MAX($B$8:B25)+1))</f>
        <v/>
      </c>
      <c r="C26" s="904" t="str">
        <f t="shared" si="0"/>
        <v/>
      </c>
      <c r="D26" s="904"/>
      <c r="E26" s="904"/>
      <c r="F26" s="905"/>
      <c r="G26" s="133" t="str">
        <f t="shared" si="1"/>
        <v/>
      </c>
      <c r="H26" s="134" t="str">
        <f t="shared" si="2"/>
        <v/>
      </c>
      <c r="I26" s="152" t="str">
        <f t="shared" si="2"/>
        <v/>
      </c>
      <c r="J26" s="480"/>
      <c r="K26" s="159"/>
      <c r="L26" s="1015"/>
      <c r="M26" s="1016"/>
      <c r="N26" s="1016"/>
      <c r="O26" s="1016"/>
      <c r="P26" s="1016"/>
      <c r="Q26" s="1016"/>
      <c r="R26" s="1017"/>
      <c r="T26" s="99">
        <v>19</v>
      </c>
      <c r="U26" s="88" t="e">
        <v>#N/A</v>
      </c>
      <c r="V26" s="453" t="e">
        <v>#N/A</v>
      </c>
      <c r="W26" s="453" t="e">
        <v>#N/A</v>
      </c>
      <c r="X26" s="453" t="e">
        <v>#N/A</v>
      </c>
      <c r="Y26" s="453" t="e">
        <v>#N/A</v>
      </c>
      <c r="Z26" s="146" t="e">
        <v>#N/A</v>
      </c>
      <c r="AA26" s="146" t="e">
        <v>#N/A</v>
      </c>
      <c r="AB26" s="146" t="e">
        <v>#N/A</v>
      </c>
      <c r="AC26" s="453" t="e">
        <v>#N/A</v>
      </c>
      <c r="AD26" s="453" t="e">
        <v>#N/A</v>
      </c>
      <c r="AE26" s="453" t="e">
        <v>#N/A</v>
      </c>
      <c r="AF26" s="453" t="e">
        <v>#N/A</v>
      </c>
      <c r="AG26" s="453" t="e">
        <f t="shared" si="3"/>
        <v>#N/A</v>
      </c>
      <c r="AH26" s="453" t="str">
        <f t="shared" si="4"/>
        <v/>
      </c>
      <c r="AI26" s="138" t="e">
        <f>IF(NOT(OR(Z26=1,Z26=2)),IF(AQ26&gt;0,$AR$44*AQ26/SUMIF($AQ$8:$AQ$39,"&gt;0"),IF(AU26&gt;0,$AV$44*AU26/SUMIF($AU$8:$AU$39,"&gt;0"),IF(AS26&gt;0,$AT$44*AS26/SUMIF($AS$8:$AS$39,"&gt;0"),""))),IF(SUMIF(AJ27:$AJ$39,"=" &amp; AJ26,AI27:$AI$39)=0,"",SUMIF(AJ27:$AJ$39,"=" &amp; AJ26,AI27:$AI$39)))</f>
        <v>#N/A</v>
      </c>
      <c r="AJ26" s="139" t="e">
        <f t="shared" si="34"/>
        <v>#N/A</v>
      </c>
      <c r="AK26" s="453" t="str">
        <f t="shared" si="27"/>
        <v/>
      </c>
      <c r="AL26" s="146" t="str">
        <f t="shared" si="28"/>
        <v/>
      </c>
      <c r="AM26" s="146" t="str">
        <f t="shared" si="35"/>
        <v/>
      </c>
      <c r="AN26" s="146" t="str">
        <f t="shared" si="5"/>
        <v/>
      </c>
      <c r="AO26" s="146" t="e">
        <f t="shared" si="6"/>
        <v>#N/A</v>
      </c>
      <c r="AP26" s="453" t="str">
        <f t="shared" si="7"/>
        <v/>
      </c>
      <c r="AQ26" s="140">
        <f t="shared" si="29"/>
        <v>0</v>
      </c>
      <c r="AR26" s="141" t="str">
        <f t="shared" si="8"/>
        <v/>
      </c>
      <c r="AS26" s="142">
        <f t="shared" si="30"/>
        <v>0</v>
      </c>
      <c r="AT26" s="141" t="str">
        <f t="shared" si="9"/>
        <v/>
      </c>
      <c r="AU26" s="143">
        <f t="shared" si="10"/>
        <v>0</v>
      </c>
      <c r="AV26" s="144" t="str">
        <f t="shared" si="11"/>
        <v/>
      </c>
      <c r="AW26" s="143" t="b">
        <f t="shared" si="12"/>
        <v>0</v>
      </c>
      <c r="AX26" s="145" t="b">
        <f t="shared" si="13"/>
        <v>0</v>
      </c>
      <c r="AY26" s="143" t="b">
        <f t="shared" si="14"/>
        <v>0</v>
      </c>
      <c r="AZ26" s="145" t="b">
        <f t="shared" si="15"/>
        <v>0</v>
      </c>
      <c r="BA26" s="453" t="b">
        <f t="shared" si="16"/>
        <v>0</v>
      </c>
      <c r="BB26" s="453" t="b">
        <f t="shared" si="17"/>
        <v>0</v>
      </c>
      <c r="BC26" s="143" t="b">
        <f t="shared" si="18"/>
        <v>0</v>
      </c>
      <c r="BD26" s="146" t="b">
        <f t="shared" si="31"/>
        <v>0</v>
      </c>
      <c r="BE26" s="145" t="b">
        <f t="shared" si="37"/>
        <v>0</v>
      </c>
      <c r="BF26" s="147" t="b">
        <f t="shared" si="20"/>
        <v>0</v>
      </c>
      <c r="BG26" s="453" t="str">
        <f t="shared" si="38"/>
        <v>NA</v>
      </c>
      <c r="BH26" s="453" t="str">
        <f t="shared" si="32"/>
        <v/>
      </c>
      <c r="BI26" s="453" t="str">
        <f t="shared" si="22"/>
        <v/>
      </c>
      <c r="BJ26" s="453" t="str">
        <f t="shared" si="23"/>
        <v/>
      </c>
      <c r="BK26" s="453" t="str">
        <f t="shared" si="24"/>
        <v/>
      </c>
      <c r="BL26" s="148" t="str">
        <f t="shared" si="33"/>
        <v/>
      </c>
      <c r="BM26" s="453" t="str">
        <f t="shared" si="25"/>
        <v/>
      </c>
      <c r="BN26" s="453" t="str">
        <f t="shared" si="26"/>
        <v/>
      </c>
      <c r="BO26" s="936"/>
      <c r="BP26" s="300" t="s">
        <v>364</v>
      </c>
      <c r="BQ26" s="165">
        <f t="shared" si="36"/>
        <v>0.6</v>
      </c>
      <c r="BR26" s="166">
        <f t="shared" si="36"/>
        <v>0.7</v>
      </c>
      <c r="BS26" s="166">
        <f t="shared" si="36"/>
        <v>0.8</v>
      </c>
      <c r="BT26" s="166">
        <f t="shared" si="36"/>
        <v>0.9</v>
      </c>
      <c r="BU26" s="167">
        <f t="shared" si="36"/>
        <v>1</v>
      </c>
    </row>
    <row r="27" spans="2:73" s="94" customFormat="1" ht="12.95" customHeight="1" x14ac:dyDescent="0.2">
      <c r="B27" s="151" t="str">
        <f>IF(ISNA(Z27),"",IF(OR(Z27=1,Z27=2),"    ",MAX($B$8:B26)+1))</f>
        <v/>
      </c>
      <c r="C27" s="904" t="str">
        <f t="shared" si="0"/>
        <v/>
      </c>
      <c r="D27" s="904"/>
      <c r="E27" s="904"/>
      <c r="F27" s="905"/>
      <c r="G27" s="133" t="str">
        <f t="shared" si="1"/>
        <v/>
      </c>
      <c r="H27" s="134" t="str">
        <f t="shared" si="2"/>
        <v/>
      </c>
      <c r="I27" s="152" t="str">
        <f t="shared" si="2"/>
        <v/>
      </c>
      <c r="J27" s="480"/>
      <c r="K27" s="159"/>
      <c r="L27" s="1015"/>
      <c r="M27" s="1016"/>
      <c r="N27" s="1016"/>
      <c r="O27" s="1016"/>
      <c r="P27" s="1016"/>
      <c r="Q27" s="1016"/>
      <c r="R27" s="1017"/>
      <c r="T27" s="99">
        <v>20</v>
      </c>
      <c r="U27" s="88" t="e">
        <v>#N/A</v>
      </c>
      <c r="V27" s="453" t="e">
        <v>#N/A</v>
      </c>
      <c r="W27" s="453" t="e">
        <v>#N/A</v>
      </c>
      <c r="X27" s="453" t="e">
        <v>#N/A</v>
      </c>
      <c r="Y27" s="453" t="e">
        <v>#N/A</v>
      </c>
      <c r="Z27" s="146" t="e">
        <v>#N/A</v>
      </c>
      <c r="AA27" s="146" t="e">
        <v>#N/A</v>
      </c>
      <c r="AB27" s="146" t="e">
        <v>#N/A</v>
      </c>
      <c r="AC27" s="453" t="e">
        <v>#N/A</v>
      </c>
      <c r="AD27" s="453" t="e">
        <v>#N/A</v>
      </c>
      <c r="AE27" s="453" t="e">
        <v>#N/A</v>
      </c>
      <c r="AF27" s="453" t="e">
        <v>#N/A</v>
      </c>
      <c r="AG27" s="453" t="e">
        <f t="shared" si="3"/>
        <v>#N/A</v>
      </c>
      <c r="AH27" s="453" t="str">
        <f t="shared" si="4"/>
        <v/>
      </c>
      <c r="AI27" s="138" t="e">
        <f>IF(NOT(OR(Z27=1,Z27=2)),IF(AQ27&gt;0,$AR$44*AQ27/SUMIF($AQ$8:$AQ$39,"&gt;0"),IF(AU27&gt;0,$AV$44*AU27/SUMIF($AU$8:$AU$39,"&gt;0"),IF(AS27&gt;0,$AT$44*AS27/SUMIF($AS$8:$AS$39,"&gt;0"),""))),IF(SUMIF(AJ28:$AJ$39,"=" &amp; AJ27,AI28:$AI$39)=0,"",SUMIF(AJ28:$AJ$39,"=" &amp; AJ27,AI28:$AI$39)))</f>
        <v>#N/A</v>
      </c>
      <c r="AJ27" s="139" t="e">
        <f t="shared" si="34"/>
        <v>#N/A</v>
      </c>
      <c r="AK27" s="453" t="str">
        <f t="shared" si="27"/>
        <v/>
      </c>
      <c r="AL27" s="146" t="str">
        <f t="shared" si="28"/>
        <v/>
      </c>
      <c r="AM27" s="146" t="str">
        <f t="shared" si="35"/>
        <v/>
      </c>
      <c r="AN27" s="146" t="str">
        <f t="shared" si="5"/>
        <v/>
      </c>
      <c r="AO27" s="146" t="e">
        <f t="shared" si="6"/>
        <v>#N/A</v>
      </c>
      <c r="AP27" s="453" t="str">
        <f t="shared" si="7"/>
        <v/>
      </c>
      <c r="AQ27" s="140">
        <f t="shared" si="29"/>
        <v>0</v>
      </c>
      <c r="AR27" s="141" t="str">
        <f t="shared" si="8"/>
        <v/>
      </c>
      <c r="AS27" s="142">
        <f t="shared" si="30"/>
        <v>0</v>
      </c>
      <c r="AT27" s="141" t="str">
        <f t="shared" si="9"/>
        <v/>
      </c>
      <c r="AU27" s="143">
        <f t="shared" si="10"/>
        <v>0</v>
      </c>
      <c r="AV27" s="144" t="str">
        <f t="shared" si="11"/>
        <v/>
      </c>
      <c r="AW27" s="143" t="b">
        <f t="shared" si="12"/>
        <v>0</v>
      </c>
      <c r="AX27" s="145" t="b">
        <f t="shared" si="13"/>
        <v>0</v>
      </c>
      <c r="AY27" s="143" t="b">
        <f t="shared" si="14"/>
        <v>0</v>
      </c>
      <c r="AZ27" s="145" t="b">
        <f t="shared" si="15"/>
        <v>0</v>
      </c>
      <c r="BA27" s="453" t="b">
        <f t="shared" si="16"/>
        <v>0</v>
      </c>
      <c r="BB27" s="453" t="b">
        <f t="shared" si="17"/>
        <v>0</v>
      </c>
      <c r="BC27" s="143" t="b">
        <f t="shared" si="18"/>
        <v>0</v>
      </c>
      <c r="BD27" s="146" t="b">
        <f t="shared" si="31"/>
        <v>0</v>
      </c>
      <c r="BE27" s="145" t="b">
        <f t="shared" si="37"/>
        <v>0</v>
      </c>
      <c r="BF27" s="147" t="b">
        <f t="shared" si="20"/>
        <v>0</v>
      </c>
      <c r="BG27" s="453" t="str">
        <f t="shared" si="38"/>
        <v>NA</v>
      </c>
      <c r="BH27" s="453" t="str">
        <f t="shared" si="32"/>
        <v/>
      </c>
      <c r="BI27" s="453" t="str">
        <f t="shared" si="22"/>
        <v/>
      </c>
      <c r="BJ27" s="453" t="str">
        <f t="shared" si="23"/>
        <v/>
      </c>
      <c r="BK27" s="453" t="str">
        <f t="shared" si="24"/>
        <v/>
      </c>
      <c r="BL27" s="148" t="str">
        <f t="shared" si="33"/>
        <v/>
      </c>
      <c r="BM27" s="453" t="str">
        <f t="shared" si="25"/>
        <v/>
      </c>
      <c r="BN27" s="453" t="str">
        <f t="shared" si="26"/>
        <v/>
      </c>
      <c r="BO27" s="936"/>
      <c r="BP27" s="300" t="s">
        <v>365</v>
      </c>
      <c r="BQ27" s="165">
        <f t="shared" si="36"/>
        <v>0.3</v>
      </c>
      <c r="BR27" s="166">
        <f t="shared" si="36"/>
        <v>0.6</v>
      </c>
      <c r="BS27" s="166">
        <f t="shared" si="36"/>
        <v>0.9</v>
      </c>
      <c r="BT27" s="166">
        <f t="shared" si="36"/>
        <v>0.95</v>
      </c>
      <c r="BU27" s="167">
        <f t="shared" si="36"/>
        <v>1</v>
      </c>
    </row>
    <row r="28" spans="2:73" s="94" customFormat="1" ht="12.95" customHeight="1" x14ac:dyDescent="0.2">
      <c r="B28" s="151" t="str">
        <f>IF(ISNA(Z28),"",IF(OR(Z28=1,Z28=2),"    ",MAX($B$8:B27)+1))</f>
        <v/>
      </c>
      <c r="C28" s="904" t="str">
        <f t="shared" si="0"/>
        <v/>
      </c>
      <c r="D28" s="904"/>
      <c r="E28" s="904"/>
      <c r="F28" s="905"/>
      <c r="G28" s="133" t="str">
        <f t="shared" si="1"/>
        <v/>
      </c>
      <c r="H28" s="134" t="str">
        <f t="shared" si="2"/>
        <v/>
      </c>
      <c r="I28" s="152" t="str">
        <f t="shared" si="2"/>
        <v/>
      </c>
      <c r="J28" s="480"/>
      <c r="K28" s="159"/>
      <c r="L28" s="1015"/>
      <c r="M28" s="1016"/>
      <c r="N28" s="1016"/>
      <c r="O28" s="1016"/>
      <c r="P28" s="1016"/>
      <c r="Q28" s="1016"/>
      <c r="R28" s="1017"/>
      <c r="T28" s="99">
        <v>21</v>
      </c>
      <c r="U28" s="88" t="e">
        <v>#N/A</v>
      </c>
      <c r="V28" s="453" t="e">
        <v>#N/A</v>
      </c>
      <c r="W28" s="453" t="e">
        <v>#N/A</v>
      </c>
      <c r="X28" s="453" t="e">
        <v>#N/A</v>
      </c>
      <c r="Y28" s="453" t="e">
        <v>#N/A</v>
      </c>
      <c r="Z28" s="146" t="e">
        <v>#N/A</v>
      </c>
      <c r="AA28" s="146" t="e">
        <v>#N/A</v>
      </c>
      <c r="AB28" s="146" t="e">
        <v>#N/A</v>
      </c>
      <c r="AC28" s="453" t="e">
        <v>#N/A</v>
      </c>
      <c r="AD28" s="453" t="e">
        <v>#N/A</v>
      </c>
      <c r="AE28" s="453" t="e">
        <v>#N/A</v>
      </c>
      <c r="AF28" s="453" t="e">
        <v>#N/A</v>
      </c>
      <c r="AG28" s="453" t="e">
        <f t="shared" si="3"/>
        <v>#N/A</v>
      </c>
      <c r="AH28" s="453" t="str">
        <f t="shared" si="4"/>
        <v/>
      </c>
      <c r="AI28" s="138" t="e">
        <f>IF(NOT(OR(Z28=1,Z28=2)),IF(AQ28&gt;0,$AR$44*AQ28/SUMIF($AQ$8:$AQ$39,"&gt;0"),IF(AU28&gt;0,$AV$44*AU28/SUMIF($AU$8:$AU$39,"&gt;0"),IF(AS28&gt;0,$AT$44*AS28/SUMIF($AS$8:$AS$39,"&gt;0"),""))),IF(SUMIF(AJ29:$AJ$39,"=" &amp; AJ28,AI29:$AI$39)=0,"",SUMIF(AJ29:$AJ$39,"=" &amp; AJ28,AI29:$AI$39)))</f>
        <v>#N/A</v>
      </c>
      <c r="AJ28" s="139" t="e">
        <f t="shared" si="34"/>
        <v>#N/A</v>
      </c>
      <c r="AK28" s="453" t="str">
        <f t="shared" si="27"/>
        <v/>
      </c>
      <c r="AL28" s="146" t="str">
        <f t="shared" si="28"/>
        <v/>
      </c>
      <c r="AM28" s="146" t="str">
        <f t="shared" si="35"/>
        <v/>
      </c>
      <c r="AN28" s="146" t="str">
        <f t="shared" si="5"/>
        <v/>
      </c>
      <c r="AO28" s="146" t="e">
        <f t="shared" si="6"/>
        <v>#N/A</v>
      </c>
      <c r="AP28" s="453" t="str">
        <f t="shared" si="7"/>
        <v/>
      </c>
      <c r="AQ28" s="140">
        <f t="shared" si="29"/>
        <v>0</v>
      </c>
      <c r="AR28" s="141" t="str">
        <f t="shared" si="8"/>
        <v/>
      </c>
      <c r="AS28" s="142">
        <f t="shared" si="30"/>
        <v>0</v>
      </c>
      <c r="AT28" s="141" t="str">
        <f t="shared" si="9"/>
        <v/>
      </c>
      <c r="AU28" s="143">
        <f t="shared" si="10"/>
        <v>0</v>
      </c>
      <c r="AV28" s="144" t="str">
        <f t="shared" si="11"/>
        <v/>
      </c>
      <c r="AW28" s="143" t="b">
        <f t="shared" si="12"/>
        <v>0</v>
      </c>
      <c r="AX28" s="145" t="b">
        <f t="shared" si="13"/>
        <v>0</v>
      </c>
      <c r="AY28" s="143" t="b">
        <f t="shared" si="14"/>
        <v>0</v>
      </c>
      <c r="AZ28" s="145" t="b">
        <f t="shared" si="15"/>
        <v>0</v>
      </c>
      <c r="BA28" s="453" t="b">
        <f t="shared" si="16"/>
        <v>0</v>
      </c>
      <c r="BB28" s="453" t="b">
        <f t="shared" si="17"/>
        <v>0</v>
      </c>
      <c r="BC28" s="143" t="b">
        <f t="shared" si="18"/>
        <v>0</v>
      </c>
      <c r="BD28" s="146" t="b">
        <f t="shared" si="31"/>
        <v>0</v>
      </c>
      <c r="BE28" s="145" t="b">
        <f t="shared" si="37"/>
        <v>0</v>
      </c>
      <c r="BF28" s="147" t="b">
        <f t="shared" si="20"/>
        <v>0</v>
      </c>
      <c r="BG28" s="453" t="str">
        <f t="shared" si="38"/>
        <v>NA</v>
      </c>
      <c r="BH28" s="453" t="str">
        <f t="shared" si="32"/>
        <v/>
      </c>
      <c r="BI28" s="453" t="str">
        <f t="shared" si="22"/>
        <v/>
      </c>
      <c r="BJ28" s="453" t="str">
        <f t="shared" si="23"/>
        <v/>
      </c>
      <c r="BK28" s="453" t="str">
        <f t="shared" si="24"/>
        <v/>
      </c>
      <c r="BL28" s="148" t="str">
        <f t="shared" si="33"/>
        <v/>
      </c>
      <c r="BM28" s="453" t="str">
        <f t="shared" si="25"/>
        <v/>
      </c>
      <c r="BN28" s="453" t="str">
        <f t="shared" si="26"/>
        <v/>
      </c>
      <c r="BO28" s="936"/>
      <c r="BP28" s="300" t="s">
        <v>366</v>
      </c>
      <c r="BQ28" s="165">
        <f t="shared" si="36"/>
        <v>0.3</v>
      </c>
      <c r="BR28" s="166">
        <f t="shared" si="36"/>
        <v>0.6</v>
      </c>
      <c r="BS28" s="166">
        <f t="shared" si="36"/>
        <v>0.7</v>
      </c>
      <c r="BT28" s="166">
        <f t="shared" si="36"/>
        <v>0.9</v>
      </c>
      <c r="BU28" s="167">
        <f t="shared" si="36"/>
        <v>1</v>
      </c>
    </row>
    <row r="29" spans="2:73" s="94" customFormat="1" ht="12.95" customHeight="1" x14ac:dyDescent="0.2">
      <c r="B29" s="151" t="str">
        <f>IF(ISNA(Z29),"",IF(OR(Z29=1,Z29=2),"    ",MAX($B$8:B28)+1))</f>
        <v/>
      </c>
      <c r="C29" s="904" t="str">
        <f t="shared" si="0"/>
        <v/>
      </c>
      <c r="D29" s="904"/>
      <c r="E29" s="904"/>
      <c r="F29" s="905"/>
      <c r="G29" s="133" t="str">
        <f t="shared" si="1"/>
        <v/>
      </c>
      <c r="H29" s="134" t="str">
        <f t="shared" si="2"/>
        <v/>
      </c>
      <c r="I29" s="152" t="str">
        <f t="shared" si="2"/>
        <v/>
      </c>
      <c r="J29" s="480"/>
      <c r="K29" s="159"/>
      <c r="L29" s="1015"/>
      <c r="M29" s="1016"/>
      <c r="N29" s="1016"/>
      <c r="O29" s="1016"/>
      <c r="P29" s="1016"/>
      <c r="Q29" s="1016"/>
      <c r="R29" s="1017"/>
      <c r="T29" s="99">
        <v>22</v>
      </c>
      <c r="U29" s="88" t="e">
        <v>#N/A</v>
      </c>
      <c r="V29" s="453" t="e">
        <v>#N/A</v>
      </c>
      <c r="W29" s="453" t="e">
        <v>#N/A</v>
      </c>
      <c r="X29" s="453" t="e">
        <v>#N/A</v>
      </c>
      <c r="Y29" s="453" t="e">
        <v>#N/A</v>
      </c>
      <c r="Z29" s="146" t="e">
        <v>#N/A</v>
      </c>
      <c r="AA29" s="146" t="e">
        <v>#N/A</v>
      </c>
      <c r="AB29" s="146" t="e">
        <v>#N/A</v>
      </c>
      <c r="AC29" s="453" t="e">
        <v>#N/A</v>
      </c>
      <c r="AD29" s="453" t="e">
        <v>#N/A</v>
      </c>
      <c r="AE29" s="453" t="e">
        <v>#N/A</v>
      </c>
      <c r="AF29" s="453" t="e">
        <v>#N/A</v>
      </c>
      <c r="AG29" s="453" t="e">
        <f t="shared" si="3"/>
        <v>#N/A</v>
      </c>
      <c r="AH29" s="453" t="str">
        <f t="shared" si="4"/>
        <v/>
      </c>
      <c r="AI29" s="138" t="e">
        <f>IF(NOT(OR(Z29=1,Z29=2)),IF(AQ29&gt;0,$AR$44*AQ29/SUMIF($AQ$8:$AQ$39,"&gt;0"),IF(AU29&gt;0,$AV$44*AU29/SUMIF($AU$8:$AU$39,"&gt;0"),IF(AS29&gt;0,$AT$44*AS29/SUMIF($AS$8:$AS$39,"&gt;0"),""))),IF(SUMIF(AJ30:$AJ$39,"=" &amp; AJ29,AI30:$AI$39)=0,"",SUMIF(AJ30:$AJ$39,"=" &amp; AJ29,AI30:$AI$39)))</f>
        <v>#N/A</v>
      </c>
      <c r="AJ29" s="139" t="e">
        <f t="shared" si="34"/>
        <v>#N/A</v>
      </c>
      <c r="AK29" s="453" t="str">
        <f t="shared" si="27"/>
        <v/>
      </c>
      <c r="AL29" s="146" t="str">
        <f t="shared" si="28"/>
        <v/>
      </c>
      <c r="AM29" s="146" t="str">
        <f t="shared" si="35"/>
        <v/>
      </c>
      <c r="AN29" s="146" t="str">
        <f t="shared" si="5"/>
        <v/>
      </c>
      <c r="AO29" s="146" t="e">
        <f t="shared" si="6"/>
        <v>#N/A</v>
      </c>
      <c r="AP29" s="453" t="str">
        <f t="shared" si="7"/>
        <v/>
      </c>
      <c r="AQ29" s="140">
        <f t="shared" si="29"/>
        <v>0</v>
      </c>
      <c r="AR29" s="141" t="str">
        <f t="shared" si="8"/>
        <v/>
      </c>
      <c r="AS29" s="142">
        <f t="shared" si="30"/>
        <v>0</v>
      </c>
      <c r="AT29" s="141" t="str">
        <f t="shared" si="9"/>
        <v/>
      </c>
      <c r="AU29" s="143">
        <f t="shared" si="10"/>
        <v>0</v>
      </c>
      <c r="AV29" s="144" t="str">
        <f t="shared" si="11"/>
        <v/>
      </c>
      <c r="AW29" s="143" t="b">
        <f t="shared" si="12"/>
        <v>0</v>
      </c>
      <c r="AX29" s="145" t="b">
        <f t="shared" si="13"/>
        <v>0</v>
      </c>
      <c r="AY29" s="143" t="b">
        <f t="shared" si="14"/>
        <v>0</v>
      </c>
      <c r="AZ29" s="145" t="b">
        <f t="shared" si="15"/>
        <v>0</v>
      </c>
      <c r="BA29" s="453" t="b">
        <f t="shared" si="16"/>
        <v>0</v>
      </c>
      <c r="BB29" s="453" t="b">
        <f t="shared" si="17"/>
        <v>0</v>
      </c>
      <c r="BC29" s="143" t="b">
        <f t="shared" si="18"/>
        <v>0</v>
      </c>
      <c r="BD29" s="146" t="b">
        <f t="shared" si="31"/>
        <v>0</v>
      </c>
      <c r="BE29" s="145" t="b">
        <f t="shared" si="37"/>
        <v>0</v>
      </c>
      <c r="BF29" s="147" t="b">
        <f t="shared" si="20"/>
        <v>0</v>
      </c>
      <c r="BG29" s="453" t="str">
        <f t="shared" si="38"/>
        <v>NA</v>
      </c>
      <c r="BH29" s="453" t="str">
        <f t="shared" si="32"/>
        <v/>
      </c>
      <c r="BI29" s="453" t="str">
        <f t="shared" si="22"/>
        <v/>
      </c>
      <c r="BJ29" s="453" t="str">
        <f t="shared" si="23"/>
        <v/>
      </c>
      <c r="BK29" s="453" t="str">
        <f t="shared" si="24"/>
        <v/>
      </c>
      <c r="BL29" s="148" t="str">
        <f t="shared" si="33"/>
        <v/>
      </c>
      <c r="BM29" s="453" t="str">
        <f t="shared" si="25"/>
        <v/>
      </c>
      <c r="BN29" s="453" t="str">
        <f t="shared" si="26"/>
        <v/>
      </c>
      <c r="BO29" s="936"/>
      <c r="BP29" s="300" t="s">
        <v>367</v>
      </c>
      <c r="BQ29" s="168">
        <f t="shared" si="36"/>
        <v>0</v>
      </c>
      <c r="BR29" s="169">
        <f t="shared" si="36"/>
        <v>0.3</v>
      </c>
      <c r="BS29" s="169">
        <f t="shared" si="36"/>
        <v>0.6</v>
      </c>
      <c r="BT29" s="169">
        <f t="shared" si="36"/>
        <v>0.9</v>
      </c>
      <c r="BU29" s="170">
        <f t="shared" si="36"/>
        <v>1</v>
      </c>
    </row>
    <row r="30" spans="2:73" s="94" customFormat="1" ht="12.95" customHeight="1" x14ac:dyDescent="0.2">
      <c r="B30" s="151" t="str">
        <f>IF(ISNA(Z30),"",IF(OR(Z30=1,Z30=2),"    ",MAX($B$8:B29)+1))</f>
        <v/>
      </c>
      <c r="C30" s="904" t="str">
        <f t="shared" si="0"/>
        <v/>
      </c>
      <c r="D30" s="904"/>
      <c r="E30" s="904"/>
      <c r="F30" s="905"/>
      <c r="G30" s="133" t="str">
        <f t="shared" si="1"/>
        <v/>
      </c>
      <c r="H30" s="134" t="str">
        <f t="shared" si="2"/>
        <v/>
      </c>
      <c r="I30" s="152" t="str">
        <f t="shared" si="2"/>
        <v/>
      </c>
      <c r="J30" s="480"/>
      <c r="K30" s="159"/>
      <c r="L30" s="1015"/>
      <c r="M30" s="1016"/>
      <c r="N30" s="1016"/>
      <c r="O30" s="1016"/>
      <c r="P30" s="1016"/>
      <c r="Q30" s="1016"/>
      <c r="R30" s="1017"/>
      <c r="T30" s="99">
        <v>23</v>
      </c>
      <c r="U30" s="88" t="e">
        <v>#N/A</v>
      </c>
      <c r="V30" s="453" t="e">
        <v>#N/A</v>
      </c>
      <c r="W30" s="453" t="e">
        <v>#N/A</v>
      </c>
      <c r="X30" s="453" t="e">
        <v>#N/A</v>
      </c>
      <c r="Y30" s="453" t="e">
        <v>#N/A</v>
      </c>
      <c r="Z30" s="146" t="e">
        <v>#N/A</v>
      </c>
      <c r="AA30" s="146" t="e">
        <v>#N/A</v>
      </c>
      <c r="AB30" s="146" t="e">
        <v>#N/A</v>
      </c>
      <c r="AC30" s="453" t="e">
        <v>#N/A</v>
      </c>
      <c r="AD30" s="453" t="e">
        <v>#N/A</v>
      </c>
      <c r="AE30" s="453" t="e">
        <v>#N/A</v>
      </c>
      <c r="AF30" s="453" t="e">
        <v>#N/A</v>
      </c>
      <c r="AG30" s="453" t="e">
        <f t="shared" si="3"/>
        <v>#N/A</v>
      </c>
      <c r="AH30" s="453" t="str">
        <f t="shared" si="4"/>
        <v/>
      </c>
      <c r="AI30" s="138" t="e">
        <f>IF(NOT(OR(Z30=1,Z30=2)),IF(AQ30&gt;0,$AR$44*AQ30/SUMIF($AQ$8:$AQ$39,"&gt;0"),IF(AU30&gt;0,$AV$44*AU30/SUMIF($AU$8:$AU$39,"&gt;0"),IF(AS30&gt;0,$AT$44*AS30/SUMIF($AS$8:$AS$39,"&gt;0"),""))),IF(SUMIF(AJ31:$AJ$39,"=" &amp; AJ30,AI31:$AI$39)=0,"",SUMIF(AJ31:$AJ$39,"=" &amp; AJ30,AI31:$AI$39)))</f>
        <v>#N/A</v>
      </c>
      <c r="AJ30" s="139" t="e">
        <f t="shared" si="34"/>
        <v>#N/A</v>
      </c>
      <c r="AK30" s="453" t="str">
        <f t="shared" si="27"/>
        <v/>
      </c>
      <c r="AL30" s="146" t="str">
        <f t="shared" si="28"/>
        <v/>
      </c>
      <c r="AM30" s="146" t="str">
        <f t="shared" si="35"/>
        <v/>
      </c>
      <c r="AN30" s="146" t="str">
        <f t="shared" si="5"/>
        <v/>
      </c>
      <c r="AO30" s="146" t="e">
        <f t="shared" si="6"/>
        <v>#N/A</v>
      </c>
      <c r="AP30" s="453" t="str">
        <f t="shared" si="7"/>
        <v/>
      </c>
      <c r="AQ30" s="140">
        <f t="shared" si="29"/>
        <v>0</v>
      </c>
      <c r="AR30" s="141" t="str">
        <f t="shared" si="8"/>
        <v/>
      </c>
      <c r="AS30" s="142">
        <f t="shared" si="30"/>
        <v>0</v>
      </c>
      <c r="AT30" s="141" t="str">
        <f t="shared" si="9"/>
        <v/>
      </c>
      <c r="AU30" s="143">
        <f t="shared" si="10"/>
        <v>0</v>
      </c>
      <c r="AV30" s="144" t="str">
        <f t="shared" si="11"/>
        <v/>
      </c>
      <c r="AW30" s="143" t="b">
        <f t="shared" si="12"/>
        <v>0</v>
      </c>
      <c r="AX30" s="145" t="b">
        <f t="shared" si="13"/>
        <v>0</v>
      </c>
      <c r="AY30" s="143" t="b">
        <f t="shared" si="14"/>
        <v>0</v>
      </c>
      <c r="AZ30" s="145" t="b">
        <f t="shared" si="15"/>
        <v>0</v>
      </c>
      <c r="BA30" s="453" t="b">
        <f t="shared" si="16"/>
        <v>0</v>
      </c>
      <c r="BB30" s="453" t="b">
        <f t="shared" si="17"/>
        <v>0</v>
      </c>
      <c r="BC30" s="143" t="b">
        <f t="shared" si="18"/>
        <v>0</v>
      </c>
      <c r="BD30" s="146" t="b">
        <f t="shared" si="31"/>
        <v>0</v>
      </c>
      <c r="BE30" s="145" t="b">
        <f t="shared" si="37"/>
        <v>0</v>
      </c>
      <c r="BF30" s="147" t="b">
        <f t="shared" si="20"/>
        <v>0</v>
      </c>
      <c r="BG30" s="453" t="str">
        <f t="shared" si="38"/>
        <v>NA</v>
      </c>
      <c r="BH30" s="453" t="str">
        <f t="shared" si="32"/>
        <v/>
      </c>
      <c r="BI30" s="453" t="str">
        <f t="shared" si="22"/>
        <v/>
      </c>
      <c r="BJ30" s="453" t="str">
        <f t="shared" si="23"/>
        <v/>
      </c>
      <c r="BK30" s="453" t="str">
        <f t="shared" si="24"/>
        <v/>
      </c>
      <c r="BL30" s="148" t="str">
        <f t="shared" si="33"/>
        <v/>
      </c>
      <c r="BM30" s="453" t="str">
        <f t="shared" si="25"/>
        <v/>
      </c>
      <c r="BN30" s="453" t="str">
        <f t="shared" si="26"/>
        <v/>
      </c>
      <c r="BO30" s="90"/>
    </row>
    <row r="31" spans="2:73" s="94" customFormat="1" ht="12.95" customHeight="1" x14ac:dyDescent="0.2">
      <c r="B31" s="151" t="str">
        <f>IF(ISNA(Z31),"",IF(OR(Z31=1,Z31=2),"    ",MAX($B$8:B30)+1))</f>
        <v/>
      </c>
      <c r="C31" s="904" t="str">
        <f t="shared" si="0"/>
        <v/>
      </c>
      <c r="D31" s="904"/>
      <c r="E31" s="904"/>
      <c r="F31" s="905"/>
      <c r="G31" s="133" t="str">
        <f t="shared" si="1"/>
        <v/>
      </c>
      <c r="H31" s="134" t="str">
        <f t="shared" si="2"/>
        <v/>
      </c>
      <c r="I31" s="152" t="str">
        <f t="shared" si="2"/>
        <v/>
      </c>
      <c r="J31" s="158"/>
      <c r="K31" s="159"/>
      <c r="L31" s="1015"/>
      <c r="M31" s="1016"/>
      <c r="N31" s="1016"/>
      <c r="O31" s="1016"/>
      <c r="P31" s="1016"/>
      <c r="Q31" s="1016"/>
      <c r="R31" s="1017"/>
      <c r="T31" s="99">
        <v>24</v>
      </c>
      <c r="U31" s="88" t="e">
        <v>#N/A</v>
      </c>
      <c r="V31" s="453" t="e">
        <v>#N/A</v>
      </c>
      <c r="W31" s="453" t="e">
        <v>#N/A</v>
      </c>
      <c r="X31" s="453" t="e">
        <v>#N/A</v>
      </c>
      <c r="Y31" s="453" t="e">
        <v>#N/A</v>
      </c>
      <c r="Z31" s="146" t="e">
        <v>#N/A</v>
      </c>
      <c r="AA31" s="146" t="e">
        <v>#N/A</v>
      </c>
      <c r="AB31" s="146" t="e">
        <v>#N/A</v>
      </c>
      <c r="AC31" s="453" t="e">
        <v>#N/A</v>
      </c>
      <c r="AD31" s="453" t="e">
        <v>#N/A</v>
      </c>
      <c r="AE31" s="453" t="e">
        <v>#N/A</v>
      </c>
      <c r="AF31" s="453" t="e">
        <v>#N/A</v>
      </c>
      <c r="AG31" s="453" t="e">
        <f t="shared" si="3"/>
        <v>#N/A</v>
      </c>
      <c r="AH31" s="453" t="str">
        <f t="shared" si="4"/>
        <v/>
      </c>
      <c r="AI31" s="138" t="e">
        <f>IF(NOT(OR(Z31=1,Z31=2)),IF(AQ31&gt;0,$AR$44*AQ31/SUMIF($AQ$8:$AQ$39,"&gt;0"),IF(AU31&gt;0,$AV$44*AU31/SUMIF($AU$8:$AU$39,"&gt;0"),IF(AS31&gt;0,$AT$44*AS31/SUMIF($AS$8:$AS$39,"&gt;0"),""))),IF(SUMIF(AJ32:$AJ$39,"=" &amp; AJ31,AI32:$AI$39)=0,"",SUMIF(AJ32:$AJ$39,"=" &amp; AJ31,AI32:$AI$39)))</f>
        <v>#N/A</v>
      </c>
      <c r="AJ31" s="139" t="e">
        <f t="shared" si="34"/>
        <v>#N/A</v>
      </c>
      <c r="AK31" s="453" t="str">
        <f t="shared" si="27"/>
        <v/>
      </c>
      <c r="AL31" s="146" t="str">
        <f t="shared" si="28"/>
        <v/>
      </c>
      <c r="AM31" s="146" t="str">
        <f t="shared" si="35"/>
        <v/>
      </c>
      <c r="AN31" s="146" t="str">
        <f t="shared" si="5"/>
        <v/>
      </c>
      <c r="AO31" s="146" t="e">
        <f t="shared" si="6"/>
        <v>#N/A</v>
      </c>
      <c r="AP31" s="453" t="str">
        <f t="shared" si="7"/>
        <v/>
      </c>
      <c r="AQ31" s="140">
        <f t="shared" si="29"/>
        <v>0</v>
      </c>
      <c r="AR31" s="141" t="str">
        <f t="shared" si="8"/>
        <v/>
      </c>
      <c r="AS31" s="142">
        <f t="shared" si="30"/>
        <v>0</v>
      </c>
      <c r="AT31" s="141" t="str">
        <f t="shared" si="9"/>
        <v/>
      </c>
      <c r="AU31" s="143">
        <f t="shared" si="10"/>
        <v>0</v>
      </c>
      <c r="AV31" s="144" t="str">
        <f t="shared" si="11"/>
        <v/>
      </c>
      <c r="AW31" s="143" t="b">
        <f t="shared" si="12"/>
        <v>0</v>
      </c>
      <c r="AX31" s="145" t="b">
        <f t="shared" si="13"/>
        <v>0</v>
      </c>
      <c r="AY31" s="143" t="b">
        <f t="shared" si="14"/>
        <v>0</v>
      </c>
      <c r="AZ31" s="145" t="b">
        <f t="shared" si="15"/>
        <v>0</v>
      </c>
      <c r="BA31" s="453" t="b">
        <f t="shared" si="16"/>
        <v>0</v>
      </c>
      <c r="BB31" s="453" t="b">
        <f t="shared" si="17"/>
        <v>0</v>
      </c>
      <c r="BC31" s="143" t="b">
        <f t="shared" si="18"/>
        <v>0</v>
      </c>
      <c r="BD31" s="146" t="b">
        <f>IF(OR(ISNA($Z31),ISNUMBER($Z31),NOT(ISNUMBER(K31))),FALSE,OR(NOT(ISNUMBER(J31)),J31=0,AND(J31=0,K31&lt;&gt;0)))</f>
        <v>0</v>
      </c>
      <c r="BE31" s="145" t="b">
        <f t="shared" si="37"/>
        <v>0</v>
      </c>
      <c r="BF31" s="147" t="b">
        <f>IF(OR(ISNA($Z31),H31&lt;&gt;"NG"),FALSE,IF(AND(J31="NA",K31&lt;&gt;""),TRUE,FALSE))</f>
        <v>0</v>
      </c>
      <c r="BG31" s="453" t="str">
        <f t="shared" si="38"/>
        <v>NA</v>
      </c>
      <c r="BH31" s="453" t="str">
        <f t="shared" si="32"/>
        <v/>
      </c>
      <c r="BI31" s="453" t="str">
        <f t="shared" si="22"/>
        <v/>
      </c>
      <c r="BJ31" s="453" t="str">
        <f t="shared" si="23"/>
        <v/>
      </c>
      <c r="BK31" s="453" t="str">
        <f t="shared" si="24"/>
        <v/>
      </c>
      <c r="BL31" s="148" t="str">
        <f t="shared" si="33"/>
        <v/>
      </c>
      <c r="BM31" s="453" t="str">
        <f t="shared" si="25"/>
        <v/>
      </c>
      <c r="BN31" s="453" t="str">
        <f t="shared" si="26"/>
        <v/>
      </c>
      <c r="BO31" s="155" t="s">
        <v>368</v>
      </c>
      <c r="BP31" s="161" t="s">
        <v>369</v>
      </c>
    </row>
    <row r="32" spans="2:73" s="94" customFormat="1" ht="12.95" customHeight="1" x14ac:dyDescent="0.2">
      <c r="B32" s="151" t="str">
        <f>IF(ISNA(Z32),"",IF(OR(Z32=1,Z32=2),"    ",MAX($B$8:B31)+1))</f>
        <v/>
      </c>
      <c r="C32" s="904" t="str">
        <f t="shared" si="0"/>
        <v/>
      </c>
      <c r="D32" s="904"/>
      <c r="E32" s="904"/>
      <c r="F32" s="905"/>
      <c r="G32" s="133" t="str">
        <f t="shared" si="1"/>
        <v/>
      </c>
      <c r="H32" s="134" t="str">
        <f t="shared" si="2"/>
        <v/>
      </c>
      <c r="I32" s="152" t="str">
        <f t="shared" si="2"/>
        <v/>
      </c>
      <c r="J32" s="158"/>
      <c r="K32" s="159"/>
      <c r="L32" s="1015"/>
      <c r="M32" s="1016"/>
      <c r="N32" s="1016"/>
      <c r="O32" s="1016"/>
      <c r="P32" s="1016"/>
      <c r="Q32" s="1016"/>
      <c r="R32" s="1017"/>
      <c r="T32" s="99">
        <v>25</v>
      </c>
      <c r="U32" s="88" t="e">
        <v>#N/A</v>
      </c>
      <c r="V32" s="453" t="e">
        <v>#N/A</v>
      </c>
      <c r="W32" s="453" t="e">
        <v>#N/A</v>
      </c>
      <c r="X32" s="453" t="e">
        <v>#N/A</v>
      </c>
      <c r="Y32" s="453" t="e">
        <v>#N/A</v>
      </c>
      <c r="Z32" s="146" t="e">
        <v>#N/A</v>
      </c>
      <c r="AA32" s="146" t="e">
        <v>#N/A</v>
      </c>
      <c r="AB32" s="146" t="e">
        <v>#N/A</v>
      </c>
      <c r="AC32" s="453" t="e">
        <v>#N/A</v>
      </c>
      <c r="AD32" s="453" t="e">
        <v>#N/A</v>
      </c>
      <c r="AE32" s="453" t="e">
        <v>#N/A</v>
      </c>
      <c r="AF32" s="453" t="e">
        <v>#N/A</v>
      </c>
      <c r="AG32" s="453" t="e">
        <f t="shared" si="3"/>
        <v>#N/A</v>
      </c>
      <c r="AH32" s="453" t="str">
        <f t="shared" si="4"/>
        <v/>
      </c>
      <c r="AI32" s="138" t="e">
        <f>IF(NOT(OR(Z32=1,Z32=2)),IF(AQ32&gt;0,$AR$44*AQ32/SUMIF($AQ$8:$AQ$39,"&gt;0"),IF(AU32&gt;0,$AV$44*AU32/SUMIF($AU$8:$AU$39,"&gt;0"),IF(AS32&gt;0,$AT$44*AS32/SUMIF($AS$8:$AS$39,"&gt;0"),""))),IF(SUMIF(AJ33:$AJ$39,"=" &amp; AJ32,AI33:$AI$39)=0,"",SUMIF(AJ33:$AJ$39,"=" &amp; AJ32,AI33:$AI$39)))</f>
        <v>#N/A</v>
      </c>
      <c r="AJ32" s="139" t="e">
        <f t="shared" si="34"/>
        <v>#N/A</v>
      </c>
      <c r="AK32" s="453" t="str">
        <f t="shared" si="27"/>
        <v/>
      </c>
      <c r="AL32" s="146" t="str">
        <f t="shared" si="28"/>
        <v/>
      </c>
      <c r="AM32" s="146" t="str">
        <f t="shared" si="35"/>
        <v/>
      </c>
      <c r="AN32" s="146" t="str">
        <f t="shared" si="5"/>
        <v/>
      </c>
      <c r="AO32" s="146" t="e">
        <f t="shared" si="6"/>
        <v>#N/A</v>
      </c>
      <c r="AP32" s="453" t="str">
        <f t="shared" si="7"/>
        <v/>
      </c>
      <c r="AQ32" s="140">
        <f t="shared" si="29"/>
        <v>0</v>
      </c>
      <c r="AR32" s="141" t="str">
        <f t="shared" si="8"/>
        <v/>
      </c>
      <c r="AS32" s="142">
        <f t="shared" si="30"/>
        <v>0</v>
      </c>
      <c r="AT32" s="141" t="str">
        <f t="shared" si="9"/>
        <v/>
      </c>
      <c r="AU32" s="143">
        <f t="shared" si="10"/>
        <v>0</v>
      </c>
      <c r="AV32" s="144" t="str">
        <f t="shared" si="11"/>
        <v/>
      </c>
      <c r="AW32" s="143" t="b">
        <f t="shared" si="12"/>
        <v>0</v>
      </c>
      <c r="AX32" s="145" t="b">
        <f t="shared" si="13"/>
        <v>0</v>
      </c>
      <c r="AY32" s="143" t="b">
        <f t="shared" si="14"/>
        <v>0</v>
      </c>
      <c r="AZ32" s="145" t="b">
        <f t="shared" si="15"/>
        <v>0</v>
      </c>
      <c r="BA32" s="453" t="b">
        <f t="shared" si="16"/>
        <v>0</v>
      </c>
      <c r="BB32" s="453" t="b">
        <f t="shared" si="17"/>
        <v>0</v>
      </c>
      <c r="BC32" s="143" t="b">
        <f t="shared" si="18"/>
        <v>0</v>
      </c>
      <c r="BD32" s="146" t="b">
        <f t="shared" si="31"/>
        <v>0</v>
      </c>
      <c r="BE32" s="145" t="b">
        <f t="shared" si="37"/>
        <v>0</v>
      </c>
      <c r="BF32" s="147" t="b">
        <f t="shared" ref="BF32:BF39" si="39">IF(OR(ISNA($Z32),H32&lt;&gt;"NG"),FALSE,IF(AND(J32="NA",K32&lt;&gt;""),TRUE,FALSE))</f>
        <v>0</v>
      </c>
      <c r="BG32" s="453" t="str">
        <f t="shared" si="38"/>
        <v>NA</v>
      </c>
      <c r="BH32" s="453" t="str">
        <f t="shared" si="32"/>
        <v/>
      </c>
      <c r="BI32" s="453" t="str">
        <f t="shared" si="22"/>
        <v/>
      </c>
      <c r="BJ32" s="453" t="str">
        <f t="shared" si="23"/>
        <v/>
      </c>
      <c r="BK32" s="453" t="str">
        <f t="shared" si="24"/>
        <v/>
      </c>
      <c r="BL32" s="148" t="str">
        <f t="shared" si="33"/>
        <v/>
      </c>
      <c r="BM32" s="453" t="str">
        <f t="shared" si="25"/>
        <v/>
      </c>
      <c r="BN32" s="453" t="str">
        <f t="shared" si="26"/>
        <v/>
      </c>
      <c r="BO32" s="155" t="s">
        <v>370</v>
      </c>
      <c r="BP32" s="161" t="s">
        <v>371</v>
      </c>
    </row>
    <row r="33" spans="2:73" s="94" customFormat="1" ht="12.95" customHeight="1" x14ac:dyDescent="0.2">
      <c r="B33" s="151" t="str">
        <f>IF(ISNA(Z33),"",IF(OR(Z33=1,Z33=2),"    ",MAX($B$8:B32)+1))</f>
        <v/>
      </c>
      <c r="C33" s="904" t="str">
        <f t="shared" si="0"/>
        <v/>
      </c>
      <c r="D33" s="904"/>
      <c r="E33" s="904"/>
      <c r="F33" s="905"/>
      <c r="G33" s="133" t="str">
        <f t="shared" si="1"/>
        <v/>
      </c>
      <c r="H33" s="134" t="str">
        <f t="shared" si="2"/>
        <v/>
      </c>
      <c r="I33" s="152" t="str">
        <f t="shared" si="2"/>
        <v/>
      </c>
      <c r="J33" s="158"/>
      <c r="K33" s="159"/>
      <c r="L33" s="1015"/>
      <c r="M33" s="1016"/>
      <c r="N33" s="1016"/>
      <c r="O33" s="1016"/>
      <c r="P33" s="1016"/>
      <c r="Q33" s="1016"/>
      <c r="R33" s="1017"/>
      <c r="T33" s="99">
        <v>26</v>
      </c>
      <c r="U33" s="88" t="e">
        <v>#N/A</v>
      </c>
      <c r="V33" s="453" t="e">
        <v>#N/A</v>
      </c>
      <c r="W33" s="453" t="e">
        <v>#N/A</v>
      </c>
      <c r="X33" s="453" t="e">
        <v>#N/A</v>
      </c>
      <c r="Y33" s="453" t="e">
        <v>#N/A</v>
      </c>
      <c r="Z33" s="146" t="e">
        <v>#N/A</v>
      </c>
      <c r="AA33" s="146" t="e">
        <v>#N/A</v>
      </c>
      <c r="AB33" s="146" t="e">
        <v>#N/A</v>
      </c>
      <c r="AC33" s="453" t="e">
        <v>#N/A</v>
      </c>
      <c r="AD33" s="453" t="e">
        <v>#N/A</v>
      </c>
      <c r="AE33" s="453" t="e">
        <v>#N/A</v>
      </c>
      <c r="AF33" s="453" t="e">
        <v>#N/A</v>
      </c>
      <c r="AG33" s="453" t="e">
        <f t="shared" si="3"/>
        <v>#N/A</v>
      </c>
      <c r="AH33" s="453" t="str">
        <f t="shared" si="4"/>
        <v/>
      </c>
      <c r="AI33" s="138" t="e">
        <f>IF(NOT(OR(Z33=1,Z33=2)),IF(AQ33&gt;0,$AR$44*AQ33/SUMIF($AQ$8:$AQ$39,"&gt;0"),IF(AU33&gt;0,$AV$44*AU33/SUMIF($AU$8:$AU$39,"&gt;0"),IF(AS33&gt;0,$AT$44*AS33/SUMIF($AS$8:$AS$39,"&gt;0"),""))),IF(SUMIF(AJ34:$AJ$39,"=" &amp; AJ33,AI34:$AI$39)=0,"",SUMIF(AJ34:$AJ$39,"=" &amp; AJ33,AI34:$AI$39)))</f>
        <v>#N/A</v>
      </c>
      <c r="AJ33" s="139" t="e">
        <f t="shared" si="34"/>
        <v>#N/A</v>
      </c>
      <c r="AK33" s="453" t="str">
        <f t="shared" si="27"/>
        <v/>
      </c>
      <c r="AL33" s="146" t="str">
        <f t="shared" si="28"/>
        <v/>
      </c>
      <c r="AM33" s="146" t="str">
        <f t="shared" si="35"/>
        <v/>
      </c>
      <c r="AN33" s="146" t="str">
        <f t="shared" si="5"/>
        <v/>
      </c>
      <c r="AO33" s="146" t="e">
        <f t="shared" si="6"/>
        <v>#N/A</v>
      </c>
      <c r="AP33" s="453" t="str">
        <f t="shared" si="7"/>
        <v/>
      </c>
      <c r="AQ33" s="140">
        <f t="shared" si="29"/>
        <v>0</v>
      </c>
      <c r="AR33" s="141" t="str">
        <f t="shared" si="8"/>
        <v/>
      </c>
      <c r="AS33" s="142">
        <f t="shared" si="30"/>
        <v>0</v>
      </c>
      <c r="AT33" s="141" t="str">
        <f t="shared" si="9"/>
        <v/>
      </c>
      <c r="AU33" s="143">
        <f t="shared" si="10"/>
        <v>0</v>
      </c>
      <c r="AV33" s="144" t="str">
        <f t="shared" si="11"/>
        <v/>
      </c>
      <c r="AW33" s="143" t="b">
        <f t="shared" si="12"/>
        <v>0</v>
      </c>
      <c r="AX33" s="145" t="b">
        <f t="shared" si="13"/>
        <v>0</v>
      </c>
      <c r="AY33" s="143" t="b">
        <f t="shared" si="14"/>
        <v>0</v>
      </c>
      <c r="AZ33" s="145" t="b">
        <f t="shared" si="15"/>
        <v>0</v>
      </c>
      <c r="BA33" s="453" t="b">
        <f t="shared" si="16"/>
        <v>0</v>
      </c>
      <c r="BB33" s="453" t="b">
        <f t="shared" si="17"/>
        <v>0</v>
      </c>
      <c r="BC33" s="143" t="b">
        <f t="shared" si="18"/>
        <v>0</v>
      </c>
      <c r="BD33" s="146" t="b">
        <f t="shared" si="31"/>
        <v>0</v>
      </c>
      <c r="BE33" s="145" t="b">
        <f t="shared" si="37"/>
        <v>0</v>
      </c>
      <c r="BF33" s="147" t="b">
        <f t="shared" si="39"/>
        <v>0</v>
      </c>
      <c r="BG33" s="453" t="str">
        <f t="shared" si="38"/>
        <v>NA</v>
      </c>
      <c r="BH33" s="453" t="str">
        <f t="shared" si="32"/>
        <v/>
      </c>
      <c r="BI33" s="453" t="str">
        <f t="shared" si="22"/>
        <v/>
      </c>
      <c r="BJ33" s="453" t="str">
        <f t="shared" si="23"/>
        <v/>
      </c>
      <c r="BK33" s="453" t="str">
        <f t="shared" si="24"/>
        <v/>
      </c>
      <c r="BL33" s="148" t="str">
        <f t="shared" si="33"/>
        <v/>
      </c>
      <c r="BM33" s="453" t="str">
        <f t="shared" si="25"/>
        <v/>
      </c>
      <c r="BN33" s="453" t="str">
        <f t="shared" si="26"/>
        <v/>
      </c>
      <c r="BO33" s="150" t="s">
        <v>372</v>
      </c>
      <c r="BP33" s="161"/>
      <c r="BQ33" s="161"/>
      <c r="BR33" s="161"/>
      <c r="BS33" s="161"/>
      <c r="BT33" s="161"/>
      <c r="BU33" s="161"/>
    </row>
    <row r="34" spans="2:73" s="94" customFormat="1" ht="12.95" customHeight="1" x14ac:dyDescent="0.2">
      <c r="B34" s="151" t="str">
        <f>IF(ISNA(Z34),"",IF(OR(Z34=1,Z34=2),"    ",MAX($B$8:B33)+1))</f>
        <v/>
      </c>
      <c r="C34" s="904" t="str">
        <f t="shared" si="0"/>
        <v/>
      </c>
      <c r="D34" s="904"/>
      <c r="E34" s="904"/>
      <c r="F34" s="905"/>
      <c r="G34" s="133" t="str">
        <f t="shared" si="1"/>
        <v/>
      </c>
      <c r="H34" s="134" t="str">
        <f t="shared" si="2"/>
        <v/>
      </c>
      <c r="I34" s="152" t="str">
        <f t="shared" si="2"/>
        <v/>
      </c>
      <c r="J34" s="480"/>
      <c r="K34" s="159"/>
      <c r="L34" s="1015"/>
      <c r="M34" s="1016"/>
      <c r="N34" s="1016"/>
      <c r="O34" s="1016"/>
      <c r="P34" s="1016"/>
      <c r="Q34" s="1016"/>
      <c r="R34" s="1017"/>
      <c r="T34" s="99">
        <v>27</v>
      </c>
      <c r="U34" s="88" t="e">
        <v>#N/A</v>
      </c>
      <c r="V34" s="453" t="e">
        <v>#N/A</v>
      </c>
      <c r="W34" s="453" t="e">
        <v>#N/A</v>
      </c>
      <c r="X34" s="453" t="e">
        <v>#N/A</v>
      </c>
      <c r="Y34" s="453" t="e">
        <v>#N/A</v>
      </c>
      <c r="Z34" s="146" t="e">
        <v>#N/A</v>
      </c>
      <c r="AA34" s="146" t="e">
        <v>#N/A</v>
      </c>
      <c r="AB34" s="146" t="e">
        <v>#N/A</v>
      </c>
      <c r="AC34" s="453" t="e">
        <v>#N/A</v>
      </c>
      <c r="AD34" s="453" t="e">
        <v>#N/A</v>
      </c>
      <c r="AE34" s="453" t="e">
        <v>#N/A</v>
      </c>
      <c r="AF34" s="453" t="e">
        <v>#N/A</v>
      </c>
      <c r="AG34" s="453" t="e">
        <f t="shared" si="3"/>
        <v>#N/A</v>
      </c>
      <c r="AH34" s="453" t="str">
        <f t="shared" si="4"/>
        <v/>
      </c>
      <c r="AI34" s="138" t="e">
        <f>IF(NOT(OR(Z34=1,Z34=2)),IF(AQ34&gt;0,$AR$44*AQ34/SUMIF($AQ$8:$AQ$39,"&gt;0"),IF(AU34&gt;0,$AV$44*AU34/SUMIF($AU$8:$AU$39,"&gt;0"),IF(AS34&gt;0,$AT$44*AS34/SUMIF($AS$8:$AS$39,"&gt;0"),""))),IF(SUMIF(AJ35:$AJ$39,"=" &amp; AJ34,AI35:$AI$39)=0,"",SUMIF(AJ35:$AJ$39,"=" &amp; AJ34,AI35:$AI$39)))</f>
        <v>#N/A</v>
      </c>
      <c r="AJ34" s="139" t="e">
        <f t="shared" si="34"/>
        <v>#N/A</v>
      </c>
      <c r="AK34" s="453" t="str">
        <f t="shared" si="27"/>
        <v/>
      </c>
      <c r="AL34" s="146" t="str">
        <f t="shared" si="28"/>
        <v/>
      </c>
      <c r="AM34" s="146" t="str">
        <f t="shared" si="35"/>
        <v/>
      </c>
      <c r="AN34" s="146" t="str">
        <f t="shared" si="5"/>
        <v/>
      </c>
      <c r="AO34" s="146" t="e">
        <f t="shared" si="6"/>
        <v>#N/A</v>
      </c>
      <c r="AP34" s="453" t="str">
        <f t="shared" si="7"/>
        <v/>
      </c>
      <c r="AQ34" s="140">
        <f t="shared" si="29"/>
        <v>0</v>
      </c>
      <c r="AR34" s="141" t="str">
        <f t="shared" si="8"/>
        <v/>
      </c>
      <c r="AS34" s="142">
        <f t="shared" si="30"/>
        <v>0</v>
      </c>
      <c r="AT34" s="141" t="str">
        <f t="shared" si="9"/>
        <v/>
      </c>
      <c r="AU34" s="143">
        <f t="shared" si="10"/>
        <v>0</v>
      </c>
      <c r="AV34" s="144" t="str">
        <f t="shared" si="11"/>
        <v/>
      </c>
      <c r="AW34" s="143" t="b">
        <f t="shared" si="12"/>
        <v>0</v>
      </c>
      <c r="AX34" s="145" t="b">
        <f t="shared" si="13"/>
        <v>0</v>
      </c>
      <c r="AY34" s="143" t="b">
        <f t="shared" si="14"/>
        <v>0</v>
      </c>
      <c r="AZ34" s="145" t="b">
        <f t="shared" si="15"/>
        <v>0</v>
      </c>
      <c r="BA34" s="453" t="b">
        <f t="shared" si="16"/>
        <v>0</v>
      </c>
      <c r="BB34" s="453" t="b">
        <f t="shared" si="17"/>
        <v>0</v>
      </c>
      <c r="BC34" s="143" t="b">
        <f t="shared" si="18"/>
        <v>0</v>
      </c>
      <c r="BD34" s="146" t="b">
        <f t="shared" si="31"/>
        <v>0</v>
      </c>
      <c r="BE34" s="145" t="b">
        <f t="shared" si="37"/>
        <v>0</v>
      </c>
      <c r="BF34" s="147" t="b">
        <f t="shared" si="39"/>
        <v>0</v>
      </c>
      <c r="BG34" s="453" t="str">
        <f t="shared" si="38"/>
        <v>NA</v>
      </c>
      <c r="BH34" s="453" t="str">
        <f t="shared" si="32"/>
        <v/>
      </c>
      <c r="BI34" s="453" t="str">
        <f t="shared" si="22"/>
        <v/>
      </c>
      <c r="BJ34" s="453" t="str">
        <f t="shared" si="23"/>
        <v/>
      </c>
      <c r="BK34" s="453" t="str">
        <f t="shared" si="24"/>
        <v/>
      </c>
      <c r="BL34" s="148" t="str">
        <f t="shared" si="33"/>
        <v/>
      </c>
      <c r="BM34" s="453" t="str">
        <f t="shared" si="25"/>
        <v/>
      </c>
      <c r="BN34" s="453" t="str">
        <f t="shared" si="26"/>
        <v/>
      </c>
      <c r="BO34" s="1023"/>
      <c r="BP34" s="1024"/>
      <c r="BQ34" s="1024"/>
      <c r="BR34" s="1024"/>
      <c r="BS34" s="1024"/>
      <c r="BT34" s="1024"/>
      <c r="BU34" s="1025"/>
    </row>
    <row r="35" spans="2:73" s="94" customFormat="1" ht="12.95" customHeight="1" x14ac:dyDescent="0.2">
      <c r="B35" s="151" t="str">
        <f>IF(ISNA(Z35),"",IF(OR(Z35=1,Z35=2),"    ",MAX($B$8:B34)+1))</f>
        <v/>
      </c>
      <c r="C35" s="904" t="str">
        <f t="shared" si="0"/>
        <v/>
      </c>
      <c r="D35" s="904"/>
      <c r="E35" s="904"/>
      <c r="F35" s="905"/>
      <c r="G35" s="133" t="str">
        <f t="shared" si="1"/>
        <v/>
      </c>
      <c r="H35" s="134" t="str">
        <f t="shared" si="2"/>
        <v/>
      </c>
      <c r="I35" s="152" t="str">
        <f t="shared" si="2"/>
        <v/>
      </c>
      <c r="J35" s="480"/>
      <c r="K35" s="159"/>
      <c r="L35" s="1015"/>
      <c r="M35" s="1016"/>
      <c r="N35" s="1016"/>
      <c r="O35" s="1016"/>
      <c r="P35" s="1016"/>
      <c r="Q35" s="1016"/>
      <c r="R35" s="1017"/>
      <c r="T35" s="99">
        <v>28</v>
      </c>
      <c r="U35" s="88" t="e">
        <v>#N/A</v>
      </c>
      <c r="V35" s="453" t="e">
        <v>#N/A</v>
      </c>
      <c r="W35" s="453" t="e">
        <v>#N/A</v>
      </c>
      <c r="X35" s="453" t="e">
        <v>#N/A</v>
      </c>
      <c r="Y35" s="453" t="e">
        <v>#N/A</v>
      </c>
      <c r="Z35" s="146" t="e">
        <v>#N/A</v>
      </c>
      <c r="AA35" s="146" t="e">
        <v>#N/A</v>
      </c>
      <c r="AB35" s="146" t="e">
        <v>#N/A</v>
      </c>
      <c r="AC35" s="453" t="e">
        <v>#N/A</v>
      </c>
      <c r="AD35" s="453" t="e">
        <v>#N/A</v>
      </c>
      <c r="AE35" s="453" t="e">
        <v>#N/A</v>
      </c>
      <c r="AF35" s="453" t="e">
        <v>#N/A</v>
      </c>
      <c r="AG35" s="453" t="e">
        <f t="shared" si="3"/>
        <v>#N/A</v>
      </c>
      <c r="AH35" s="453" t="str">
        <f t="shared" si="4"/>
        <v/>
      </c>
      <c r="AI35" s="138" t="e">
        <f>IF(NOT(OR(Z35=1,Z35=2)),IF(AQ35&gt;0,$AR$44*AQ35/SUMIF($AQ$8:$AQ$39,"&gt;0"),IF(AU35&gt;0,$AV$44*AU35/SUMIF($AU$8:$AU$39,"&gt;0"),IF(AS35&gt;0,$AT$44*AS35/SUMIF($AS$8:$AS$39,"&gt;0"),""))),IF(SUMIF(AJ36:$AJ$39,"=" &amp; AJ35,AI36:$AI$39)=0,"",SUMIF(AJ36:$AJ$39,"=" &amp; AJ35,AI36:$AI$39)))</f>
        <v>#N/A</v>
      </c>
      <c r="AJ35" s="139" t="e">
        <f t="shared" si="34"/>
        <v>#N/A</v>
      </c>
      <c r="AK35" s="453" t="str">
        <f t="shared" si="27"/>
        <v/>
      </c>
      <c r="AL35" s="146" t="str">
        <f t="shared" si="28"/>
        <v/>
      </c>
      <c r="AM35" s="146" t="str">
        <f t="shared" si="35"/>
        <v/>
      </c>
      <c r="AN35" s="146" t="str">
        <f t="shared" si="5"/>
        <v/>
      </c>
      <c r="AO35" s="146" t="e">
        <f t="shared" si="6"/>
        <v>#N/A</v>
      </c>
      <c r="AP35" s="453" t="str">
        <f t="shared" si="7"/>
        <v/>
      </c>
      <c r="AQ35" s="140">
        <f t="shared" si="29"/>
        <v>0</v>
      </c>
      <c r="AR35" s="141" t="str">
        <f t="shared" si="8"/>
        <v/>
      </c>
      <c r="AS35" s="142">
        <f t="shared" si="30"/>
        <v>0</v>
      </c>
      <c r="AT35" s="141" t="str">
        <f t="shared" si="9"/>
        <v/>
      </c>
      <c r="AU35" s="143">
        <f t="shared" si="10"/>
        <v>0</v>
      </c>
      <c r="AV35" s="144" t="str">
        <f t="shared" si="11"/>
        <v/>
      </c>
      <c r="AW35" s="143" t="b">
        <f t="shared" si="12"/>
        <v>0</v>
      </c>
      <c r="AX35" s="145" t="b">
        <f t="shared" si="13"/>
        <v>0</v>
      </c>
      <c r="AY35" s="143" t="b">
        <f t="shared" si="14"/>
        <v>0</v>
      </c>
      <c r="AZ35" s="145" t="b">
        <f t="shared" si="15"/>
        <v>0</v>
      </c>
      <c r="BA35" s="453" t="b">
        <f t="shared" si="16"/>
        <v>0</v>
      </c>
      <c r="BB35" s="453" t="b">
        <f t="shared" si="17"/>
        <v>0</v>
      </c>
      <c r="BC35" s="143" t="b">
        <f t="shared" si="18"/>
        <v>0</v>
      </c>
      <c r="BD35" s="146" t="b">
        <f t="shared" si="31"/>
        <v>0</v>
      </c>
      <c r="BE35" s="145" t="b">
        <f t="shared" si="37"/>
        <v>0</v>
      </c>
      <c r="BF35" s="147" t="b">
        <f t="shared" si="39"/>
        <v>0</v>
      </c>
      <c r="BG35" s="453" t="str">
        <f t="shared" si="38"/>
        <v>NA</v>
      </c>
      <c r="BH35" s="453" t="str">
        <f t="shared" si="32"/>
        <v/>
      </c>
      <c r="BI35" s="453" t="str">
        <f t="shared" si="22"/>
        <v/>
      </c>
      <c r="BJ35" s="453" t="str">
        <f t="shared" si="23"/>
        <v/>
      </c>
      <c r="BK35" s="453" t="str">
        <f t="shared" si="24"/>
        <v/>
      </c>
      <c r="BL35" s="148" t="str">
        <f t="shared" si="33"/>
        <v/>
      </c>
      <c r="BM35" s="453" t="str">
        <f t="shared" si="25"/>
        <v/>
      </c>
      <c r="BN35" s="453" t="str">
        <f t="shared" si="26"/>
        <v/>
      </c>
      <c r="BO35" s="1026"/>
      <c r="BP35" s="1027"/>
      <c r="BQ35" s="1027"/>
      <c r="BR35" s="1027"/>
      <c r="BS35" s="1027"/>
      <c r="BT35" s="1027"/>
      <c r="BU35" s="1028"/>
    </row>
    <row r="36" spans="2:73" s="94" customFormat="1" ht="12.95" customHeight="1" x14ac:dyDescent="0.2">
      <c r="B36" s="151" t="str">
        <f>IF(ISNA(Z36),"",IF(OR(Z36=1,Z36=2),"    ",MAX($B$8:B35)+1))</f>
        <v/>
      </c>
      <c r="C36" s="904" t="str">
        <f t="shared" si="0"/>
        <v/>
      </c>
      <c r="D36" s="904"/>
      <c r="E36" s="904"/>
      <c r="F36" s="905"/>
      <c r="G36" s="133" t="str">
        <f t="shared" si="1"/>
        <v/>
      </c>
      <c r="H36" s="134" t="str">
        <f t="shared" si="2"/>
        <v/>
      </c>
      <c r="I36" s="152" t="str">
        <f t="shared" si="2"/>
        <v/>
      </c>
      <c r="J36" s="480"/>
      <c r="K36" s="159"/>
      <c r="L36" s="1015"/>
      <c r="M36" s="1016"/>
      <c r="N36" s="1016"/>
      <c r="O36" s="1016"/>
      <c r="P36" s="1016"/>
      <c r="Q36" s="1016"/>
      <c r="R36" s="1017"/>
      <c r="T36" s="99">
        <v>29</v>
      </c>
      <c r="U36" s="88" t="e">
        <v>#N/A</v>
      </c>
      <c r="V36" s="453" t="e">
        <v>#N/A</v>
      </c>
      <c r="W36" s="453" t="e">
        <v>#N/A</v>
      </c>
      <c r="X36" s="453" t="e">
        <v>#N/A</v>
      </c>
      <c r="Y36" s="453" t="e">
        <v>#N/A</v>
      </c>
      <c r="Z36" s="146" t="e">
        <v>#N/A</v>
      </c>
      <c r="AA36" s="146" t="e">
        <v>#N/A</v>
      </c>
      <c r="AB36" s="146" t="e">
        <v>#N/A</v>
      </c>
      <c r="AC36" s="453" t="e">
        <v>#N/A</v>
      </c>
      <c r="AD36" s="453" t="e">
        <v>#N/A</v>
      </c>
      <c r="AE36" s="453" t="e">
        <v>#N/A</v>
      </c>
      <c r="AF36" s="453" t="e">
        <v>#N/A</v>
      </c>
      <c r="AG36" s="453" t="e">
        <f t="shared" si="3"/>
        <v>#N/A</v>
      </c>
      <c r="AH36" s="453" t="str">
        <f t="shared" si="4"/>
        <v/>
      </c>
      <c r="AI36" s="138" t="e">
        <f>IF(NOT(OR(Z36=1,Z36=2)),IF(AQ36&gt;0,$AR$44*AQ36/SUMIF($AQ$8:$AQ$39,"&gt;0"),IF(AU36&gt;0,$AV$44*AU36/SUMIF($AU$8:$AU$39,"&gt;0"),IF(AS36&gt;0,$AT$44*AS36/SUMIF($AS$8:$AS$39,"&gt;0"),""))),IF(SUMIF(AJ37:$AJ$39,"=" &amp; AJ36,AI37:$AI$39)=0,"",SUMIF(AJ37:$AJ$39,"=" &amp; AJ36,AI37:$AI$39)))</f>
        <v>#N/A</v>
      </c>
      <c r="AJ36" s="139" t="e">
        <f t="shared" si="34"/>
        <v>#N/A</v>
      </c>
      <c r="AK36" s="453" t="str">
        <f t="shared" si="27"/>
        <v/>
      </c>
      <c r="AL36" s="146" t="str">
        <f t="shared" si="28"/>
        <v/>
      </c>
      <c r="AM36" s="146" t="str">
        <f t="shared" si="35"/>
        <v/>
      </c>
      <c r="AN36" s="146" t="str">
        <f t="shared" si="5"/>
        <v/>
      </c>
      <c r="AO36" s="146" t="e">
        <f t="shared" si="6"/>
        <v>#N/A</v>
      </c>
      <c r="AP36" s="453" t="str">
        <f t="shared" si="7"/>
        <v/>
      </c>
      <c r="AQ36" s="140">
        <f t="shared" si="29"/>
        <v>0</v>
      </c>
      <c r="AR36" s="141" t="str">
        <f t="shared" si="8"/>
        <v/>
      </c>
      <c r="AS36" s="142">
        <f t="shared" si="30"/>
        <v>0</v>
      </c>
      <c r="AT36" s="141" t="str">
        <f t="shared" si="9"/>
        <v/>
      </c>
      <c r="AU36" s="143">
        <f t="shared" si="10"/>
        <v>0</v>
      </c>
      <c r="AV36" s="144" t="str">
        <f t="shared" si="11"/>
        <v/>
      </c>
      <c r="AW36" s="143" t="b">
        <f t="shared" si="12"/>
        <v>0</v>
      </c>
      <c r="AX36" s="145" t="b">
        <f t="shared" si="13"/>
        <v>0</v>
      </c>
      <c r="AY36" s="143" t="b">
        <f t="shared" si="14"/>
        <v>0</v>
      </c>
      <c r="AZ36" s="145" t="b">
        <f t="shared" si="15"/>
        <v>0</v>
      </c>
      <c r="BA36" s="453" t="b">
        <f t="shared" si="16"/>
        <v>0</v>
      </c>
      <c r="BB36" s="453" t="b">
        <f t="shared" si="17"/>
        <v>0</v>
      </c>
      <c r="BC36" s="143" t="b">
        <f t="shared" si="18"/>
        <v>0</v>
      </c>
      <c r="BD36" s="146" t="b">
        <f t="shared" si="31"/>
        <v>0</v>
      </c>
      <c r="BE36" s="145" t="b">
        <f t="shared" si="37"/>
        <v>0</v>
      </c>
      <c r="BF36" s="147" t="b">
        <f t="shared" si="39"/>
        <v>0</v>
      </c>
      <c r="BG36" s="453" t="str">
        <f t="shared" si="38"/>
        <v>NA</v>
      </c>
      <c r="BH36" s="453" t="str">
        <f t="shared" si="32"/>
        <v/>
      </c>
      <c r="BI36" s="453" t="str">
        <f t="shared" si="22"/>
        <v/>
      </c>
      <c r="BJ36" s="453" t="str">
        <f t="shared" si="23"/>
        <v/>
      </c>
      <c r="BK36" s="453" t="str">
        <f t="shared" si="24"/>
        <v/>
      </c>
      <c r="BL36" s="148" t="str">
        <f t="shared" si="33"/>
        <v/>
      </c>
      <c r="BM36" s="453" t="str">
        <f t="shared" si="25"/>
        <v/>
      </c>
      <c r="BN36" s="453" t="str">
        <f t="shared" si="26"/>
        <v/>
      </c>
      <c r="BO36" s="1026"/>
      <c r="BP36" s="1027"/>
      <c r="BQ36" s="1027"/>
      <c r="BR36" s="1027"/>
      <c r="BS36" s="1027"/>
      <c r="BT36" s="1027"/>
      <c r="BU36" s="1028"/>
    </row>
    <row r="37" spans="2:73" s="94" customFormat="1" ht="12.95" customHeight="1" x14ac:dyDescent="0.2">
      <c r="B37" s="151" t="str">
        <f>IF(ISNA(Z37),"",IF(OR(Z37=1,Z37=2),"    ",MAX($B$8:B36)+1))</f>
        <v/>
      </c>
      <c r="C37" s="904" t="str">
        <f>IF(ISNA(Z37),"",CONCATENATE($U37,IF(ISNUMBER(AI37),TEXT(ROUND($AI37,3)," (0.0%)"),""),IF(AU37&gt;0," Bonus","")))</f>
        <v/>
      </c>
      <c r="D37" s="904"/>
      <c r="E37" s="904"/>
      <c r="F37" s="905"/>
      <c r="G37" s="133" t="str">
        <f t="shared" si="1"/>
        <v/>
      </c>
      <c r="H37" s="134" t="str">
        <f t="shared" si="2"/>
        <v/>
      </c>
      <c r="I37" s="152" t="str">
        <f t="shared" si="2"/>
        <v/>
      </c>
      <c r="J37" s="480"/>
      <c r="K37" s="159"/>
      <c r="L37" s="1015"/>
      <c r="M37" s="1016"/>
      <c r="N37" s="1016"/>
      <c r="O37" s="1016"/>
      <c r="P37" s="1016"/>
      <c r="Q37" s="1016"/>
      <c r="R37" s="1017"/>
      <c r="T37" s="99">
        <v>30</v>
      </c>
      <c r="U37" s="88" t="e">
        <v>#N/A</v>
      </c>
      <c r="V37" s="453" t="e">
        <v>#N/A</v>
      </c>
      <c r="W37" s="453" t="e">
        <v>#N/A</v>
      </c>
      <c r="X37" s="453" t="e">
        <v>#N/A</v>
      </c>
      <c r="Y37" s="453" t="e">
        <v>#N/A</v>
      </c>
      <c r="Z37" s="146" t="e">
        <v>#N/A</v>
      </c>
      <c r="AA37" s="146" t="e">
        <v>#N/A</v>
      </c>
      <c r="AB37" s="146" t="e">
        <v>#N/A</v>
      </c>
      <c r="AC37" s="453" t="e">
        <v>#N/A</v>
      </c>
      <c r="AD37" s="453" t="e">
        <v>#N/A</v>
      </c>
      <c r="AE37" s="453" t="e">
        <v>#N/A</v>
      </c>
      <c r="AF37" s="453" t="e">
        <v>#N/A</v>
      </c>
      <c r="AG37" s="453" t="e">
        <f t="shared" si="3"/>
        <v>#N/A</v>
      </c>
      <c r="AH37" s="453" t="str">
        <f t="shared" si="4"/>
        <v/>
      </c>
      <c r="AI37" s="138" t="e">
        <f>IF(NOT(OR(Z37=1,Z37=2)),IF(AQ37&gt;0,$AR$44*AQ37/SUMIF($AQ$8:$AQ$39,"&gt;0"),IF(AU37&gt;0,$AV$44*AU37/SUMIF($AU$8:$AU$39,"&gt;0"),IF(AS37&gt;0,$AT$44*AS37/SUMIF($AS$8:$AS$39,"&gt;0"),""))),IF(SUMIF(AJ38:$AJ$39,"=" &amp; AJ37,AI38:$AI$39)=0,"",SUMIF(AJ38:$AJ$39,"=" &amp; AJ37,AI38:$AI$39)))</f>
        <v>#N/A</v>
      </c>
      <c r="AJ37" s="139" t="e">
        <f t="shared" si="34"/>
        <v>#N/A</v>
      </c>
      <c r="AK37" s="453" t="str">
        <f t="shared" si="27"/>
        <v/>
      </c>
      <c r="AL37" s="146" t="str">
        <f t="shared" si="28"/>
        <v/>
      </c>
      <c r="AM37" s="146" t="str">
        <f t="shared" si="35"/>
        <v/>
      </c>
      <c r="AN37" s="146" t="str">
        <f>IF(ISNUMBER(AH37),IF(AND(AB37=0,ISNUMBER(AC37),ISNUMBER(AL37)),1,""),"")</f>
        <v/>
      </c>
      <c r="AO37" s="146" t="e">
        <f t="shared" si="6"/>
        <v>#N/A</v>
      </c>
      <c r="AP37" s="453" t="str">
        <f t="shared" si="7"/>
        <v/>
      </c>
      <c r="AQ37" s="140">
        <f t="shared" si="29"/>
        <v>0</v>
      </c>
      <c r="AR37" s="141" t="str">
        <f t="shared" si="8"/>
        <v/>
      </c>
      <c r="AS37" s="142">
        <f t="shared" si="30"/>
        <v>0</v>
      </c>
      <c r="AT37" s="141" t="str">
        <f t="shared" si="9"/>
        <v/>
      </c>
      <c r="AU37" s="143">
        <f t="shared" si="10"/>
        <v>0</v>
      </c>
      <c r="AV37" s="144" t="str">
        <f t="shared" si="11"/>
        <v/>
      </c>
      <c r="AW37" s="143" t="b">
        <f t="shared" si="12"/>
        <v>0</v>
      </c>
      <c r="AX37" s="145" t="b">
        <f t="shared" si="13"/>
        <v>0</v>
      </c>
      <c r="AY37" s="143" t="b">
        <f t="shared" si="14"/>
        <v>0</v>
      </c>
      <c r="AZ37" s="145" t="b">
        <f t="shared" si="15"/>
        <v>0</v>
      </c>
      <c r="BA37" s="453" t="b">
        <f t="shared" si="16"/>
        <v>0</v>
      </c>
      <c r="BB37" s="453" t="b">
        <f t="shared" si="17"/>
        <v>0</v>
      </c>
      <c r="BC37" s="143" t="b">
        <f t="shared" si="18"/>
        <v>0</v>
      </c>
      <c r="BD37" s="146" t="b">
        <f t="shared" si="31"/>
        <v>0</v>
      </c>
      <c r="BE37" s="145" t="b">
        <f t="shared" si="37"/>
        <v>0</v>
      </c>
      <c r="BF37" s="147" t="b">
        <f t="shared" si="39"/>
        <v>0</v>
      </c>
      <c r="BG37" s="453" t="str">
        <f t="shared" si="38"/>
        <v>NA</v>
      </c>
      <c r="BH37" s="453" t="str">
        <f t="shared" si="32"/>
        <v/>
      </c>
      <c r="BI37" s="453" t="str">
        <f t="shared" si="22"/>
        <v/>
      </c>
      <c r="BJ37" s="453" t="str">
        <f t="shared" si="23"/>
        <v/>
      </c>
      <c r="BK37" s="453" t="str">
        <f t="shared" si="24"/>
        <v/>
      </c>
      <c r="BL37" s="148" t="str">
        <f t="shared" si="33"/>
        <v/>
      </c>
      <c r="BM37" s="453" t="str">
        <f t="shared" si="25"/>
        <v/>
      </c>
      <c r="BN37" s="453" t="str">
        <f t="shared" si="26"/>
        <v/>
      </c>
      <c r="BO37" s="1029"/>
      <c r="BP37" s="1030"/>
      <c r="BQ37" s="1030"/>
      <c r="BR37" s="1030"/>
      <c r="BS37" s="1030"/>
      <c r="BT37" s="1030"/>
      <c r="BU37" s="1031"/>
    </row>
    <row r="38" spans="2:73" s="94" customFormat="1" ht="12.95" customHeight="1" x14ac:dyDescent="0.2">
      <c r="B38" s="151" t="str">
        <f>IF(ISNA(Z38),"",IF(OR(Z38=1,Z38=2),"    ",MAX($B$8:B37)+1))</f>
        <v/>
      </c>
      <c r="C38" s="904" t="str">
        <f t="shared" ref="C38:C39" si="40">IF(ISNA(Z38),"",CONCATENATE($U38,IF(ISNUMBER(AI38),TEXT(ROUND($AI38,3)," (0.0%)"),""),IF(AU38&gt;0," Bonus","")))</f>
        <v/>
      </c>
      <c r="D38" s="904"/>
      <c r="E38" s="904"/>
      <c r="F38" s="905"/>
      <c r="G38" s="133" t="str">
        <f t="shared" si="1"/>
        <v/>
      </c>
      <c r="H38" s="134" t="str">
        <f t="shared" si="2"/>
        <v/>
      </c>
      <c r="I38" s="152" t="str">
        <f t="shared" si="2"/>
        <v/>
      </c>
      <c r="J38" s="158"/>
      <c r="K38" s="159"/>
      <c r="L38" s="1015"/>
      <c r="M38" s="1016"/>
      <c r="N38" s="1016"/>
      <c r="O38" s="1016"/>
      <c r="P38" s="1016"/>
      <c r="Q38" s="1016"/>
      <c r="R38" s="1017"/>
      <c r="T38" s="99">
        <v>31</v>
      </c>
      <c r="U38" s="88" t="e">
        <v>#N/A</v>
      </c>
      <c r="V38" s="453" t="e">
        <v>#N/A</v>
      </c>
      <c r="W38" s="453" t="e">
        <v>#N/A</v>
      </c>
      <c r="X38" s="453" t="e">
        <v>#N/A</v>
      </c>
      <c r="Y38" s="453" t="e">
        <v>#N/A</v>
      </c>
      <c r="Z38" s="146" t="e">
        <v>#N/A</v>
      </c>
      <c r="AA38" s="146" t="e">
        <v>#N/A</v>
      </c>
      <c r="AB38" s="146" t="e">
        <v>#N/A</v>
      </c>
      <c r="AC38" s="453" t="e">
        <v>#N/A</v>
      </c>
      <c r="AD38" s="453" t="e">
        <v>#N/A</v>
      </c>
      <c r="AE38" s="453" t="e">
        <v>#N/A</v>
      </c>
      <c r="AF38" s="453" t="e">
        <v>#N/A</v>
      </c>
      <c r="AG38" s="453" t="e">
        <f t="shared" si="3"/>
        <v>#N/A</v>
      </c>
      <c r="AH38" s="453" t="str">
        <f t="shared" si="4"/>
        <v/>
      </c>
      <c r="AI38" s="138" t="e">
        <f>IF(NOT(OR(Z38=1,Z38=2)),IF(AQ38&gt;0,$AR$44*AQ38/SUMIF($AQ$8:$AQ$39,"&gt;0"),IF(AU38&gt;0,$AV$44*AU38/SUMIF($AU$8:$AU$39,"&gt;0"),IF(AS38&gt;0,$AT$44*AS38/SUMIF($AS$8:$AS$39,"&gt;0"),""))),IF(SUMIF(AJ39:$AJ$39,"=" &amp; AJ38,AI39:$AI$39)=0,"",SUMIF(AJ39:$AJ$39,"=" &amp; AJ38,AI39:$AI$39)))</f>
        <v>#N/A</v>
      </c>
      <c r="AJ38" s="139" t="e">
        <f t="shared" si="34"/>
        <v>#N/A</v>
      </c>
      <c r="AK38" s="453" t="str">
        <f t="shared" si="27"/>
        <v/>
      </c>
      <c r="AL38" s="146" t="str">
        <f t="shared" si="28"/>
        <v/>
      </c>
      <c r="AM38" s="146" t="str">
        <f t="shared" si="35"/>
        <v/>
      </c>
      <c r="AN38" s="146" t="str">
        <f>IF(ISNUMBER(AH38),IF(AND(AB38=0,ISNUMBER(AC38),ISNUMBER(AL38)),1,""),"")</f>
        <v/>
      </c>
      <c r="AO38" s="146" t="e">
        <f t="shared" si="6"/>
        <v>#N/A</v>
      </c>
      <c r="AP38" s="453" t="str">
        <f t="shared" si="7"/>
        <v/>
      </c>
      <c r="AQ38" s="140">
        <f t="shared" si="29"/>
        <v>0</v>
      </c>
      <c r="AR38" s="141" t="str">
        <f t="shared" si="8"/>
        <v/>
      </c>
      <c r="AS38" s="142">
        <f t="shared" si="30"/>
        <v>0</v>
      </c>
      <c r="AT38" s="141" t="str">
        <f t="shared" si="9"/>
        <v/>
      </c>
      <c r="AU38" s="143">
        <f t="shared" si="10"/>
        <v>0</v>
      </c>
      <c r="AV38" s="144" t="str">
        <f t="shared" si="11"/>
        <v/>
      </c>
      <c r="AW38" s="143" t="b">
        <f t="shared" si="12"/>
        <v>0</v>
      </c>
      <c r="AX38" s="145" t="b">
        <f t="shared" si="13"/>
        <v>0</v>
      </c>
      <c r="AY38" s="143" t="b">
        <f t="shared" si="14"/>
        <v>0</v>
      </c>
      <c r="AZ38" s="145" t="b">
        <f t="shared" si="15"/>
        <v>0</v>
      </c>
      <c r="BA38" s="453" t="b">
        <f t="shared" si="16"/>
        <v>0</v>
      </c>
      <c r="BB38" s="453" t="b">
        <f t="shared" si="17"/>
        <v>0</v>
      </c>
      <c r="BC38" s="143" t="b">
        <f t="shared" si="18"/>
        <v>0</v>
      </c>
      <c r="BD38" s="146" t="b">
        <f t="shared" si="31"/>
        <v>0</v>
      </c>
      <c r="BE38" s="145" t="b">
        <f t="shared" si="37"/>
        <v>0</v>
      </c>
      <c r="BF38" s="147" t="b">
        <f t="shared" si="39"/>
        <v>0</v>
      </c>
      <c r="BG38" s="453" t="str">
        <f t="shared" si="38"/>
        <v>NA</v>
      </c>
      <c r="BH38" s="453" t="str">
        <f t="shared" si="32"/>
        <v/>
      </c>
      <c r="BI38" s="453" t="str">
        <f t="shared" si="22"/>
        <v/>
      </c>
      <c r="BJ38" s="453" t="str">
        <f t="shared" si="23"/>
        <v/>
      </c>
      <c r="BK38" s="453" t="str">
        <f t="shared" si="24"/>
        <v/>
      </c>
      <c r="BL38" s="148" t="str">
        <f t="shared" si="33"/>
        <v/>
      </c>
      <c r="BM38" s="453" t="str">
        <f t="shared" si="25"/>
        <v/>
      </c>
      <c r="BN38" s="453" t="str">
        <f t="shared" si="26"/>
        <v/>
      </c>
      <c r="BO38" s="150" t="s">
        <v>373</v>
      </c>
      <c r="BP38" s="150"/>
      <c r="BQ38" s="150"/>
      <c r="BR38" s="150"/>
      <c r="BS38" s="150"/>
      <c r="BT38" s="150"/>
      <c r="BU38" s="150"/>
    </row>
    <row r="39" spans="2:73" s="94" customFormat="1" ht="12.95" customHeight="1" thickBot="1" x14ac:dyDescent="0.25">
      <c r="B39" s="151" t="str">
        <f>IF(ISNA(Z39),"",IF(OR(Z39=1,Z39=2),"    ",MAX($B$8:B38)+1))</f>
        <v/>
      </c>
      <c r="C39" s="904" t="str">
        <f t="shared" si="40"/>
        <v/>
      </c>
      <c r="D39" s="904"/>
      <c r="E39" s="904"/>
      <c r="F39" s="905"/>
      <c r="G39" s="171" t="str">
        <f t="shared" si="1"/>
        <v/>
      </c>
      <c r="H39" s="134" t="str">
        <f t="shared" si="2"/>
        <v/>
      </c>
      <c r="I39" s="172" t="str">
        <f t="shared" si="2"/>
        <v/>
      </c>
      <c r="J39" s="173"/>
      <c r="K39" s="174"/>
      <c r="L39" s="1018"/>
      <c r="M39" s="1019"/>
      <c r="N39" s="1019"/>
      <c r="O39" s="1019"/>
      <c r="P39" s="1019"/>
      <c r="Q39" s="1019"/>
      <c r="R39" s="1020"/>
      <c r="T39" s="99">
        <v>32</v>
      </c>
      <c r="U39" s="88" t="e">
        <v>#N/A</v>
      </c>
      <c r="V39" s="453" t="e">
        <v>#N/A</v>
      </c>
      <c r="W39" s="453" t="e">
        <v>#N/A</v>
      </c>
      <c r="X39" s="453" t="e">
        <v>#N/A</v>
      </c>
      <c r="Y39" s="453" t="e">
        <v>#N/A</v>
      </c>
      <c r="Z39" s="146" t="e">
        <v>#N/A</v>
      </c>
      <c r="AA39" s="146" t="e">
        <v>#N/A</v>
      </c>
      <c r="AB39" s="146" t="e">
        <v>#N/A</v>
      </c>
      <c r="AC39" s="453" t="e">
        <v>#N/A</v>
      </c>
      <c r="AD39" s="453" t="e">
        <v>#N/A</v>
      </c>
      <c r="AE39" s="453" t="e">
        <v>#N/A</v>
      </c>
      <c r="AF39" s="453" t="e">
        <v>#N/A</v>
      </c>
      <c r="AG39" s="453" t="e">
        <f t="shared" si="3"/>
        <v>#N/A</v>
      </c>
      <c r="AH39" s="453" t="str">
        <f t="shared" si="4"/>
        <v/>
      </c>
      <c r="AI39" s="138" t="e">
        <f>IF(NOT(OR(Z39=1,Z39=2)),IF(AQ39&gt;0,$AR$44*AQ39/SUMIF($AQ$8:$AQ$39,"&gt;0"),IF(AU39&gt;0,$AV$44*AU39/SUMIF($AU$8:$AU$39,"&gt;0"),IF(AS39&gt;0,$AT$44*AS39/SUMIF($AS$8:$AS$39,"&gt;0"),""))),IF(SUMIF(AJ$39:$AJ40,"=" &amp; AJ39,AI$39:$AI40)=0,"",SUMIF(AJ$39:$AJ40,"=" &amp; AJ39,AI$39:$AI40)))</f>
        <v>#N/A</v>
      </c>
      <c r="AJ39" s="139" t="e">
        <f t="shared" si="34"/>
        <v>#N/A</v>
      </c>
      <c r="AK39" s="453" t="str">
        <f t="shared" si="27"/>
        <v/>
      </c>
      <c r="AL39" s="146" t="str">
        <f t="shared" si="28"/>
        <v/>
      </c>
      <c r="AM39" s="146" t="str">
        <f t="shared" si="35"/>
        <v/>
      </c>
      <c r="AN39" s="146" t="str">
        <f>IF(ISNUMBER(AH39),IF(AND(AB39=0,ISNUMBER(AC39),ISNUMBER(AL39)),1,""),"")</f>
        <v/>
      </c>
      <c r="AO39" s="146" t="e">
        <f t="shared" si="6"/>
        <v>#N/A</v>
      </c>
      <c r="AP39" s="453" t="str">
        <f t="shared" si="7"/>
        <v/>
      </c>
      <c r="AQ39" s="140">
        <f t="shared" si="29"/>
        <v>0</v>
      </c>
      <c r="AR39" s="141" t="str">
        <f t="shared" si="8"/>
        <v/>
      </c>
      <c r="AS39" s="142">
        <f t="shared" si="30"/>
        <v>0</v>
      </c>
      <c r="AT39" s="141" t="str">
        <f t="shared" si="9"/>
        <v/>
      </c>
      <c r="AU39" s="143">
        <f t="shared" si="10"/>
        <v>0</v>
      </c>
      <c r="AV39" s="144" t="str">
        <f t="shared" si="11"/>
        <v/>
      </c>
      <c r="AW39" s="143" t="b">
        <f t="shared" si="12"/>
        <v>0</v>
      </c>
      <c r="AX39" s="145" t="b">
        <f t="shared" si="13"/>
        <v>0</v>
      </c>
      <c r="AY39" s="143" t="b">
        <f t="shared" si="14"/>
        <v>0</v>
      </c>
      <c r="AZ39" s="145" t="b">
        <f t="shared" si="15"/>
        <v>0</v>
      </c>
      <c r="BA39" s="453" t="b">
        <f t="shared" si="16"/>
        <v>0</v>
      </c>
      <c r="BB39" s="453" t="b">
        <f t="shared" si="17"/>
        <v>0</v>
      </c>
      <c r="BC39" s="143" t="b">
        <f t="shared" si="18"/>
        <v>0</v>
      </c>
      <c r="BD39" s="146" t="b">
        <f t="shared" si="31"/>
        <v>0</v>
      </c>
      <c r="BE39" s="145" t="b">
        <f t="shared" si="37"/>
        <v>0</v>
      </c>
      <c r="BF39" s="147" t="b">
        <f t="shared" si="39"/>
        <v>0</v>
      </c>
      <c r="BG39" s="453" t="str">
        <f t="shared" si="38"/>
        <v>NA</v>
      </c>
      <c r="BH39" s="453" t="str">
        <f t="shared" si="32"/>
        <v/>
      </c>
      <c r="BI39" s="453" t="str">
        <f t="shared" si="22"/>
        <v/>
      </c>
      <c r="BJ39" s="453" t="str">
        <f t="shared" si="23"/>
        <v/>
      </c>
      <c r="BK39" s="453" t="str">
        <f t="shared" si="24"/>
        <v/>
      </c>
      <c r="BL39" s="453" t="str">
        <f t="shared" si="33"/>
        <v/>
      </c>
      <c r="BM39" s="453" t="str">
        <f t="shared" si="25"/>
        <v/>
      </c>
      <c r="BN39" s="453" t="str">
        <f t="shared" si="26"/>
        <v/>
      </c>
      <c r="BO39" s="1023"/>
      <c r="BP39" s="1024"/>
      <c r="BQ39" s="1024"/>
      <c r="BR39" s="1024"/>
      <c r="BS39" s="1024"/>
      <c r="BT39" s="1024"/>
      <c r="BU39" s="1025"/>
    </row>
    <row r="40" spans="2:73" s="91" customFormat="1" ht="8.25" customHeight="1" x14ac:dyDescent="0.2">
      <c r="B40" s="915" t="s">
        <v>374</v>
      </c>
      <c r="C40" s="916"/>
      <c r="D40" s="917"/>
      <c r="E40" s="452" t="s">
        <v>375</v>
      </c>
      <c r="F40" s="918" t="s">
        <v>376</v>
      </c>
      <c r="G40" s="919"/>
      <c r="H40" s="919" t="s">
        <v>377</v>
      </c>
      <c r="I40" s="919"/>
      <c r="J40" s="920" t="s">
        <v>378</v>
      </c>
      <c r="K40" s="921"/>
      <c r="L40" s="175" t="s">
        <v>379</v>
      </c>
      <c r="M40" s="922" t="s">
        <v>380</v>
      </c>
      <c r="N40" s="922"/>
      <c r="O40" s="923" t="str">
        <f>IF(U44,"DO REVIEW","DO REV N/A")</f>
        <v>DO REVIEW</v>
      </c>
      <c r="P40" s="924"/>
      <c r="Q40" s="176" t="str">
        <f>IF(U45,"ED REVIEW","ED REV N/A")</f>
        <v>ED REVIEW</v>
      </c>
      <c r="R40" s="177"/>
      <c r="S40" s="178">
        <v>0</v>
      </c>
      <c r="AI40" s="179"/>
      <c r="AJ40" s="92"/>
      <c r="AK40" s="92"/>
      <c r="AL40" s="92"/>
      <c r="AM40" s="92"/>
      <c r="AN40" s="92"/>
      <c r="AO40" s="88"/>
      <c r="AP40" s="92"/>
      <c r="AQ40" s="180"/>
      <c r="AR40" s="92"/>
      <c r="AS40" s="180"/>
      <c r="AT40" s="92"/>
      <c r="AU40" s="180"/>
      <c r="AV40" s="181"/>
      <c r="AW40" s="92"/>
      <c r="AX40" s="92"/>
      <c r="AY40" s="92"/>
      <c r="AZ40" s="92"/>
      <c r="BA40" s="92"/>
      <c r="BB40" s="92"/>
      <c r="BC40" s="92"/>
      <c r="BD40" s="92"/>
      <c r="BE40" s="92"/>
      <c r="BF40" s="92"/>
      <c r="BG40" s="92"/>
      <c r="BH40" s="88"/>
      <c r="BI40" s="88"/>
      <c r="BJ40" s="88"/>
      <c r="BK40" s="88"/>
      <c r="BL40" s="88"/>
      <c r="BM40" s="88"/>
      <c r="BN40" s="88"/>
      <c r="BO40" s="1026"/>
      <c r="BP40" s="1027"/>
      <c r="BQ40" s="1027"/>
      <c r="BR40" s="1027"/>
      <c r="BS40" s="1027"/>
      <c r="BT40" s="1027"/>
      <c r="BU40" s="1028"/>
    </row>
    <row r="41" spans="2:73" ht="18.75" customHeight="1" thickBot="1" x14ac:dyDescent="0.25">
      <c r="B41" s="925" t="str">
        <f>IF(ISERROR(AR46),"",TEXT(AR45,"0.0%"))</f>
        <v>0.0%</v>
      </c>
      <c r="C41" s="926"/>
      <c r="D41" s="927"/>
      <c r="E41" s="182" t="str">
        <f>IF(AU41=0,"N/A",CONCATENATE(TEXT(AV45,"0.0%")," of ",TEXT(AV44,"0.0%")))</f>
        <v>N/A</v>
      </c>
      <c r="F41" s="929" t="str">
        <f>IF((graded_aca_events+graded_amn_events)&lt;1,"---",IF(AND(AW4,AX4),"INCOMPLETE",IF(AND(NOT(AW4),AX4),"ACA INC",IF(AND(AW4,NOT(AX4)),"AMN INC","COMPLETE"))))</f>
        <v>---</v>
      </c>
      <c r="G41" s="929"/>
      <c r="H41" s="929" t="str">
        <f>IF(AU4,IF(OR(AY4="UNK",NOT(AN6)),"---",IF(AY4,"UNSAT",IF(AVERAGEIFS(AT8:AT39,AS8:AS39,"&gt;0")&lt;0.9,"MARG","SAT"))),"N/A")</f>
        <v>---</v>
      </c>
      <c r="I41" s="929"/>
      <c r="J41" s="930" t="str">
        <f>IF(OR(AZ4="UNK",NOT(AM6)),"---",IF(OR(AZ4,AR45&lt;0.7),"FAIL","PASS"))</f>
        <v>---</v>
      </c>
      <c r="K41" s="931"/>
      <c r="L41" s="430"/>
      <c r="M41" s="932"/>
      <c r="N41" s="932"/>
      <c r="O41" s="1021" t="s">
        <v>265</v>
      </c>
      <c r="P41" s="1021"/>
      <c r="Q41" s="1021" t="s">
        <v>265</v>
      </c>
      <c r="R41" s="1022"/>
      <c r="S41" s="183"/>
      <c r="T41" s="99" t="s">
        <v>381</v>
      </c>
      <c r="U41" s="146" t="s">
        <v>382</v>
      </c>
      <c r="V41" s="184"/>
      <c r="W41" s="184"/>
      <c r="X41" s="184"/>
      <c r="Y41" s="184"/>
      <c r="Z41" s="184"/>
      <c r="AA41" s="184"/>
      <c r="AB41" s="184"/>
      <c r="AC41" s="184"/>
      <c r="AD41" s="184"/>
      <c r="AE41" s="184"/>
      <c r="AF41" s="184"/>
      <c r="AG41" s="184"/>
      <c r="AH41" s="184"/>
      <c r="AI41" s="86"/>
      <c r="AJ41" s="85"/>
      <c r="AK41" s="184"/>
      <c r="AL41" s="184"/>
      <c r="AM41" s="184">
        <f>SUM(AM8:AM39)</f>
        <v>0</v>
      </c>
      <c r="AN41" s="184">
        <f>SUM(AN8:AN39)</f>
        <v>0</v>
      </c>
      <c r="AO41" s="99"/>
      <c r="AP41" s="85"/>
      <c r="AQ41" s="185">
        <f>SUMIF(AQ8:AQ39,"&gt;0")</f>
        <v>18</v>
      </c>
      <c r="AR41" s="186">
        <f>IF(AQ41=0,0,SUMPRODUCT($AQ$8:$AQ$39,AR8:AR39)/SUM($AQ$8:$AQ$39))</f>
        <v>0</v>
      </c>
      <c r="AS41" s="187">
        <f>SUMIF(AS8:AS39,"&gt;0")</f>
        <v>5</v>
      </c>
      <c r="AT41" s="186">
        <f>IF(AS41=0,0,SUMPRODUCT($AS$8:$AS$39,AT8:AT39)/SUM($AS$8:$AS$39))</f>
        <v>0</v>
      </c>
      <c r="AU41" s="187">
        <f>SUM(AU9:AU39)</f>
        <v>0</v>
      </c>
      <c r="AV41" s="186">
        <f>IF(AU41=0,0,SUMPRODUCT($AU$8:$AU$39,AV8:AV39)/SUM($AU$8:$AU$39))</f>
        <v>0</v>
      </c>
      <c r="AW41" s="188"/>
      <c r="AX41" s="188"/>
      <c r="AY41" s="188"/>
      <c r="AZ41" s="188"/>
      <c r="BA41" s="188"/>
      <c r="BB41" s="188"/>
      <c r="BC41" s="88" t="s">
        <v>383</v>
      </c>
      <c r="BD41" s="88" t="s">
        <v>384</v>
      </c>
      <c r="BE41" s="88" t="s">
        <v>385</v>
      </c>
      <c r="BO41" s="1026"/>
      <c r="BP41" s="1027"/>
      <c r="BQ41" s="1027"/>
      <c r="BR41" s="1027"/>
      <c r="BS41" s="1027"/>
      <c r="BT41" s="1027"/>
      <c r="BU41" s="1028"/>
    </row>
    <row r="42" spans="2:73" ht="7.5" customHeight="1" thickTop="1" x14ac:dyDescent="0.2">
      <c r="L42" s="928" t="s">
        <v>701</v>
      </c>
      <c r="M42" s="928"/>
      <c r="N42" s="928"/>
      <c r="O42" s="928"/>
      <c r="P42" s="928"/>
      <c r="Q42" s="928"/>
      <c r="R42" s="928"/>
      <c r="AP42" s="184"/>
      <c r="AQ42" s="85"/>
      <c r="AR42" s="85"/>
      <c r="AT42" s="186"/>
      <c r="AU42" s="186"/>
      <c r="AV42" s="186"/>
      <c r="AW42" s="85"/>
      <c r="AX42" s="186"/>
      <c r="BO42" s="1029"/>
      <c r="BP42" s="1030"/>
      <c r="BQ42" s="1030"/>
      <c r="BR42" s="1030"/>
      <c r="BS42" s="1030"/>
      <c r="BT42" s="1030"/>
      <c r="BU42" s="1031"/>
    </row>
    <row r="43" spans="2:73" ht="30.75" customHeight="1" x14ac:dyDescent="0.2">
      <c r="T43" s="189" t="s">
        <v>386</v>
      </c>
      <c r="U43" s="146" t="b">
        <v>0</v>
      </c>
      <c r="AI43" s="89">
        <f ca="1">SUMIF(AJ8:$AJ$39,"=" &amp; AJ8,AI9:$AI$39)</f>
        <v>0.1</v>
      </c>
      <c r="AO43" s="190"/>
      <c r="AS43" s="118" t="s">
        <v>387</v>
      </c>
      <c r="AT43" s="191">
        <f>SUMIF(X8:X39,"&gt;0")/SUMIF(W8:W39,"&gt;0")</f>
        <v>0.27777777777777779</v>
      </c>
      <c r="AU43" s="118" t="s">
        <v>388</v>
      </c>
      <c r="AV43" s="192">
        <f>SUMIF(AU8:AU39,"&gt;0")/SUMIF(AQ8:AQ39,"&gt;0")</f>
        <v>0</v>
      </c>
      <c r="AW43" s="193"/>
      <c r="BE43" s="88" t="b">
        <f>AND(ISBLANK($K30),J30&gt;0)</f>
        <v>0</v>
      </c>
      <c r="BO43" s="88"/>
      <c r="BP43" s="88"/>
      <c r="BQ43" s="90"/>
    </row>
    <row r="44" spans="2:73" ht="30.75" customHeight="1" x14ac:dyDescent="0.2">
      <c r="J44" s="194"/>
      <c r="T44" s="195" t="s">
        <v>389</v>
      </c>
      <c r="U44" s="88" t="b">
        <f>IF(AND(Flight?,OR(AW4,AY4,BA4,AZ4,AR45&lt;0.7,H41="MARG")),TRUE,FALSE)</f>
        <v>1</v>
      </c>
      <c r="AO44" s="196"/>
      <c r="AQ44" s="118" t="s">
        <v>390</v>
      </c>
      <c r="AR44" s="191">
        <f>1-AT44</f>
        <v>0.9</v>
      </c>
      <c r="AS44" s="118" t="s">
        <v>391</v>
      </c>
      <c r="AT44" s="191">
        <f>MIN(AT43,AT6)</f>
        <v>0.1</v>
      </c>
      <c r="AU44" s="118" t="s">
        <v>392</v>
      </c>
      <c r="AV44" s="89">
        <f>MIN(AV43,AV6)</f>
        <v>0</v>
      </c>
      <c r="BO44" s="88"/>
      <c r="BP44" s="88"/>
      <c r="BQ44" s="90"/>
    </row>
    <row r="45" spans="2:73" ht="25.5" x14ac:dyDescent="0.2">
      <c r="T45" s="195" t="s">
        <v>393</v>
      </c>
      <c r="U45" s="88" t="b">
        <f>IF(OR(AX4,AY4,AZ4,BB4,AR45&lt;0.7),TRUE,FALSE)</f>
        <v>1</v>
      </c>
      <c r="AO45" s="197"/>
      <c r="AQ45" s="118" t="s">
        <v>394</v>
      </c>
      <c r="AR45" s="89">
        <f>AR41*(1-AT44)+(AT41*AT44)</f>
        <v>0</v>
      </c>
      <c r="AU45" s="88" t="s">
        <v>324</v>
      </c>
      <c r="AV45" s="89">
        <f>AV41*AV44</f>
        <v>0</v>
      </c>
      <c r="BO45" s="88"/>
      <c r="BP45" s="88"/>
      <c r="BQ45" s="90"/>
    </row>
    <row r="46" spans="2:73" ht="25.5" x14ac:dyDescent="0.2">
      <c r="T46" s="195" t="s">
        <v>395</v>
      </c>
      <c r="U46" s="88" t="b">
        <v>0</v>
      </c>
      <c r="AO46" s="197"/>
      <c r="AQ46" s="118" t="s">
        <v>396</v>
      </c>
      <c r="AR46" s="89">
        <f>MIN(1,IF(NOT(OR(AY4,AZ4)),AR45+AV45,MIN(0.69,AR45+AV45)))</f>
        <v>0</v>
      </c>
      <c r="BO46" s="88"/>
      <c r="BP46" s="88"/>
      <c r="BQ46" s="90"/>
    </row>
    <row r="47" spans="2:73" x14ac:dyDescent="0.2">
      <c r="T47" s="195" t="s">
        <v>397</v>
      </c>
      <c r="U47" s="88" t="b">
        <f>IF(NOT(Flight?),TRUE,NOT(OR(ISBLANK(comments),ISBLANK(hdr_class),ISBLANK(hdr_date),ISBLANK(hdr_stud),ISBLANK(hdr_instr),ISBLANK(hdr_acft),ISBLANK(hdr_time),F41="---")))</f>
        <v>0</v>
      </c>
      <c r="AO47" s="197"/>
      <c r="AR47" s="118"/>
      <c r="AS47" s="89"/>
    </row>
    <row r="48" spans="2:73" x14ac:dyDescent="0.2">
      <c r="T48" s="195" t="s">
        <v>398</v>
      </c>
      <c r="U48" s="88" t="b">
        <f>IF(Flight?,TRUE,NOT(OR(ISBLANK(comments),ISBLANK(hdr_class),ISBLANK(hdr_date),ISBLANK(hdr_stud),ISBLANK(hdr_instr),F41="---")))</f>
        <v>1</v>
      </c>
      <c r="AO48" s="196"/>
      <c r="AP48" s="85" t="s">
        <v>399</v>
      </c>
      <c r="AQ48" s="85"/>
      <c r="AR48" s="85"/>
      <c r="AS48" s="85"/>
      <c r="AT48" s="85"/>
    </row>
    <row r="49" spans="20:50" x14ac:dyDescent="0.2">
      <c r="T49" s="195" t="s">
        <v>400</v>
      </c>
      <c r="U49" s="88" t="b">
        <f>AND(U47:U48)</f>
        <v>0</v>
      </c>
      <c r="AO49" s="196"/>
      <c r="AP49" s="85"/>
      <c r="AQ49" s="85"/>
      <c r="AR49" s="85">
        <v>0</v>
      </c>
      <c r="AS49" s="85">
        <v>1</v>
      </c>
      <c r="AT49" s="85">
        <v>2</v>
      </c>
      <c r="AU49" s="85">
        <v>3</v>
      </c>
      <c r="AV49" s="85">
        <v>4</v>
      </c>
    </row>
    <row r="50" spans="20:50" x14ac:dyDescent="0.2">
      <c r="AO50" s="196"/>
      <c r="AP50" s="85" t="s">
        <v>359</v>
      </c>
      <c r="AQ50" s="85">
        <v>1</v>
      </c>
      <c r="AR50" s="198">
        <v>0.7</v>
      </c>
      <c r="AS50" s="198">
        <v>0.9</v>
      </c>
      <c r="AT50" s="198">
        <v>0.93330000000000002</v>
      </c>
      <c r="AU50" s="198">
        <v>0.9667</v>
      </c>
      <c r="AV50" s="198">
        <v>1</v>
      </c>
    </row>
    <row r="51" spans="20:50" x14ac:dyDescent="0.2">
      <c r="AO51" s="196"/>
      <c r="AP51" s="85" t="s">
        <v>360</v>
      </c>
      <c r="AQ51" s="85">
        <v>2</v>
      </c>
      <c r="AR51" s="198">
        <v>0.7</v>
      </c>
      <c r="AS51" s="198">
        <v>0.8</v>
      </c>
      <c r="AT51" s="198">
        <v>0.9</v>
      </c>
      <c r="AU51" s="198">
        <v>0.95</v>
      </c>
      <c r="AV51" s="198">
        <v>1</v>
      </c>
    </row>
    <row r="52" spans="20:50" x14ac:dyDescent="0.2">
      <c r="AO52" s="196"/>
      <c r="AP52" s="85" t="s">
        <v>361</v>
      </c>
      <c r="AQ52" s="85">
        <v>3</v>
      </c>
      <c r="AR52" s="198">
        <v>0.7</v>
      </c>
      <c r="AS52" s="198">
        <v>0.76670000000000005</v>
      </c>
      <c r="AT52" s="198">
        <v>0.83330000000000004</v>
      </c>
      <c r="AU52" s="198">
        <v>0.9</v>
      </c>
      <c r="AV52" s="198">
        <v>1</v>
      </c>
    </row>
    <row r="53" spans="20:50" x14ac:dyDescent="0.2">
      <c r="AP53" s="199" t="s">
        <v>362</v>
      </c>
      <c r="AQ53" s="85">
        <v>11</v>
      </c>
      <c r="AR53" s="198">
        <v>0.6</v>
      </c>
      <c r="AS53" s="198">
        <v>0.9</v>
      </c>
      <c r="AT53" s="198">
        <v>0.93330000000000002</v>
      </c>
      <c r="AU53" s="198">
        <v>0.9667</v>
      </c>
      <c r="AV53" s="198">
        <v>1</v>
      </c>
    </row>
    <row r="54" spans="20:50" x14ac:dyDescent="0.2">
      <c r="AP54" s="199" t="s">
        <v>363</v>
      </c>
      <c r="AQ54" s="85">
        <v>12</v>
      </c>
      <c r="AR54" s="198">
        <v>0.6</v>
      </c>
      <c r="AS54" s="198">
        <v>0.7</v>
      </c>
      <c r="AT54" s="198">
        <v>0.9</v>
      </c>
      <c r="AU54" s="198">
        <v>0.95</v>
      </c>
      <c r="AV54" s="198">
        <v>1</v>
      </c>
    </row>
    <row r="55" spans="20:50" x14ac:dyDescent="0.2">
      <c r="AP55" s="199" t="s">
        <v>364</v>
      </c>
      <c r="AQ55" s="85">
        <v>13</v>
      </c>
      <c r="AR55" s="198">
        <v>0.6</v>
      </c>
      <c r="AS55" s="198">
        <v>0.7</v>
      </c>
      <c r="AT55" s="198">
        <v>0.8</v>
      </c>
      <c r="AU55" s="198">
        <v>0.9</v>
      </c>
      <c r="AV55" s="198">
        <v>1</v>
      </c>
    </row>
    <row r="56" spans="20:50" x14ac:dyDescent="0.2">
      <c r="AP56" s="199" t="s">
        <v>365</v>
      </c>
      <c r="AQ56" s="85">
        <v>22</v>
      </c>
      <c r="AR56" s="198">
        <v>0.3</v>
      </c>
      <c r="AS56" s="198">
        <v>0.6</v>
      </c>
      <c r="AT56" s="198">
        <v>0.9</v>
      </c>
      <c r="AU56" s="198">
        <v>0.95</v>
      </c>
      <c r="AV56" s="198">
        <v>1</v>
      </c>
    </row>
    <row r="57" spans="20:50" x14ac:dyDescent="0.2">
      <c r="AP57" s="199" t="s">
        <v>366</v>
      </c>
      <c r="AQ57" s="85">
        <v>23</v>
      </c>
      <c r="AR57" s="198">
        <v>0.3</v>
      </c>
      <c r="AS57" s="198">
        <v>0.6</v>
      </c>
      <c r="AT57" s="198">
        <v>0.7</v>
      </c>
      <c r="AU57" s="198">
        <v>0.9</v>
      </c>
      <c r="AV57" s="198">
        <v>1</v>
      </c>
    </row>
    <row r="58" spans="20:50" x14ac:dyDescent="0.2">
      <c r="AP58" s="199" t="s">
        <v>367</v>
      </c>
      <c r="AQ58" s="85">
        <v>33</v>
      </c>
      <c r="AR58" s="198">
        <v>0</v>
      </c>
      <c r="AS58" s="198">
        <v>0.3</v>
      </c>
      <c r="AT58" s="198">
        <v>0.6</v>
      </c>
      <c r="AU58" s="198">
        <v>0.9</v>
      </c>
      <c r="AV58" s="198">
        <v>1</v>
      </c>
      <c r="AW58" s="85"/>
    </row>
    <row r="60" spans="20:50" x14ac:dyDescent="0.2">
      <c r="AQ60" s="85"/>
      <c r="AW60" s="85"/>
      <c r="AX60" s="85"/>
    </row>
    <row r="61" spans="20:50" x14ac:dyDescent="0.2">
      <c r="AP61" s="200"/>
      <c r="AQ61" s="85"/>
      <c r="AW61" s="85"/>
      <c r="AX61" s="85"/>
    </row>
    <row r="62" spans="20:50" x14ac:dyDescent="0.2">
      <c r="AP62" s="85"/>
      <c r="AQ62" s="85"/>
      <c r="AW62" s="85"/>
      <c r="AX62" s="85"/>
    </row>
    <row r="63" spans="20:50" x14ac:dyDescent="0.2">
      <c r="AP63" s="85"/>
      <c r="AQ63" s="85"/>
      <c r="AW63" s="85"/>
    </row>
    <row r="64" spans="20:50" x14ac:dyDescent="0.2">
      <c r="AP64" s="85"/>
      <c r="AQ64" s="85"/>
      <c r="AW64" s="85"/>
    </row>
    <row r="65" spans="42:43" x14ac:dyDescent="0.2">
      <c r="AP65" s="85"/>
      <c r="AQ65" s="85"/>
    </row>
    <row r="66" spans="42:43" x14ac:dyDescent="0.2">
      <c r="AP66" s="85"/>
      <c r="AQ66" s="85"/>
    </row>
  </sheetData>
  <sheetProtection algorithmName="SHA-512" hashValue="uIqXTDKU0aZJrson9welHD61Q/0q82IQ83KYHJQHtxGAf6Gmh/YJznK3iD9xFFAEfNKlA6C60bGdmeWJ+nndJA==" saltValue="aDbHv74YZUMRlD8+3wLdnA==" spinCount="100000" sheet="1" selectLockedCells="1"/>
  <mergeCells count="76">
    <mergeCell ref="Q41:R41"/>
    <mergeCell ref="BP3:BU4"/>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C32:F32"/>
    <mergeCell ref="C33:F33"/>
    <mergeCell ref="C34:F34"/>
    <mergeCell ref="BO34:BU37"/>
    <mergeCell ref="C35:F35"/>
    <mergeCell ref="C36:F36"/>
    <mergeCell ref="C37:F37"/>
    <mergeCell ref="BQ19:BU19"/>
    <mergeCell ref="C20:F20"/>
    <mergeCell ref="C21:F21"/>
    <mergeCell ref="BO21:BO29"/>
    <mergeCell ref="C22:F22"/>
    <mergeCell ref="C23:F23"/>
    <mergeCell ref="C24:F24"/>
    <mergeCell ref="C25:F25"/>
    <mergeCell ref="C26:F26"/>
    <mergeCell ref="C27:F27"/>
    <mergeCell ref="C28:F28"/>
    <mergeCell ref="C29:F29"/>
    <mergeCell ref="C8:F8"/>
    <mergeCell ref="L8:R39"/>
    <mergeCell ref="C9:F9"/>
    <mergeCell ref="C10:F10"/>
    <mergeCell ref="C11:F11"/>
    <mergeCell ref="C12:F12"/>
    <mergeCell ref="C13:F13"/>
    <mergeCell ref="C14:F14"/>
    <mergeCell ref="C15:F15"/>
    <mergeCell ref="C16:F16"/>
    <mergeCell ref="C30:F30"/>
    <mergeCell ref="C17:F17"/>
    <mergeCell ref="C18:F18"/>
    <mergeCell ref="C19:F19"/>
    <mergeCell ref="C31:F31"/>
    <mergeCell ref="B7:F7"/>
    <mergeCell ref="L7:R7"/>
    <mergeCell ref="BH4:BK6"/>
    <mergeCell ref="BL4:BN6"/>
    <mergeCell ref="B5:E5"/>
    <mergeCell ref="F5:G5"/>
    <mergeCell ref="H5:L5"/>
    <mergeCell ref="M5:N5"/>
    <mergeCell ref="O5:P5"/>
    <mergeCell ref="Q5:R5"/>
    <mergeCell ref="B6:E6"/>
    <mergeCell ref="F6:G6"/>
    <mergeCell ref="H6:L6"/>
    <mergeCell ref="M6:N6"/>
    <mergeCell ref="O6:P6"/>
    <mergeCell ref="Q6:R6"/>
    <mergeCell ref="B3:G3"/>
    <mergeCell ref="H3:N3"/>
    <mergeCell ref="O3:P3"/>
    <mergeCell ref="Q3:R3"/>
    <mergeCell ref="B4:G4"/>
    <mergeCell ref="H4:N4"/>
    <mergeCell ref="O4:P4"/>
    <mergeCell ref="Q4:R4"/>
  </mergeCells>
  <conditionalFormatting sqref="B8:F39">
    <cfRule type="expression" dxfId="287" priority="8" stopIfTrue="1">
      <formula>IF($Z8=1,TRUE,FALSE)</formula>
    </cfRule>
    <cfRule type="expression" dxfId="286" priority="9">
      <formula>IF($Z8=2,TRUE,FALSE)</formula>
    </cfRule>
  </conditionalFormatting>
  <conditionalFormatting sqref="C8:F39">
    <cfRule type="expression" dxfId="285" priority="1" stopIfTrue="1">
      <formula>IF($AF8=FALSE,TRUE,FALSE)</formula>
    </cfRule>
  </conditionalFormatting>
  <conditionalFormatting sqref="F5:G6 M5:P6">
    <cfRule type="expression" dxfId="284" priority="4" stopIfTrue="1">
      <formula>NOT($AU$4)</formula>
    </cfRule>
  </conditionalFormatting>
  <conditionalFormatting sqref="F6:G6">
    <cfRule type="cellIs" dxfId="283" priority="3" operator="equal">
      <formula>""</formula>
    </cfRule>
  </conditionalFormatting>
  <conditionalFormatting sqref="G8:K39">
    <cfRule type="expression" dxfId="282" priority="6" stopIfTrue="1">
      <formula>IF($Z8=1,TRUE,FALSE)</formula>
    </cfRule>
    <cfRule type="expression" dxfId="281" priority="7" stopIfTrue="1">
      <formula>IF($Z8=2,TRUE,FALSE)</formula>
    </cfRule>
  </conditionalFormatting>
  <conditionalFormatting sqref="H8:H39">
    <cfRule type="expression" dxfId="280" priority="10" stopIfTrue="1">
      <formula>IF($AB8=0,TRUE,FALSE)</formula>
    </cfRule>
  </conditionalFormatting>
  <conditionalFormatting sqref="H40:I41">
    <cfRule type="expression" dxfId="279" priority="2" stopIfTrue="1">
      <formula>IF($H$41="N/A",TRUE,FALSE)</formula>
    </cfRule>
  </conditionalFormatting>
  <conditionalFormatting sqref="H6:P6 O4:R4 B6 L8 L41 O41:R41">
    <cfRule type="containsBlanks" dxfId="278" priority="5">
      <formula>LEN(TRIM(B4))=0</formula>
    </cfRule>
  </conditionalFormatting>
  <conditionalFormatting sqref="J8:J39">
    <cfRule type="expression" dxfId="277" priority="14">
      <formula>IF($Z8=1,FALSE,OR($BE8,$BD8))</formula>
    </cfRule>
  </conditionalFormatting>
  <conditionalFormatting sqref="J8:K39 C8:F39">
    <cfRule type="expression" dxfId="276" priority="13">
      <formula>IF($Z8=1,FALSE,OR($AW8,$AX8,$AY8,$AZ8))</formula>
    </cfRule>
  </conditionalFormatting>
  <conditionalFormatting sqref="J8:K39">
    <cfRule type="expression" dxfId="275" priority="11" stopIfTrue="1">
      <formula>IF(ISNA($Z8),TRUE,FALSE)</formula>
    </cfRule>
  </conditionalFormatting>
  <conditionalFormatting sqref="K8:K39">
    <cfRule type="expression" dxfId="274" priority="12">
      <formula>IF(OR($Z8=1,$Z8=2),FALSE,OR($BC8,$BE8,$BF8))</formula>
    </cfRule>
  </conditionalFormatting>
  <dataValidations count="6">
    <dataValidation type="date" allowBlank="1" showInputMessage="1" showErrorMessage="1" sqref="Q4:R4" xr:uid="{856598D7-927D-4A86-935B-9B01FD3AD8A8}">
      <formula1>41151</formula1>
      <formula2>77433</formula2>
    </dataValidation>
    <dataValidation type="decimal" allowBlank="1" showInputMessage="1" showErrorMessage="1" sqref="O6:P6" xr:uid="{8FCBBA12-E9F4-4DC2-A493-8383BBE33537}">
      <formula1>0</formula1>
      <formula2>10</formula2>
    </dataValidation>
    <dataValidation showInputMessage="1" showErrorMessage="1" sqref="O41:R41" xr:uid="{211798F8-DE7F-455D-B5C7-547E3EF12370}"/>
    <dataValidation type="list" allowBlank="1" showInputMessage="1" showErrorMessage="1" sqref="K8:K39" xr:uid="{28B9C30D-E09F-459B-B5B0-827CD2BEC755}">
      <formula1>"D,0,1,2,3,4"</formula1>
    </dataValidation>
    <dataValidation type="list" allowBlank="1" showInputMessage="1" showErrorMessage="1" sqref="J8:J39" xr:uid="{4E778E2C-3FAE-428D-BD69-06F5B5362382}">
      <formula1>"NA,0,1,2,3,4,5,6,7,8,9,10,11,12,13,14,15"</formula1>
    </dataValidation>
    <dataValidation type="list" allowBlank="1" showInputMessage="1" showErrorMessage="1" sqref="F6:G6" xr:uid="{655AC67D-32EB-45FC-9C7C-659CC69124C9}">
      <formula1>"No,Yes"</formula1>
    </dataValidation>
  </dataValidations>
  <hyperlinks>
    <hyperlink ref="BP3" location="PF!A1" display="PF phase Summary Page" xr:uid="{6938F347-637A-4653-903E-4D1FA684E382}"/>
    <hyperlink ref="BP3:BU4" location="FQ!A1" display="FQ Summary Page" xr:uid="{BD304EF9-6BFC-4D8C-8175-904E33231496}"/>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0706"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200707"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200708"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200709"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200710"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1E378-9A9D-412F-946B-537DAC8AC2E6}">
  <sheetPr codeName="Sheet20">
    <tabColor rgb="FF00B050"/>
    <pageSetUpPr autoPageBreaks="0"/>
  </sheetPr>
  <dimension ref="B1:BU66"/>
  <sheetViews>
    <sheetView showGridLines="0" showRowColHeaders="0" topLeftCell="A2" zoomScaleNormal="100" zoomScaleSheetLayoutView="100" workbookViewId="0">
      <selection activeCell="BP3" sqref="BP3:BU4"/>
    </sheetView>
  </sheetViews>
  <sheetFormatPr defaultColWidth="9.140625" defaultRowHeight="12.75" x14ac:dyDescent="0.2"/>
  <cols>
    <col min="1" max="1" width="1.5703125" style="489" customWidth="1"/>
    <col min="2" max="2" width="3.5703125" style="489" customWidth="1"/>
    <col min="3" max="3" width="5.5703125" style="489" customWidth="1"/>
    <col min="4" max="4" width="9.140625" style="489" customWidth="1"/>
    <col min="5" max="5" width="14" style="489" customWidth="1"/>
    <col min="6" max="6" width="7.85546875" style="489" customWidth="1"/>
    <col min="7" max="11" width="5.140625" style="489" customWidth="1"/>
    <col min="12" max="12" width="21.5703125" style="489" customWidth="1"/>
    <col min="13" max="13" width="6.5703125" style="489" customWidth="1"/>
    <col min="14" max="14" width="12.5703125" style="489" customWidth="1"/>
    <col min="15" max="15" width="7.85546875" style="489" customWidth="1"/>
    <col min="16" max="16" width="2.7109375" style="489" customWidth="1"/>
    <col min="17" max="17" width="4.85546875" style="489" customWidth="1"/>
    <col min="18" max="18" width="7.28515625" style="489" customWidth="1"/>
    <col min="19" max="19" width="1.7109375" style="489" customWidth="1"/>
    <col min="20" max="20" width="19.140625" style="490" hidden="1" customWidth="1"/>
    <col min="21" max="21" width="31.140625" style="490" hidden="1" customWidth="1"/>
    <col min="22" max="22" width="5.140625" style="490" hidden="1" customWidth="1"/>
    <col min="23" max="24" width="6.28515625" style="490" hidden="1" customWidth="1"/>
    <col min="25" max="25" width="8.42578125" style="490" hidden="1" customWidth="1"/>
    <col min="26" max="26" width="7.85546875" style="490" hidden="1" customWidth="1"/>
    <col min="27" max="27" width="10.7109375" style="490" hidden="1" customWidth="1"/>
    <col min="28" max="28" width="8" style="490" hidden="1" customWidth="1"/>
    <col min="29" max="31" width="5.140625" style="490" hidden="1" customWidth="1"/>
    <col min="32" max="34" width="5.85546875" style="490" hidden="1" customWidth="1"/>
    <col min="35" max="35" width="8.5703125" style="491" hidden="1" customWidth="1"/>
    <col min="36" max="36" width="7" style="490" hidden="1" customWidth="1"/>
    <col min="37" max="38" width="5.28515625" style="490" hidden="1" customWidth="1"/>
    <col min="39" max="40" width="7" style="490" hidden="1" customWidth="1"/>
    <col min="41" max="41" width="5.140625" style="490" hidden="1" customWidth="1"/>
    <col min="42" max="42" width="11.28515625" style="490" hidden="1" customWidth="1"/>
    <col min="43" max="43" width="6.42578125" style="490" hidden="1" customWidth="1"/>
    <col min="44" max="44" width="8.28515625" style="490" hidden="1" customWidth="1"/>
    <col min="45" max="45" width="8.85546875" style="490" hidden="1" customWidth="1"/>
    <col min="46" max="46" width="10.7109375" style="490" hidden="1" customWidth="1"/>
    <col min="47" max="47" width="8.85546875" style="490" hidden="1" customWidth="1"/>
    <col min="48" max="48" width="6.28515625" style="490" hidden="1" customWidth="1"/>
    <col min="49" max="49" width="10" style="490" hidden="1" customWidth="1"/>
    <col min="50" max="50" width="7.5703125" style="490" hidden="1" customWidth="1"/>
    <col min="51" max="51" width="7" style="490" hidden="1" customWidth="1"/>
    <col min="52" max="52" width="8.140625" style="490" hidden="1" customWidth="1"/>
    <col min="53" max="53" width="12.5703125" style="490" hidden="1" customWidth="1"/>
    <col min="54" max="54" width="7.7109375" style="490" hidden="1" customWidth="1"/>
    <col min="55" max="55" width="12.7109375" style="490" hidden="1" customWidth="1"/>
    <col min="56" max="56" width="7" style="490" hidden="1" customWidth="1"/>
    <col min="57" max="57" width="15.5703125" style="490" hidden="1" customWidth="1"/>
    <col min="58" max="58" width="9.140625" style="490" hidden="1" customWidth="1"/>
    <col min="59" max="59" width="10" style="490" hidden="1" customWidth="1"/>
    <col min="60" max="60" width="5.28515625" style="490" hidden="1" customWidth="1"/>
    <col min="61" max="61" width="4" style="490" hidden="1" customWidth="1"/>
    <col min="62" max="62" width="4.7109375" style="490" hidden="1" customWidth="1"/>
    <col min="63" max="63" width="5.5703125" style="490" hidden="1" customWidth="1"/>
    <col min="64" max="64" width="5.28515625" style="490" hidden="1" customWidth="1"/>
    <col min="65" max="65" width="4" style="490" hidden="1" customWidth="1"/>
    <col min="66" max="66" width="5.5703125" style="490" hidden="1" customWidth="1"/>
    <col min="67" max="67" width="5.140625" style="492" customWidth="1"/>
    <col min="68" max="73" width="5.140625" style="489" customWidth="1"/>
    <col min="74" max="16384" width="9.140625" style="489"/>
  </cols>
  <sheetData>
    <row r="1" spans="2:73" s="486" customFormat="1" ht="12" hidden="1" x14ac:dyDescent="0.2">
      <c r="T1" s="487"/>
      <c r="U1" s="487"/>
      <c r="V1" s="487"/>
      <c r="W1" s="487"/>
      <c r="X1" s="487"/>
      <c r="Y1" s="487"/>
      <c r="Z1" s="487"/>
      <c r="AA1" s="487"/>
      <c r="AB1" s="487"/>
      <c r="AC1" s="487"/>
      <c r="AD1" s="487"/>
      <c r="AE1" s="487"/>
      <c r="AF1" s="487"/>
      <c r="AG1" s="487"/>
      <c r="AH1" s="487"/>
      <c r="AI1" s="488"/>
      <c r="AJ1" s="487"/>
      <c r="AK1" s="487"/>
      <c r="AL1" s="487"/>
      <c r="AM1" s="487"/>
      <c r="AN1" s="487"/>
      <c r="AO1" s="487"/>
      <c r="AP1" s="487"/>
      <c r="AQ1" s="487"/>
      <c r="AR1" s="487"/>
      <c r="AS1" s="487"/>
      <c r="AT1" s="487"/>
      <c r="AU1" s="487"/>
      <c r="AV1" s="487"/>
      <c r="AW1" s="487"/>
      <c r="AX1" s="487"/>
      <c r="AY1" s="487"/>
      <c r="AZ1" s="487"/>
      <c r="BA1" s="487"/>
      <c r="BB1" s="487"/>
      <c r="BC1" s="487"/>
      <c r="BD1" s="487"/>
      <c r="BE1" s="487"/>
      <c r="BF1" s="487"/>
      <c r="BG1" s="487"/>
      <c r="BH1" s="487"/>
      <c r="BI1" s="487"/>
      <c r="BJ1" s="487"/>
      <c r="BK1" s="487"/>
      <c r="BL1" s="487"/>
      <c r="BM1" s="487"/>
      <c r="BN1" s="487"/>
    </row>
    <row r="2" spans="2:73" ht="13.5" thickBot="1" x14ac:dyDescent="0.25"/>
    <row r="3" spans="2:73" ht="13.5" customHeight="1" thickTop="1" x14ac:dyDescent="0.2">
      <c r="B3" s="1227" t="s">
        <v>267</v>
      </c>
      <c r="C3" s="1228"/>
      <c r="D3" s="1228"/>
      <c r="E3" s="1228"/>
      <c r="F3" s="1228"/>
      <c r="G3" s="1229"/>
      <c r="H3" s="1230" t="s">
        <v>546</v>
      </c>
      <c r="I3" s="1231"/>
      <c r="J3" s="1231"/>
      <c r="K3" s="1231"/>
      <c r="L3" s="1231"/>
      <c r="M3" s="1231"/>
      <c r="N3" s="1232"/>
      <c r="O3" s="1233" t="s">
        <v>269</v>
      </c>
      <c r="P3" s="1234"/>
      <c r="Q3" s="1233" t="s">
        <v>270</v>
      </c>
      <c r="R3" s="1235"/>
      <c r="S3" s="493"/>
      <c r="T3" s="494"/>
      <c r="U3" s="494"/>
      <c r="V3" s="494"/>
      <c r="W3" s="494"/>
      <c r="X3" s="494"/>
      <c r="Y3" s="494"/>
      <c r="Z3" s="494"/>
      <c r="AA3" s="494"/>
      <c r="AB3" s="494"/>
      <c r="AC3" s="494"/>
      <c r="AD3" s="494"/>
      <c r="AE3" s="494"/>
      <c r="AF3" s="494"/>
      <c r="AG3" s="494"/>
      <c r="AH3" s="494"/>
      <c r="AI3" s="495"/>
      <c r="AJ3" s="494"/>
      <c r="AK3" s="494"/>
      <c r="AL3" s="494"/>
      <c r="AM3" s="494"/>
      <c r="AN3" s="494"/>
      <c r="AO3" s="494"/>
      <c r="AP3" s="494"/>
      <c r="AQ3" s="487"/>
      <c r="AR3" s="487"/>
      <c r="AW3" s="490" t="s">
        <v>271</v>
      </c>
      <c r="AX3" s="490" t="s">
        <v>272</v>
      </c>
      <c r="AY3" s="490" t="s">
        <v>273</v>
      </c>
      <c r="AZ3" s="490" t="s">
        <v>274</v>
      </c>
      <c r="BA3" s="490" t="s">
        <v>275</v>
      </c>
      <c r="BB3" s="490" t="s">
        <v>276</v>
      </c>
      <c r="BP3" s="1032" t="s">
        <v>843</v>
      </c>
      <c r="BQ3" s="1032"/>
      <c r="BR3" s="1032"/>
      <c r="BS3" s="1032"/>
      <c r="BT3" s="1032"/>
      <c r="BU3" s="1032"/>
    </row>
    <row r="4" spans="2:73" s="504" customFormat="1" ht="15.75" customHeight="1" x14ac:dyDescent="0.2">
      <c r="B4" s="1248" t="s">
        <v>277</v>
      </c>
      <c r="C4" s="1249"/>
      <c r="D4" s="1249"/>
      <c r="E4" s="1249"/>
      <c r="F4" s="1249"/>
      <c r="G4" s="1250"/>
      <c r="H4" s="1251" t="s">
        <v>753</v>
      </c>
      <c r="I4" s="1252"/>
      <c r="J4" s="1252"/>
      <c r="K4" s="1252"/>
      <c r="L4" s="1252"/>
      <c r="M4" s="1252"/>
      <c r="N4" s="1253"/>
      <c r="O4" s="1254"/>
      <c r="P4" s="1255"/>
      <c r="Q4" s="1256"/>
      <c r="R4" s="1257"/>
      <c r="S4" s="496"/>
      <c r="T4" s="497"/>
      <c r="U4" s="497"/>
      <c r="V4" s="497"/>
      <c r="W4" s="497"/>
      <c r="X4" s="497"/>
      <c r="Y4" s="497"/>
      <c r="Z4" s="497"/>
      <c r="AA4" s="497"/>
      <c r="AB4" s="497"/>
      <c r="AC4" s="497"/>
      <c r="AD4" s="497"/>
      <c r="AE4" s="497"/>
      <c r="AF4" s="497"/>
      <c r="AG4" s="497"/>
      <c r="AH4" s="497"/>
      <c r="AI4" s="498"/>
      <c r="AJ4" s="497"/>
      <c r="AK4" s="497"/>
      <c r="AL4" s="497"/>
      <c r="AM4" s="497"/>
      <c r="AN4" s="497"/>
      <c r="AO4" s="497"/>
      <c r="AP4" s="497"/>
      <c r="AQ4" s="499"/>
      <c r="AR4" s="499"/>
      <c r="AS4" s="500"/>
      <c r="AT4" s="501" t="s">
        <v>278</v>
      </c>
      <c r="AU4" s="502" t="b">
        <v>1</v>
      </c>
      <c r="AV4" s="500">
        <v>0</v>
      </c>
      <c r="AW4" s="500" t="b">
        <f>IF(ISERR(OR(AW8:AW39)),"UNK",IF(AND(graded_aca_events&gt;=1,input_test),FALSE,OR(AW8:AW39)))</f>
        <v>1</v>
      </c>
      <c r="AX4" s="500" t="b">
        <f>IF(ISERR(OR(AX8:AX39)),"UNK",IF(AND(graded_aca_events&gt;=1,input_test),FALSE,OR(AX8:AX39)))</f>
        <v>1</v>
      </c>
      <c r="AY4" s="500" t="b">
        <f>IF(ISERR(OR(AY8:AY39)),"UNK",OR(AY8:AY39))</f>
        <v>0</v>
      </c>
      <c r="AZ4" s="500" t="b">
        <f>IF(ISERR(OR(AZ8:AZ39)),"UNK",OR(AZ8:AZ39))</f>
        <v>0</v>
      </c>
      <c r="BA4" s="500" t="b">
        <f>IF(ISERR(OR(BA8:BA39)),"UNK",OR(BA8:BA39))</f>
        <v>0</v>
      </c>
      <c r="BB4" s="500" t="b">
        <f>IF(ISERR(OR(BB8:BB39)),"UNK",OR(BB8:BB39))</f>
        <v>0</v>
      </c>
      <c r="BC4" s="503" t="b">
        <f>OR(BC8:BC39)</f>
        <v>0</v>
      </c>
      <c r="BD4" s="503" t="b">
        <f>OR(BD8:BD39)</f>
        <v>0</v>
      </c>
      <c r="BE4" s="503" t="b">
        <f>OR(BE8:BE39)</f>
        <v>0</v>
      </c>
      <c r="BF4" s="503"/>
      <c r="BG4" s="500"/>
      <c r="BH4" s="1241" t="s">
        <v>279</v>
      </c>
      <c r="BI4" s="1241"/>
      <c r="BJ4" s="1241"/>
      <c r="BK4" s="1241"/>
      <c r="BL4" s="1242" t="s">
        <v>280</v>
      </c>
      <c r="BM4" s="1242"/>
      <c r="BN4" s="1242"/>
      <c r="BO4" s="492"/>
      <c r="BP4" s="1032"/>
      <c r="BQ4" s="1032"/>
      <c r="BR4" s="1032"/>
      <c r="BS4" s="1032"/>
      <c r="BT4" s="1032"/>
      <c r="BU4" s="1032"/>
    </row>
    <row r="5" spans="2:73" s="493" customFormat="1" ht="7.5" customHeight="1" x14ac:dyDescent="0.25">
      <c r="B5" s="1258" t="s">
        <v>281</v>
      </c>
      <c r="C5" s="1259"/>
      <c r="D5" s="1259"/>
      <c r="E5" s="1260"/>
      <c r="F5" s="1243" t="s">
        <v>282</v>
      </c>
      <c r="G5" s="1260"/>
      <c r="H5" s="1243" t="s">
        <v>283</v>
      </c>
      <c r="I5" s="1259"/>
      <c r="J5" s="1259"/>
      <c r="K5" s="1259"/>
      <c r="L5" s="1260"/>
      <c r="M5" s="1261" t="s">
        <v>284</v>
      </c>
      <c r="N5" s="1262"/>
      <c r="O5" s="1263" t="s">
        <v>285</v>
      </c>
      <c r="P5" s="1264"/>
      <c r="Q5" s="1243" t="str">
        <f>IF(AU41=0,"GRADE","GRADE (inc. bonus)")</f>
        <v>GRADE</v>
      </c>
      <c r="R5" s="1244"/>
      <c r="T5" s="494"/>
      <c r="U5" s="494"/>
      <c r="V5" s="494"/>
      <c r="W5" s="494"/>
      <c r="X5" s="494"/>
      <c r="Y5" s="494"/>
      <c r="Z5" s="494"/>
      <c r="AA5" s="494"/>
      <c r="AB5" s="494"/>
      <c r="AC5" s="494"/>
      <c r="AD5" s="494"/>
      <c r="AE5" s="494"/>
      <c r="AF5" s="494"/>
      <c r="AG5" s="494"/>
      <c r="AH5" s="494"/>
      <c r="AI5" s="495"/>
      <c r="AJ5" s="494"/>
      <c r="AK5" s="494"/>
      <c r="AL5" s="494"/>
      <c r="AM5" s="494"/>
      <c r="AN5" s="494"/>
      <c r="AO5" s="494"/>
      <c r="AP5" s="494"/>
      <c r="AQ5" s="494"/>
      <c r="AR5" s="494"/>
      <c r="AS5" s="494"/>
      <c r="AT5" s="494"/>
      <c r="AU5" s="494"/>
      <c r="AV5" s="494"/>
      <c r="AW5" s="494"/>
      <c r="AX5" s="494"/>
      <c r="AY5" s="494"/>
      <c r="AZ5" s="494"/>
      <c r="BA5" s="494"/>
      <c r="BB5" s="494"/>
      <c r="BC5" s="494"/>
      <c r="BD5" s="494"/>
      <c r="BE5" s="494"/>
      <c r="BF5" s="494"/>
      <c r="BG5" s="494"/>
      <c r="BH5" s="1241"/>
      <c r="BI5" s="1241"/>
      <c r="BJ5" s="1241"/>
      <c r="BK5" s="1241"/>
      <c r="BL5" s="1242"/>
      <c r="BM5" s="1242"/>
      <c r="BN5" s="1242"/>
      <c r="BO5" s="505"/>
    </row>
    <row r="6" spans="2:73" s="504" customFormat="1" ht="15.75" customHeight="1" thickBot="1" x14ac:dyDescent="0.25">
      <c r="B6" s="1245"/>
      <c r="C6" s="1246"/>
      <c r="D6" s="1246"/>
      <c r="E6" s="1247"/>
      <c r="F6" s="1217" t="s">
        <v>457</v>
      </c>
      <c r="G6" s="1218"/>
      <c r="H6" s="1219"/>
      <c r="I6" s="1220"/>
      <c r="J6" s="1220"/>
      <c r="K6" s="1220"/>
      <c r="L6" s="1218"/>
      <c r="M6" s="1221"/>
      <c r="N6" s="1222"/>
      <c r="O6" s="1223"/>
      <c r="P6" s="1224"/>
      <c r="Q6" s="1225" t="str">
        <f>IF((graded_aca_events+graded_amn_events)&lt;1,"0",IF(ISERROR(AR46),"",IF(F41&lt;&gt;"COMPLETE","INCOMPLETE",AR46)))</f>
        <v>0</v>
      </c>
      <c r="R6" s="1226"/>
      <c r="S6" s="489"/>
      <c r="T6" s="500"/>
      <c r="U6" s="500">
        <v>2</v>
      </c>
      <c r="V6" s="500">
        <v>3</v>
      </c>
      <c r="W6" s="500">
        <v>6</v>
      </c>
      <c r="X6" s="500">
        <v>7</v>
      </c>
      <c r="Y6" s="500">
        <v>11</v>
      </c>
      <c r="Z6" s="500">
        <v>8</v>
      </c>
      <c r="AA6" s="500">
        <v>9</v>
      </c>
      <c r="AB6" s="500">
        <v>10</v>
      </c>
      <c r="AC6" s="500">
        <v>5</v>
      </c>
      <c r="AD6" s="500">
        <v>4</v>
      </c>
      <c r="AE6" s="500">
        <v>12</v>
      </c>
      <c r="AF6" s="500">
        <v>13</v>
      </c>
      <c r="AG6" s="500"/>
      <c r="AH6" s="500"/>
      <c r="AI6" s="506"/>
      <c r="AJ6" s="507"/>
      <c r="AK6" s="507"/>
      <c r="AL6" s="507"/>
      <c r="AM6" s="507" t="b">
        <f>IF(COUNT(AM8:AM39)&gt;0,TRUE,FALSE)</f>
        <v>0</v>
      </c>
      <c r="AN6" s="507" t="b">
        <f>IF(COUNT(AN8:AN39)&gt;0,TRUE,FALSE)</f>
        <v>0</v>
      </c>
      <c r="AO6" s="500"/>
      <c r="AP6" s="500"/>
      <c r="AQ6" s="499"/>
      <c r="AR6" s="499"/>
      <c r="AS6" s="500"/>
      <c r="AT6" s="106">
        <v>0.1</v>
      </c>
      <c r="AU6" s="500"/>
      <c r="AV6" s="508">
        <f>0.01*input_maxb</f>
        <v>0</v>
      </c>
      <c r="AW6" s="509" t="s">
        <v>287</v>
      </c>
      <c r="AX6" s="510"/>
      <c r="AY6" s="509" t="s">
        <v>288</v>
      </c>
      <c r="AZ6" s="510"/>
      <c r="BA6" s="511" t="s">
        <v>289</v>
      </c>
      <c r="BB6" s="511"/>
      <c r="BC6" s="509" t="s">
        <v>290</v>
      </c>
      <c r="BD6" s="511"/>
      <c r="BE6" s="512"/>
      <c r="BF6" s="513"/>
      <c r="BG6" s="500" t="s">
        <v>291</v>
      </c>
      <c r="BH6" s="1241"/>
      <c r="BI6" s="1241"/>
      <c r="BJ6" s="1241"/>
      <c r="BK6" s="1241"/>
      <c r="BL6" s="1242"/>
      <c r="BM6" s="1242"/>
      <c r="BN6" s="1242"/>
      <c r="BO6" s="492"/>
    </row>
    <row r="7" spans="2:73" ht="27" customHeight="1" thickBot="1" x14ac:dyDescent="0.25">
      <c r="B7" s="1236" t="s">
        <v>292</v>
      </c>
      <c r="C7" s="1237"/>
      <c r="D7" s="1237"/>
      <c r="E7" s="1237"/>
      <c r="F7" s="1238"/>
      <c r="G7" s="514" t="s">
        <v>293</v>
      </c>
      <c r="H7" s="515" t="s">
        <v>294</v>
      </c>
      <c r="I7" s="516" t="s">
        <v>295</v>
      </c>
      <c r="J7" s="517" t="s">
        <v>296</v>
      </c>
      <c r="K7" s="518" t="s">
        <v>297</v>
      </c>
      <c r="L7" s="1239" t="s">
        <v>298</v>
      </c>
      <c r="M7" s="1237"/>
      <c r="N7" s="1237"/>
      <c r="O7" s="1237"/>
      <c r="P7" s="1237"/>
      <c r="Q7" s="1237"/>
      <c r="R7" s="1240"/>
      <c r="T7" s="519" t="s">
        <v>299</v>
      </c>
      <c r="U7" s="519"/>
      <c r="V7" s="519" t="s">
        <v>300</v>
      </c>
      <c r="W7" s="519" t="s">
        <v>301</v>
      </c>
      <c r="X7" s="519" t="s">
        <v>302</v>
      </c>
      <c r="Y7" s="519" t="s">
        <v>303</v>
      </c>
      <c r="Z7" s="519" t="s">
        <v>304</v>
      </c>
      <c r="AA7" s="519" t="s">
        <v>305</v>
      </c>
      <c r="AB7" s="519" t="s">
        <v>306</v>
      </c>
      <c r="AC7" s="519" t="s">
        <v>307</v>
      </c>
      <c r="AD7" s="519" t="s">
        <v>308</v>
      </c>
      <c r="AE7" s="519" t="s">
        <v>309</v>
      </c>
      <c r="AF7" s="519" t="s">
        <v>310</v>
      </c>
      <c r="AG7" s="519" t="s">
        <v>311</v>
      </c>
      <c r="AH7" s="519" t="s">
        <v>312</v>
      </c>
      <c r="AI7" s="520" t="s">
        <v>313</v>
      </c>
      <c r="AJ7" s="521" t="s">
        <v>314</v>
      </c>
      <c r="AK7" s="522" t="s">
        <v>315</v>
      </c>
      <c r="AL7" s="522" t="s">
        <v>316</v>
      </c>
      <c r="AM7" s="522" t="s">
        <v>317</v>
      </c>
      <c r="AN7" s="522" t="s">
        <v>318</v>
      </c>
      <c r="AO7" s="521" t="s">
        <v>319</v>
      </c>
      <c r="AP7" s="521" t="s">
        <v>320</v>
      </c>
      <c r="AQ7" s="523" t="s">
        <v>321</v>
      </c>
      <c r="AR7" s="524" t="s">
        <v>1</v>
      </c>
      <c r="AS7" s="523" t="s">
        <v>322</v>
      </c>
      <c r="AT7" s="524" t="s">
        <v>1</v>
      </c>
      <c r="AU7" s="523" t="s">
        <v>323</v>
      </c>
      <c r="AV7" s="525" t="s">
        <v>324</v>
      </c>
      <c r="AW7" s="526" t="s">
        <v>325</v>
      </c>
      <c r="AX7" s="527" t="s">
        <v>326</v>
      </c>
      <c r="AY7" s="526" t="s">
        <v>327</v>
      </c>
      <c r="AZ7" s="527" t="s">
        <v>328</v>
      </c>
      <c r="BA7" s="528" t="s">
        <v>329</v>
      </c>
      <c r="BB7" s="528" t="s">
        <v>330</v>
      </c>
      <c r="BC7" s="529" t="s">
        <v>331</v>
      </c>
      <c r="BD7" s="530" t="s">
        <v>332</v>
      </c>
      <c r="BE7" s="531" t="s">
        <v>333</v>
      </c>
      <c r="BF7" s="532" t="s">
        <v>334</v>
      </c>
      <c r="BH7" s="490" t="s">
        <v>335</v>
      </c>
      <c r="BI7" s="490" t="s">
        <v>336</v>
      </c>
      <c r="BJ7" s="519" t="s">
        <v>337</v>
      </c>
      <c r="BK7" s="490" t="s">
        <v>338</v>
      </c>
      <c r="BL7" s="490" t="s">
        <v>335</v>
      </c>
      <c r="BM7" s="490" t="s">
        <v>336</v>
      </c>
      <c r="BN7" s="490" t="s">
        <v>338</v>
      </c>
    </row>
    <row r="8" spans="2:73" ht="12.95" customHeight="1" x14ac:dyDescent="0.2">
      <c r="B8" s="533" t="str">
        <f>IF(ISNA(Z8),"",IF(OR(Z8=1,Z8=2),"",1))</f>
        <v/>
      </c>
      <c r="C8" s="1206" t="str">
        <f t="shared" ref="C8:C36" si="0">IF(ISNA(Z8),"",CONCATENATE($U8,IF(ISNUMBER(AI8),TEXT(ROUND($AI8,3)," (0.0%)"),""),IF(AU8&gt;0," Bonus","")))</f>
        <v>Airmanship Tasks (10.0%)</v>
      </c>
      <c r="D8" s="1206"/>
      <c r="E8" s="1206"/>
      <c r="F8" s="1207"/>
      <c r="G8" s="534" t="str">
        <f t="shared" ref="G8:G39" si="1">BH8</f>
        <v/>
      </c>
      <c r="H8" s="535" t="str">
        <f t="shared" ref="H8:I39" si="2">BJ8</f>
        <v/>
      </c>
      <c r="I8" s="536" t="str">
        <f t="shared" si="2"/>
        <v/>
      </c>
      <c r="J8" s="537"/>
      <c r="K8" s="538"/>
      <c r="L8" s="1208"/>
      <c r="M8" s="1209"/>
      <c r="N8" s="1209"/>
      <c r="O8" s="1209"/>
      <c r="P8" s="1209"/>
      <c r="Q8" s="1209"/>
      <c r="R8" s="1210"/>
      <c r="T8" s="490">
        <v>1</v>
      </c>
      <c r="U8" s="490" t="s">
        <v>339</v>
      </c>
      <c r="V8" s="539" t="s">
        <v>340</v>
      </c>
      <c r="W8" s="539" t="s">
        <v>340</v>
      </c>
      <c r="X8" s="539" t="s">
        <v>340</v>
      </c>
      <c r="Y8" s="539" t="s">
        <v>340</v>
      </c>
      <c r="Z8" s="539">
        <v>1</v>
      </c>
      <c r="AA8" s="539">
        <v>0</v>
      </c>
      <c r="AB8" s="539">
        <v>0</v>
      </c>
      <c r="AC8" s="539" t="s">
        <v>340</v>
      </c>
      <c r="AD8" s="539" t="s">
        <v>340</v>
      </c>
      <c r="AE8" s="539">
        <v>0</v>
      </c>
      <c r="AF8" s="539" t="s">
        <v>340</v>
      </c>
      <c r="AG8" s="539" t="str">
        <f t="shared" ref="AG8:AG39" si="3">IF(CrewSoloQual="Yes",$AC8,$AD8)</f>
        <v/>
      </c>
      <c r="AH8" s="539" t="str">
        <f t="shared" ref="AH8:AH39" si="4">IF(ISNUMBER(AC8),IF(CrewSoloQual="Yes",$AC8-1,$AD8-1),"")</f>
        <v/>
      </c>
      <c r="AI8" s="138">
        <f>IF(NOT(OR(Z8=1,Z8=2)),IF(AQ8&gt;0,$AR$44*AQ8/SUMIF($AQ$8:$AQ$39,"&gt;0"),IF(AU8&gt;0,$AV$44*AU8/SUMIF($AU$8:$AU$39,"&gt;0"),IF(AS8&gt;0,$AT$44*AS8/SUMIF($AS$8:$AS$39,"&gt;0"),""))),IF(SUMIF(AJ9:$AJ$39,"=" &amp; AJ8,AI9:$AI$39)=0,"",SUMIF(AJ9:$AJ$39,"=" &amp; AJ8,AI9:$AI$39)))</f>
        <v>0.1</v>
      </c>
      <c r="AJ8" s="139">
        <f>0</f>
        <v>0</v>
      </c>
      <c r="AK8" s="539" t="str">
        <f>BI8</f>
        <v/>
      </c>
      <c r="AL8" s="539" t="str">
        <f>IF(ISBLANK(K8),"",K8)</f>
        <v/>
      </c>
      <c r="AM8" s="539" t="str">
        <f>IF(ISNUMBER(AK8),IF(ISNUMBER(AL8),1,""),"")</f>
        <v/>
      </c>
      <c r="AN8" s="539" t="str">
        <f t="shared" ref="AN8:AN36" si="5">IF(ISNUMBER(AH8),IF(AND(AB8=0,ISNUMBER(AC8),ISNUMBER(AL8)),1,""),"")</f>
        <v/>
      </c>
      <c r="AO8" s="539" t="str">
        <f t="shared" ref="AO8:AO39" si="6">IF(AB8=0,IF(CrewSoloQual="No",BI8,BK8),"")</f>
        <v/>
      </c>
      <c r="AP8" s="539" t="str">
        <f t="shared" ref="AP8:AP39" si="7">IF(ISNA(Z8),"",IF(AND(ISNUMBER(B8),G8&gt;=1,H8&lt;&gt;"NG"),IF(K8&lt;BK8,TRUE,FALSE),IF(AND(G8&gt;=1,J8="NA"),TRUE,IF(AND(AM8=1,G8=0,AL8&lt;BI8),TRUE,""))))</f>
        <v/>
      </c>
      <c r="AQ8" s="540">
        <f>IF(ISNA(Z8),0,IF(OR(J8="NA",W8="",AB8=0),0,W8))</f>
        <v>0</v>
      </c>
      <c r="AR8" s="141" t="str">
        <f t="shared" ref="AR8:AR39" si="8">IF(ISNA(Z8),"",IF(AND(NOT(OR(Z8=1,Z8=2,AK8="NG",AB8=0)),IF(ISNUMBER(AL8),AL8&gt;=0,FALSE)),VLOOKUP((10*AD8+AC8),$AQ$50:$AV$58,2+AL8,FALSE),IF(AND(input_test=TRUE,ISNUMBER(AD8),V8&lt;&gt;0),VLOOKUP((10*AD8+AC8),$AQ$50:$AV$58,2,FALSE),"")))</f>
        <v/>
      </c>
      <c r="AS8" s="142">
        <f>IF(ISNA(Z8),0,IF(OR(J8="NA",X8="",AB8=1),0,X8))</f>
        <v>0</v>
      </c>
      <c r="AT8" s="141" t="str">
        <f t="shared" ref="AT8:AT39" si="9">IF(ISNA(Z8),"",IF(AND(NOT(OR(Z8=1,Z8=2,AK8="NG",AB8=1)),IF(ISNUMBER(AL8),AL8&gt;=0,FALSE)),VLOOKUP((10*AH8+AG8),$AQ$50:$AV$58,2+AL8,FALSE),IF(AND(input_test=TRUE,ISNUMBER(AD8),V8&lt;&gt;0),VLOOKUP((10*AH8+AG8),$AQ$50:$AV$58,2,FALSE),"")))</f>
        <v/>
      </c>
      <c r="AU8" s="541">
        <f t="shared" ref="AU8:AU39" si="10">IF(ISNA(Z8),0,IF(OR(J8="NA",Y8=""),0,Y8))</f>
        <v>0</v>
      </c>
      <c r="AV8" s="144" t="str">
        <f t="shared" ref="AV8:AV39" si="11">AR8</f>
        <v/>
      </c>
      <c r="AW8" s="541" t="b">
        <f t="shared" ref="AW8:AW39" si="12">IF(ISNA(Z8),FALSE,IF(OR(AB8=1,G8=0,Z8=1,Z8=2),FALSE,IF(OR(J8="NA",J8&gt;=G8),FALSE,TRUE)))</f>
        <v>0</v>
      </c>
      <c r="AX8" s="542" t="b">
        <f t="shared" ref="AX8:AX39" si="13">IF(ISNA(Z8),FALSE,IF(OR(AB8=0,G8=0,Z8=1,Z8=2,J8="NA"),FALSE,IF(AK8="NG",IF(NOT(ISBLANK(K8)),FALSE,TRUE),IF(J8&gt;=G8,FALSE,TRUE))))</f>
        <v>0</v>
      </c>
      <c r="AY8" s="541" t="b">
        <f t="shared" ref="AY8:AY39" si="14">IF(ISNA(Z8),FALSE,IF(OR(AB8=1,G8&lt;1,Z8=1,Z8=2,AE8=0,ISBLANK(K8)),FALSE,IF(OR(J8="NA",K8&gt;=BI8),FALSE,TRUE)))</f>
        <v>0</v>
      </c>
      <c r="AZ8" s="542" t="b">
        <f t="shared" ref="AZ8:AZ39" si="15">IF(ISNA(Z8),FALSE,IF(OR(AB8=0,G8=0,Z8=1,Z8=2,AE8=0,BI8="NG",K8="",ISBLANK(K8)),FALSE,IF(OR(J8="NA",K8&gt;=AK8),FALSE,TRUE)))</f>
        <v>0</v>
      </c>
      <c r="BA8" s="539" t="b">
        <f t="shared" ref="BA8:BA39" si="16">IF(ISNA(Z8),FALSE,IF(OR(AB8=1,G8&lt;1,Z8=1,Z8=2,AE8=0),FALSE,IF(J8="NA",TRUE,FALSE)))</f>
        <v>0</v>
      </c>
      <c r="BB8" s="539" t="b">
        <f t="shared" ref="BB8:BB39" si="17">IF(ISNA(Z8),FALSE,IF(OR(AB8=0,G8=0,Z8=1,Z8=2),FALSE,IF(J8="NA",TRUE,FALSE)))</f>
        <v>0</v>
      </c>
      <c r="BC8" s="541" t="b">
        <f t="shared" ref="BC8:BC39" si="18">IF(OR(ISNA($Z8),ISNUMBER($Z8),NOT(ISNUMBER($J8)),K8="D"),FALSE,IF(AND(NOT(ISNUMBER($K8)),J8&gt;0),TRUE,FALSE))</f>
        <v>0</v>
      </c>
      <c r="BD8" s="543" t="b">
        <f>IF(OR(ISNA($Z8),ISNUMBER($Z8),NOT(ISNUMBER(K8))),FALSE,OR(NOT(ISNUMBER(J8)),J8=0,AND(J8=0,K8&lt;&gt;0)))</f>
        <v>0</v>
      </c>
      <c r="BE8" s="542" t="b">
        <f t="shared" ref="BE8:BE21" si="19">IF(OR(ISNA($Z8),K8&lt;&gt;"D"),FALSE,IF(OR(AND(H8="NG",J8=0),AND(H8&lt;&gt;"NG",NOT(OR(J8="NA",J8=0)))),TRUE,FALSE))</f>
        <v>0</v>
      </c>
      <c r="BF8" s="544" t="b">
        <f t="shared" ref="BF8:BF30" si="20">IF(OR(ISNA($Z8),H8&lt;&gt;"NG"),FALSE,IF(AND(J8="NA",K8&lt;&gt;""),TRUE,FALSE))</f>
        <v>0</v>
      </c>
      <c r="BG8" s="539" t="b">
        <f t="shared" ref="BG8:BG21" si="21">IF(ISNA($Z8),"NA",IF(OR(AZ8,AY8,AX8,AW8,AP8,BA8,BB8),TRUE,FALSE))</f>
        <v>0</v>
      </c>
      <c r="BH8" s="545" t="str">
        <f>IF(ISNA($Z8),"",IF(OR($Z8=1,$Z8=2),"",$V8))</f>
        <v/>
      </c>
      <c r="BI8" s="539" t="str">
        <f t="shared" ref="BI8:BI39" si="22">IF(ISNA($Z8),"",IF(OR($Z8=1,$Z8=2,$G8=""),"",IF(AB8=0,AH8,$AD8)))</f>
        <v/>
      </c>
      <c r="BJ8" s="539" t="str">
        <f t="shared" ref="BJ8:BJ39" si="23">IF(ISNA(AE8),"",IF(OR(Z8=1,Z8=2),"",IF(OR(AE8=0,AD8="NG"),TEXT(BI8,"0"),CONCATENATE(TEXT(BI8,"0"),"*"))))</f>
        <v/>
      </c>
      <c r="BK8" s="539" t="str">
        <f t="shared" ref="BK8:BK39" si="24">IF(ISNA($Z8),"",IF(OR($Z8=1,$Z8=2,$G8=""),"",IF(AB8=0,AG8,$AC8)))</f>
        <v/>
      </c>
      <c r="BL8" s="545" t="str">
        <f>IF(ISBLANK(BH8),"",IF(BH8=0,"",BH8))</f>
        <v/>
      </c>
      <c r="BM8" s="539" t="str">
        <f t="shared" ref="BM8:BM39" si="25">IF($BH8=0,"",IF($BI8="NG","D",$BI8))</f>
        <v/>
      </c>
      <c r="BN8" s="539" t="str">
        <f t="shared" ref="BN8:BN39" si="26">IF(ISNA(U8),"",IF($BH8=0,"",IF($BI8="NG","D",BK8)))</f>
        <v/>
      </c>
      <c r="BO8" s="546" t="s">
        <v>341</v>
      </c>
      <c r="BP8" s="547"/>
    </row>
    <row r="9" spans="2:73" s="504" customFormat="1" ht="12.95" customHeight="1" x14ac:dyDescent="0.2">
      <c r="B9" s="548">
        <f>IF(ISNA(Z9),"",IF(OR(Z9=1,Z9=2),"    ",MAX($B$8:B8)+1))</f>
        <v>1</v>
      </c>
      <c r="C9" s="1202" t="str">
        <f t="shared" si="0"/>
        <v>Basic Aircraft Procedures (2.0%)</v>
      </c>
      <c r="D9" s="1202"/>
      <c r="E9" s="1202"/>
      <c r="F9" s="1203"/>
      <c r="G9" s="534">
        <f t="shared" si="1"/>
        <v>1</v>
      </c>
      <c r="H9" s="535" t="str">
        <f t="shared" si="2"/>
        <v>1*</v>
      </c>
      <c r="I9" s="549">
        <f t="shared" si="2"/>
        <v>2</v>
      </c>
      <c r="J9" s="550"/>
      <c r="K9" s="551"/>
      <c r="L9" s="1211"/>
      <c r="M9" s="1212"/>
      <c r="N9" s="1212"/>
      <c r="O9" s="1212"/>
      <c r="P9" s="1212"/>
      <c r="Q9" s="1212"/>
      <c r="R9" s="1213"/>
      <c r="T9" s="500">
        <v>2</v>
      </c>
      <c r="U9" s="490" t="s">
        <v>342</v>
      </c>
      <c r="V9" s="539">
        <v>1</v>
      </c>
      <c r="W9" s="539" t="s">
        <v>340</v>
      </c>
      <c r="X9" s="539">
        <v>4</v>
      </c>
      <c r="Y9" s="539" t="s">
        <v>340</v>
      </c>
      <c r="Z9" s="543" t="s">
        <v>340</v>
      </c>
      <c r="AA9" s="543">
        <v>1</v>
      </c>
      <c r="AB9" s="543">
        <v>0</v>
      </c>
      <c r="AC9" s="539">
        <v>3</v>
      </c>
      <c r="AD9" s="539">
        <v>2</v>
      </c>
      <c r="AE9" s="539">
        <v>1</v>
      </c>
      <c r="AF9" s="539" t="b">
        <v>1</v>
      </c>
      <c r="AG9" s="539">
        <f t="shared" si="3"/>
        <v>2</v>
      </c>
      <c r="AH9" s="539">
        <f t="shared" si="4"/>
        <v>1</v>
      </c>
      <c r="AI9" s="138">
        <f>IF(NOT(OR(Z9=1,Z9=2)),IF(AQ9&gt;0,$AR$44*AQ9/SUMIF($AQ$8:$AQ$39,"&gt;0"),IF(AU9&gt;0,$AV$44*AU9/SUMIF($AU$8:$AU$39,"&gt;0"),IF(AS9&gt;0,$AT$44*AS9/SUMIF($AS$8:$AS$39,"&gt;0"),""))),IF(SUMIF(AJ10:$AJ$39,"=" &amp; AJ9,AI10:$AI$39)=0,"",SUMIF(AJ10:$AJ$39,"=" &amp; AJ9,AI10:$AI$39)))</f>
        <v>0.02</v>
      </c>
      <c r="AJ9" s="139">
        <f>IF(OR(Z9=1,Z9=2,AA9&lt;AA8),AJ8+1,AJ8)</f>
        <v>0</v>
      </c>
      <c r="AK9" s="539">
        <f t="shared" ref="AK9:AK39" si="27">BI9</f>
        <v>1</v>
      </c>
      <c r="AL9" s="543" t="str">
        <f t="shared" ref="AL9:AL39" si="28">IF(ISBLANK(K9),"",K9)</f>
        <v/>
      </c>
      <c r="AM9" s="543" t="str">
        <f>IF(ISNUMBER(AK9),IF(ISNUMBER(AL9),1,""),"")</f>
        <v/>
      </c>
      <c r="AN9" s="543" t="str">
        <f t="shared" si="5"/>
        <v/>
      </c>
      <c r="AO9" s="543">
        <f t="shared" si="6"/>
        <v>1</v>
      </c>
      <c r="AP9" s="539" t="b">
        <f>IF(ISNA(Z9),"",IF(AND(ISNUMBER(B9),G9&gt;=1,H9&lt;&gt;"NG"),IF(K9&lt;BK9,TRUE,FALSE),IF(AND(G9&gt;=1,J9="NA"),TRUE,IF(AND(AM9=1,G9=0,AL9&lt;BI9),TRUE,""))))</f>
        <v>1</v>
      </c>
      <c r="AQ9" s="540">
        <f t="shared" ref="AQ9:AQ39" si="29">IF(ISNA(Z9),0,IF(OR(J9="NA",W9="",AB9=0),0,W9))</f>
        <v>0</v>
      </c>
      <c r="AR9" s="141" t="str">
        <f>IF(ISNA(Z9),"",IF(AND(NOT(OR(Z9=1,Z9=2,AK9="NG",AB9=0)),IF(ISNUMBER(AL9),AL9&gt;=0,FALSE)),VLOOKUP((10*AD9+AC9),$AQ$50:$AV$58,2+AL9,FALSE),IF(AND(input_test=TRUE,ISNUMBER(AD9),V9&lt;&gt;0),VLOOKUP((10*AD9+AC9),$AQ$50:$AV$58,2,FALSE),"")))</f>
        <v/>
      </c>
      <c r="AS9" s="142">
        <f t="shared" ref="AS9:AS39" si="30">IF(ISNA(Z9),0,IF(OR(J9="NA",X9="",AB9=1),0,X9))</f>
        <v>4</v>
      </c>
      <c r="AT9" s="141" t="str">
        <f>IF(ISNA(Z9),"",IF(AND(NOT(OR(Z9=1,Z9=2,AK9="NG",AB9=1)),IF(ISNUMBER(AL9),AL9&gt;=0,FALSE)),VLOOKUP((10*AH9+AG9),$AQ$50:$AV$58,2+AL9,FALSE),IF(AND(input_test=TRUE,ISNUMBER(AD9),V9&lt;&gt;0),VLOOKUP((10*AH9+AG9),$AQ$50:$AV$58,2,FALSE),"")))</f>
        <v/>
      </c>
      <c r="AU9" s="541">
        <f t="shared" si="10"/>
        <v>0</v>
      </c>
      <c r="AV9" s="144" t="str">
        <f t="shared" si="11"/>
        <v/>
      </c>
      <c r="AW9" s="541" t="b">
        <f t="shared" si="12"/>
        <v>1</v>
      </c>
      <c r="AX9" s="542" t="b">
        <f t="shared" si="13"/>
        <v>0</v>
      </c>
      <c r="AY9" s="541" t="b">
        <f t="shared" si="14"/>
        <v>0</v>
      </c>
      <c r="AZ9" s="542" t="b">
        <f t="shared" si="15"/>
        <v>0</v>
      </c>
      <c r="BA9" s="539" t="b">
        <f t="shared" si="16"/>
        <v>0</v>
      </c>
      <c r="BB9" s="539" t="b">
        <f t="shared" si="17"/>
        <v>0</v>
      </c>
      <c r="BC9" s="541" t="b">
        <f t="shared" si="18"/>
        <v>0</v>
      </c>
      <c r="BD9" s="543" t="b">
        <f t="shared" ref="BD9:BD39" si="31">IF(OR(ISNA($Z9),ISNUMBER($Z9),NOT(ISNUMBER(K9))),FALSE,OR(NOT(ISNUMBER(J9)),J9=0,AND(J9=0,K9&lt;&gt;0)))</f>
        <v>0</v>
      </c>
      <c r="BE9" s="542" t="b">
        <f t="shared" si="19"/>
        <v>0</v>
      </c>
      <c r="BF9" s="544" t="b">
        <f t="shared" si="20"/>
        <v>0</v>
      </c>
      <c r="BG9" s="539" t="b">
        <f t="shared" si="21"/>
        <v>1</v>
      </c>
      <c r="BH9" s="539">
        <f t="shared" ref="BH9:BH39" si="32">IF(ISNA($Z9),"",IF(OR($Z9=1,$Z9=2),"",$V9))</f>
        <v>1</v>
      </c>
      <c r="BI9" s="539">
        <f t="shared" si="22"/>
        <v>1</v>
      </c>
      <c r="BJ9" s="539" t="str">
        <f t="shared" si="23"/>
        <v>1*</v>
      </c>
      <c r="BK9" s="539">
        <f t="shared" si="24"/>
        <v>2</v>
      </c>
      <c r="BL9" s="545">
        <f t="shared" ref="BL9:BL39" si="33">IF(ISBLANK(BH9),"",IF(BH9=0,"",BH9))</f>
        <v>1</v>
      </c>
      <c r="BM9" s="539">
        <f t="shared" si="25"/>
        <v>1</v>
      </c>
      <c r="BN9" s="539">
        <f t="shared" si="26"/>
        <v>2</v>
      </c>
      <c r="BO9" s="552" t="s">
        <v>343</v>
      </c>
      <c r="BP9" s="553" t="s">
        <v>344</v>
      </c>
    </row>
    <row r="10" spans="2:73" s="504" customFormat="1" ht="12.95" customHeight="1" x14ac:dyDescent="0.2">
      <c r="B10" s="548">
        <f>IF(ISNA(Z10),"",IF(OR(Z10=1,Z10=2),"    ",MAX($B$8:B9)+1))</f>
        <v>2</v>
      </c>
      <c r="C10" s="1202" t="str">
        <f t="shared" si="0"/>
        <v>Basic Aircraft Handling (2.0%)</v>
      </c>
      <c r="D10" s="1202"/>
      <c r="E10" s="1202"/>
      <c r="F10" s="1203"/>
      <c r="G10" s="534">
        <f t="shared" si="1"/>
        <v>1</v>
      </c>
      <c r="H10" s="535" t="str">
        <f t="shared" si="2"/>
        <v>1*</v>
      </c>
      <c r="I10" s="549">
        <f t="shared" si="2"/>
        <v>2</v>
      </c>
      <c r="J10" s="554"/>
      <c r="K10" s="551"/>
      <c r="L10" s="1211"/>
      <c r="M10" s="1212"/>
      <c r="N10" s="1212"/>
      <c r="O10" s="1212"/>
      <c r="P10" s="1212"/>
      <c r="Q10" s="1212"/>
      <c r="R10" s="1213"/>
      <c r="T10" s="500">
        <v>3</v>
      </c>
      <c r="U10" s="490" t="s">
        <v>551</v>
      </c>
      <c r="V10" s="539">
        <v>1</v>
      </c>
      <c r="W10" s="539" t="s">
        <v>340</v>
      </c>
      <c r="X10" s="539">
        <v>4</v>
      </c>
      <c r="Y10" s="539" t="s">
        <v>340</v>
      </c>
      <c r="Z10" s="543" t="s">
        <v>340</v>
      </c>
      <c r="AA10" s="543">
        <v>1</v>
      </c>
      <c r="AB10" s="543">
        <v>0</v>
      </c>
      <c r="AC10" s="539">
        <v>3</v>
      </c>
      <c r="AD10" s="539">
        <v>2</v>
      </c>
      <c r="AE10" s="539">
        <v>1</v>
      </c>
      <c r="AF10" s="539" t="b">
        <v>1</v>
      </c>
      <c r="AG10" s="539">
        <f t="shared" si="3"/>
        <v>2</v>
      </c>
      <c r="AH10" s="539">
        <f t="shared" si="4"/>
        <v>1</v>
      </c>
      <c r="AI10" s="138">
        <f>IF(NOT(OR(Z10=1,Z10=2)),IF(AQ10&gt;0,$AR$44*AQ10/SUMIF($AQ$8:$AQ$39,"&gt;0"),IF(AU10&gt;0,$AV$44*AU10/SUMIF($AU$8:$AU$39,"&gt;0"),IF(AS10&gt;0,$AT$44*AS10/SUMIF($AS$8:$AS$39,"&gt;0"),""))),IF(SUMIF(AJ11:$AJ$39,"=" &amp; AJ10,AI11:$AI$39)=0,"",SUMIF(AJ11:$AJ$39,"=" &amp; AJ10,AI11:$AI$39)))</f>
        <v>0.02</v>
      </c>
      <c r="AJ10" s="139">
        <f t="shared" ref="AJ10:AJ39" si="34">IF(OR(Z10=1,Z10=2,AA10&lt;AA9),AJ9+1,AJ9)</f>
        <v>0</v>
      </c>
      <c r="AK10" s="539">
        <f t="shared" si="27"/>
        <v>1</v>
      </c>
      <c r="AL10" s="543" t="str">
        <f t="shared" si="28"/>
        <v/>
      </c>
      <c r="AM10" s="543" t="str">
        <f t="shared" ref="AM10:AM39" si="35">IF(ISNUMBER(AK10),IF(ISNUMBER(AL10),1,""),"")</f>
        <v/>
      </c>
      <c r="AN10" s="543" t="str">
        <f t="shared" si="5"/>
        <v/>
      </c>
      <c r="AO10" s="543">
        <f t="shared" si="6"/>
        <v>1</v>
      </c>
      <c r="AP10" s="539" t="b">
        <f t="shared" si="7"/>
        <v>1</v>
      </c>
      <c r="AQ10" s="540">
        <f t="shared" si="29"/>
        <v>0</v>
      </c>
      <c r="AR10" s="141" t="str">
        <f t="shared" si="8"/>
        <v/>
      </c>
      <c r="AS10" s="142">
        <f t="shared" si="30"/>
        <v>4</v>
      </c>
      <c r="AT10" s="141" t="str">
        <f t="shared" si="9"/>
        <v/>
      </c>
      <c r="AU10" s="541">
        <f t="shared" si="10"/>
        <v>0</v>
      </c>
      <c r="AV10" s="144" t="str">
        <f t="shared" si="11"/>
        <v/>
      </c>
      <c r="AW10" s="541" t="b">
        <f t="shared" si="12"/>
        <v>1</v>
      </c>
      <c r="AX10" s="542" t="b">
        <f t="shared" si="13"/>
        <v>0</v>
      </c>
      <c r="AY10" s="541" t="b">
        <f t="shared" si="14"/>
        <v>0</v>
      </c>
      <c r="AZ10" s="542" t="b">
        <f t="shared" si="15"/>
        <v>0</v>
      </c>
      <c r="BA10" s="539" t="b">
        <f t="shared" si="16"/>
        <v>0</v>
      </c>
      <c r="BB10" s="539" t="b">
        <f t="shared" si="17"/>
        <v>0</v>
      </c>
      <c r="BC10" s="541" t="b">
        <f t="shared" si="18"/>
        <v>0</v>
      </c>
      <c r="BD10" s="543" t="b">
        <f t="shared" si="31"/>
        <v>0</v>
      </c>
      <c r="BE10" s="542" t="b">
        <f t="shared" si="19"/>
        <v>0</v>
      </c>
      <c r="BF10" s="544" t="b">
        <f t="shared" si="20"/>
        <v>0</v>
      </c>
      <c r="BG10" s="539" t="b">
        <f t="shared" si="21"/>
        <v>1</v>
      </c>
      <c r="BH10" s="539">
        <f t="shared" si="32"/>
        <v>1</v>
      </c>
      <c r="BI10" s="539">
        <f t="shared" si="22"/>
        <v>1</v>
      </c>
      <c r="BJ10" s="539" t="str">
        <f t="shared" si="23"/>
        <v>1*</v>
      </c>
      <c r="BK10" s="539">
        <f t="shared" si="24"/>
        <v>2</v>
      </c>
      <c r="BL10" s="545">
        <f t="shared" si="33"/>
        <v>1</v>
      </c>
      <c r="BM10" s="539">
        <f t="shared" si="25"/>
        <v>1</v>
      </c>
      <c r="BN10" s="539">
        <f t="shared" si="26"/>
        <v>2</v>
      </c>
      <c r="BO10" s="552">
        <v>0</v>
      </c>
      <c r="BP10" s="553" t="s">
        <v>346</v>
      </c>
    </row>
    <row r="11" spans="2:73" s="504" customFormat="1" ht="12.95" customHeight="1" x14ac:dyDescent="0.2">
      <c r="B11" s="548">
        <f>IF(ISNA(Z11),"",IF(OR(Z11=1,Z11=2),"    ",MAX($B$8:B10)+1))</f>
        <v>3</v>
      </c>
      <c r="C11" s="1202" t="str">
        <f t="shared" si="0"/>
        <v>Local Area Proc./Orientation/Comm (2.0%)</v>
      </c>
      <c r="D11" s="1202"/>
      <c r="E11" s="1202"/>
      <c r="F11" s="1203"/>
      <c r="G11" s="534">
        <f t="shared" si="1"/>
        <v>1</v>
      </c>
      <c r="H11" s="535" t="str">
        <f t="shared" si="2"/>
        <v>2*</v>
      </c>
      <c r="I11" s="549">
        <f t="shared" si="2"/>
        <v>3</v>
      </c>
      <c r="J11" s="554"/>
      <c r="K11" s="551"/>
      <c r="L11" s="1211"/>
      <c r="M11" s="1212"/>
      <c r="N11" s="1212"/>
      <c r="O11" s="1212"/>
      <c r="P11" s="1212"/>
      <c r="Q11" s="1212"/>
      <c r="R11" s="1213"/>
      <c r="T11" s="500">
        <v>4</v>
      </c>
      <c r="U11" s="490" t="s">
        <v>345</v>
      </c>
      <c r="V11" s="539">
        <v>1</v>
      </c>
      <c r="W11" s="539" t="s">
        <v>340</v>
      </c>
      <c r="X11" s="539">
        <v>4</v>
      </c>
      <c r="Y11" s="539" t="s">
        <v>340</v>
      </c>
      <c r="Z11" s="543" t="s">
        <v>340</v>
      </c>
      <c r="AA11" s="543">
        <v>1</v>
      </c>
      <c r="AB11" s="543">
        <v>0</v>
      </c>
      <c r="AC11" s="539">
        <v>3</v>
      </c>
      <c r="AD11" s="539">
        <v>3</v>
      </c>
      <c r="AE11" s="539">
        <v>1</v>
      </c>
      <c r="AF11" s="539" t="b">
        <v>1</v>
      </c>
      <c r="AG11" s="539">
        <f t="shared" si="3"/>
        <v>3</v>
      </c>
      <c r="AH11" s="539">
        <f t="shared" si="4"/>
        <v>2</v>
      </c>
      <c r="AI11" s="138">
        <f>IF(NOT(OR(Z11=1,Z11=2)),IF(AQ11&gt;0,$AR$44*AQ11/SUMIF($AQ$8:$AQ$39,"&gt;0"),IF(AU11&gt;0,$AV$44*AU11/SUMIF($AU$8:$AU$39,"&gt;0"),IF(AS11&gt;0,$AT$44*AS11/SUMIF($AS$8:$AS$39,"&gt;0"),""))),IF(SUMIF(AJ12:$AJ$39,"=" &amp; AJ11,AI12:$AI$39)=0,"",SUMIF(AJ12:$AJ$39,"=" &amp; AJ11,AI12:$AI$39)))</f>
        <v>0.02</v>
      </c>
      <c r="AJ11" s="139">
        <f t="shared" si="34"/>
        <v>0</v>
      </c>
      <c r="AK11" s="539">
        <f t="shared" si="27"/>
        <v>2</v>
      </c>
      <c r="AL11" s="543" t="str">
        <f t="shared" si="28"/>
        <v/>
      </c>
      <c r="AM11" s="543" t="str">
        <f t="shared" si="35"/>
        <v/>
      </c>
      <c r="AN11" s="543" t="str">
        <f t="shared" si="5"/>
        <v/>
      </c>
      <c r="AO11" s="543">
        <f t="shared" si="6"/>
        <v>2</v>
      </c>
      <c r="AP11" s="539" t="b">
        <f t="shared" si="7"/>
        <v>1</v>
      </c>
      <c r="AQ11" s="540">
        <f t="shared" si="29"/>
        <v>0</v>
      </c>
      <c r="AR11" s="141" t="str">
        <f t="shared" si="8"/>
        <v/>
      </c>
      <c r="AS11" s="142">
        <f t="shared" si="30"/>
        <v>4</v>
      </c>
      <c r="AT11" s="141" t="str">
        <f t="shared" si="9"/>
        <v/>
      </c>
      <c r="AU11" s="541">
        <f t="shared" si="10"/>
        <v>0</v>
      </c>
      <c r="AV11" s="144" t="str">
        <f t="shared" si="11"/>
        <v/>
      </c>
      <c r="AW11" s="541" t="b">
        <f t="shared" si="12"/>
        <v>1</v>
      </c>
      <c r="AX11" s="542" t="b">
        <f t="shared" si="13"/>
        <v>0</v>
      </c>
      <c r="AY11" s="541" t="b">
        <f t="shared" si="14"/>
        <v>0</v>
      </c>
      <c r="AZ11" s="542" t="b">
        <f t="shared" si="15"/>
        <v>0</v>
      </c>
      <c r="BA11" s="539" t="b">
        <f t="shared" si="16"/>
        <v>0</v>
      </c>
      <c r="BB11" s="539" t="b">
        <f t="shared" si="17"/>
        <v>0</v>
      </c>
      <c r="BC11" s="541" t="b">
        <f t="shared" si="18"/>
        <v>0</v>
      </c>
      <c r="BD11" s="543" t="b">
        <f t="shared" si="31"/>
        <v>0</v>
      </c>
      <c r="BE11" s="542" t="b">
        <f t="shared" si="19"/>
        <v>0</v>
      </c>
      <c r="BF11" s="544" t="b">
        <f t="shared" si="20"/>
        <v>0</v>
      </c>
      <c r="BG11" s="539" t="b">
        <f t="shared" si="21"/>
        <v>1</v>
      </c>
      <c r="BH11" s="539">
        <f t="shared" si="32"/>
        <v>1</v>
      </c>
      <c r="BI11" s="539">
        <f t="shared" si="22"/>
        <v>2</v>
      </c>
      <c r="BJ11" s="539" t="str">
        <f t="shared" si="23"/>
        <v>2*</v>
      </c>
      <c r="BK11" s="539">
        <f t="shared" si="24"/>
        <v>3</v>
      </c>
      <c r="BL11" s="545">
        <f t="shared" si="33"/>
        <v>1</v>
      </c>
      <c r="BM11" s="539">
        <f t="shared" si="25"/>
        <v>2</v>
      </c>
      <c r="BN11" s="539">
        <f t="shared" si="26"/>
        <v>3</v>
      </c>
      <c r="BO11" s="552">
        <v>1</v>
      </c>
      <c r="BP11" s="553" t="s">
        <v>348</v>
      </c>
    </row>
    <row r="12" spans="2:73" s="504" customFormat="1" ht="12.95" customHeight="1" x14ac:dyDescent="0.2">
      <c r="B12" s="548">
        <f>IF(ISNA(Z12),"",IF(OR(Z12=1,Z12=2),"    ",MAX($B$8:B11)+1))</f>
        <v>4</v>
      </c>
      <c r="C12" s="1202" t="str">
        <f t="shared" si="0"/>
        <v>Situational Awareness/Judgement (2.0%)</v>
      </c>
      <c r="D12" s="1202"/>
      <c r="E12" s="1202"/>
      <c r="F12" s="1203"/>
      <c r="G12" s="534">
        <f t="shared" si="1"/>
        <v>1</v>
      </c>
      <c r="H12" s="535" t="str">
        <f t="shared" si="2"/>
        <v>2*</v>
      </c>
      <c r="I12" s="549">
        <f t="shared" si="2"/>
        <v>3</v>
      </c>
      <c r="J12" s="554"/>
      <c r="K12" s="551"/>
      <c r="L12" s="1211"/>
      <c r="M12" s="1212"/>
      <c r="N12" s="1212"/>
      <c r="O12" s="1212"/>
      <c r="P12" s="1212"/>
      <c r="Q12" s="1212"/>
      <c r="R12" s="1213"/>
      <c r="T12" s="500">
        <v>5</v>
      </c>
      <c r="U12" s="490" t="s">
        <v>347</v>
      </c>
      <c r="V12" s="539">
        <v>1</v>
      </c>
      <c r="W12" s="539" t="s">
        <v>340</v>
      </c>
      <c r="X12" s="539">
        <v>4</v>
      </c>
      <c r="Y12" s="539" t="s">
        <v>340</v>
      </c>
      <c r="Z12" s="543" t="s">
        <v>340</v>
      </c>
      <c r="AA12" s="543">
        <v>1</v>
      </c>
      <c r="AB12" s="543">
        <v>0</v>
      </c>
      <c r="AC12" s="539">
        <v>3</v>
      </c>
      <c r="AD12" s="539">
        <v>3</v>
      </c>
      <c r="AE12" s="539">
        <v>1</v>
      </c>
      <c r="AF12" s="539" t="b">
        <v>1</v>
      </c>
      <c r="AG12" s="539">
        <f t="shared" si="3"/>
        <v>3</v>
      </c>
      <c r="AH12" s="539">
        <f t="shared" si="4"/>
        <v>2</v>
      </c>
      <c r="AI12" s="138">
        <f>IF(NOT(OR(Z12=1,Z12=2)),IF(AQ12&gt;0,$AR$44*AQ12/SUMIF($AQ$8:$AQ$39,"&gt;0"),IF(AU12&gt;0,$AV$44*AU12/SUMIF($AU$8:$AU$39,"&gt;0"),IF(AS12&gt;0,$AT$44*AS12/SUMIF($AS$8:$AS$39,"&gt;0"),""))),IF(SUMIF(AJ13:$AJ$39,"=" &amp; AJ12,AI13:$AI$39)=0,"",SUMIF(AJ13:$AJ$39,"=" &amp; AJ12,AI13:$AI$39)))</f>
        <v>0.02</v>
      </c>
      <c r="AJ12" s="139">
        <f t="shared" si="34"/>
        <v>0</v>
      </c>
      <c r="AK12" s="539">
        <f t="shared" si="27"/>
        <v>2</v>
      </c>
      <c r="AL12" s="543" t="str">
        <f t="shared" si="28"/>
        <v/>
      </c>
      <c r="AM12" s="543" t="str">
        <f t="shared" si="35"/>
        <v/>
      </c>
      <c r="AN12" s="543" t="str">
        <f t="shared" si="5"/>
        <v/>
      </c>
      <c r="AO12" s="543">
        <f t="shared" si="6"/>
        <v>2</v>
      </c>
      <c r="AP12" s="539" t="b">
        <f t="shared" si="7"/>
        <v>1</v>
      </c>
      <c r="AQ12" s="540">
        <f t="shared" si="29"/>
        <v>0</v>
      </c>
      <c r="AR12" s="141" t="str">
        <f t="shared" si="8"/>
        <v/>
      </c>
      <c r="AS12" s="142">
        <f t="shared" si="30"/>
        <v>4</v>
      </c>
      <c r="AT12" s="141" t="str">
        <f t="shared" si="9"/>
        <v/>
      </c>
      <c r="AU12" s="541">
        <f t="shared" si="10"/>
        <v>0</v>
      </c>
      <c r="AV12" s="144" t="str">
        <f t="shared" si="11"/>
        <v/>
      </c>
      <c r="AW12" s="541" t="b">
        <f t="shared" si="12"/>
        <v>1</v>
      </c>
      <c r="AX12" s="542" t="b">
        <f t="shared" si="13"/>
        <v>0</v>
      </c>
      <c r="AY12" s="541" t="b">
        <f t="shared" si="14"/>
        <v>0</v>
      </c>
      <c r="AZ12" s="542" t="b">
        <f t="shared" si="15"/>
        <v>0</v>
      </c>
      <c r="BA12" s="539" t="b">
        <f t="shared" si="16"/>
        <v>0</v>
      </c>
      <c r="BB12" s="539" t="b">
        <f t="shared" si="17"/>
        <v>0</v>
      </c>
      <c r="BC12" s="541" t="b">
        <f t="shared" si="18"/>
        <v>0</v>
      </c>
      <c r="BD12" s="543" t="b">
        <f t="shared" si="31"/>
        <v>0</v>
      </c>
      <c r="BE12" s="542" t="b">
        <f t="shared" si="19"/>
        <v>0</v>
      </c>
      <c r="BF12" s="544" t="b">
        <f t="shared" si="20"/>
        <v>0</v>
      </c>
      <c r="BG12" s="539" t="b">
        <f t="shared" si="21"/>
        <v>1</v>
      </c>
      <c r="BH12" s="539">
        <f t="shared" si="32"/>
        <v>1</v>
      </c>
      <c r="BI12" s="539">
        <f t="shared" si="22"/>
        <v>2</v>
      </c>
      <c r="BJ12" s="539" t="str">
        <f t="shared" si="23"/>
        <v>2*</v>
      </c>
      <c r="BK12" s="539">
        <f t="shared" si="24"/>
        <v>3</v>
      </c>
      <c r="BL12" s="545">
        <f t="shared" si="33"/>
        <v>1</v>
      </c>
      <c r="BM12" s="539">
        <f t="shared" si="25"/>
        <v>2</v>
      </c>
      <c r="BN12" s="539">
        <f t="shared" si="26"/>
        <v>3</v>
      </c>
      <c r="BO12" s="552">
        <v>2</v>
      </c>
      <c r="BP12" s="553" t="s">
        <v>350</v>
      </c>
    </row>
    <row r="13" spans="2:73" s="504" customFormat="1" ht="12.95" customHeight="1" x14ac:dyDescent="0.2">
      <c r="B13" s="548">
        <f>IF(ISNA(Z13),"",IF(OR(Z13=1,Z13=2),"    ",MAX($B$8:B12)+1))</f>
        <v>5</v>
      </c>
      <c r="C13" s="1202" t="str">
        <f t="shared" si="0"/>
        <v>Clearing/Visual Lookout (2.0%)</v>
      </c>
      <c r="D13" s="1202"/>
      <c r="E13" s="1202"/>
      <c r="F13" s="1203"/>
      <c r="G13" s="534">
        <f t="shared" si="1"/>
        <v>1</v>
      </c>
      <c r="H13" s="535" t="str">
        <f t="shared" si="2"/>
        <v>2*</v>
      </c>
      <c r="I13" s="549">
        <f t="shared" si="2"/>
        <v>3</v>
      </c>
      <c r="J13" s="554"/>
      <c r="K13" s="551"/>
      <c r="L13" s="1211"/>
      <c r="M13" s="1212"/>
      <c r="N13" s="1212"/>
      <c r="O13" s="1212"/>
      <c r="P13" s="1212"/>
      <c r="Q13" s="1212"/>
      <c r="R13" s="1213"/>
      <c r="T13" s="500">
        <v>6</v>
      </c>
      <c r="U13" s="490" t="s">
        <v>349</v>
      </c>
      <c r="V13" s="539">
        <v>1</v>
      </c>
      <c r="W13" s="539" t="s">
        <v>340</v>
      </c>
      <c r="X13" s="539">
        <v>4</v>
      </c>
      <c r="Y13" s="539" t="s">
        <v>340</v>
      </c>
      <c r="Z13" s="543" t="s">
        <v>340</v>
      </c>
      <c r="AA13" s="543">
        <v>1</v>
      </c>
      <c r="AB13" s="543">
        <v>0</v>
      </c>
      <c r="AC13" s="539">
        <v>3</v>
      </c>
      <c r="AD13" s="539">
        <v>3</v>
      </c>
      <c r="AE13" s="539">
        <v>1</v>
      </c>
      <c r="AF13" s="539" t="b">
        <v>1</v>
      </c>
      <c r="AG13" s="539">
        <f t="shared" si="3"/>
        <v>3</v>
      </c>
      <c r="AH13" s="539">
        <f t="shared" si="4"/>
        <v>2</v>
      </c>
      <c r="AI13" s="138">
        <f>IF(NOT(OR(Z13=1,Z13=2)),IF(AQ13&gt;0,$AR$44*AQ13/SUMIF($AQ$8:$AQ$39,"&gt;0"),IF(AU13&gt;0,$AV$44*AU13/SUMIF($AU$8:$AU$39,"&gt;0"),IF(AS13&gt;0,$AT$44*AS13/SUMIF($AS$8:$AS$39,"&gt;0"),""))),IF(SUMIF(AJ14:$AJ$39,"=" &amp; AJ13,AI14:$AI$39)=0,"",SUMIF(AJ14:$AJ$39,"=" &amp; AJ13,AI14:$AI$39)))</f>
        <v>0.02</v>
      </c>
      <c r="AJ13" s="139">
        <f t="shared" si="34"/>
        <v>0</v>
      </c>
      <c r="AK13" s="539">
        <f t="shared" si="27"/>
        <v>2</v>
      </c>
      <c r="AL13" s="543" t="str">
        <f t="shared" si="28"/>
        <v/>
      </c>
      <c r="AM13" s="543" t="str">
        <f t="shared" si="35"/>
        <v/>
      </c>
      <c r="AN13" s="543" t="str">
        <f t="shared" si="5"/>
        <v/>
      </c>
      <c r="AO13" s="543">
        <f t="shared" si="6"/>
        <v>2</v>
      </c>
      <c r="AP13" s="539" t="b">
        <f t="shared" si="7"/>
        <v>1</v>
      </c>
      <c r="AQ13" s="540">
        <f t="shared" si="29"/>
        <v>0</v>
      </c>
      <c r="AR13" s="141" t="str">
        <f t="shared" si="8"/>
        <v/>
      </c>
      <c r="AS13" s="142">
        <f t="shared" si="30"/>
        <v>4</v>
      </c>
      <c r="AT13" s="141" t="str">
        <f t="shared" si="9"/>
        <v/>
      </c>
      <c r="AU13" s="541">
        <f t="shared" si="10"/>
        <v>0</v>
      </c>
      <c r="AV13" s="144" t="str">
        <f t="shared" si="11"/>
        <v/>
      </c>
      <c r="AW13" s="541" t="b">
        <f t="shared" si="12"/>
        <v>1</v>
      </c>
      <c r="AX13" s="542" t="b">
        <f t="shared" si="13"/>
        <v>0</v>
      </c>
      <c r="AY13" s="541" t="b">
        <f t="shared" si="14"/>
        <v>0</v>
      </c>
      <c r="AZ13" s="542" t="b">
        <f t="shared" si="15"/>
        <v>0</v>
      </c>
      <c r="BA13" s="539" t="b">
        <f t="shared" si="16"/>
        <v>0</v>
      </c>
      <c r="BB13" s="539" t="b">
        <f t="shared" si="17"/>
        <v>0</v>
      </c>
      <c r="BC13" s="541" t="b">
        <f t="shared" si="18"/>
        <v>0</v>
      </c>
      <c r="BD13" s="543" t="b">
        <f t="shared" si="31"/>
        <v>0</v>
      </c>
      <c r="BE13" s="542" t="b">
        <f t="shared" si="19"/>
        <v>0</v>
      </c>
      <c r="BF13" s="544" t="b">
        <f t="shared" si="20"/>
        <v>0</v>
      </c>
      <c r="BG13" s="539" t="b">
        <f t="shared" si="21"/>
        <v>1</v>
      </c>
      <c r="BH13" s="539">
        <f t="shared" si="32"/>
        <v>1</v>
      </c>
      <c r="BI13" s="539">
        <f t="shared" si="22"/>
        <v>2</v>
      </c>
      <c r="BJ13" s="539" t="str">
        <f t="shared" si="23"/>
        <v>2*</v>
      </c>
      <c r="BK13" s="539">
        <f t="shared" si="24"/>
        <v>3</v>
      </c>
      <c r="BL13" s="545">
        <f t="shared" si="33"/>
        <v>1</v>
      </c>
      <c r="BM13" s="539">
        <f t="shared" si="25"/>
        <v>2</v>
      </c>
      <c r="BN13" s="539">
        <f t="shared" si="26"/>
        <v>3</v>
      </c>
      <c r="BO13" s="552">
        <v>3</v>
      </c>
      <c r="BP13" s="553" t="s">
        <v>352</v>
      </c>
    </row>
    <row r="14" spans="2:73" s="504" customFormat="1" ht="12.95" customHeight="1" x14ac:dyDescent="0.2">
      <c r="B14" s="548" t="str">
        <f>IF(ISNA(Z14),"",IF(OR(Z14=1,Z14=2),"    ",MAX($B$8:B13)+1))</f>
        <v xml:space="preserve">    </v>
      </c>
      <c r="C14" s="1202" t="str">
        <f t="shared" si="0"/>
        <v>Academic Tasks</v>
      </c>
      <c r="D14" s="1202"/>
      <c r="E14" s="1202"/>
      <c r="F14" s="1203"/>
      <c r="G14" s="534" t="str">
        <f t="shared" si="1"/>
        <v/>
      </c>
      <c r="H14" s="535" t="str">
        <f t="shared" si="2"/>
        <v/>
      </c>
      <c r="I14" s="549" t="str">
        <f t="shared" si="2"/>
        <v/>
      </c>
      <c r="J14" s="555"/>
      <c r="K14" s="556"/>
      <c r="L14" s="1211"/>
      <c r="M14" s="1212"/>
      <c r="N14" s="1212"/>
      <c r="O14" s="1212"/>
      <c r="P14" s="1212"/>
      <c r="Q14" s="1212"/>
      <c r="R14" s="1213"/>
      <c r="T14" s="500">
        <v>7</v>
      </c>
      <c r="U14" s="490" t="s">
        <v>351</v>
      </c>
      <c r="V14" s="539" t="s">
        <v>340</v>
      </c>
      <c r="W14" s="539" t="s">
        <v>340</v>
      </c>
      <c r="X14" s="539" t="s">
        <v>340</v>
      </c>
      <c r="Y14" s="539" t="s">
        <v>340</v>
      </c>
      <c r="Z14" s="543">
        <v>1</v>
      </c>
      <c r="AA14" s="543">
        <v>0</v>
      </c>
      <c r="AB14" s="543">
        <v>1</v>
      </c>
      <c r="AC14" s="539" t="s">
        <v>340</v>
      </c>
      <c r="AD14" s="539" t="s">
        <v>340</v>
      </c>
      <c r="AE14" s="539">
        <v>0</v>
      </c>
      <c r="AF14" s="539" t="s">
        <v>340</v>
      </c>
      <c r="AG14" s="539" t="str">
        <f t="shared" si="3"/>
        <v/>
      </c>
      <c r="AH14" s="539" t="str">
        <f t="shared" si="4"/>
        <v/>
      </c>
      <c r="AI14" s="138" t="str">
        <f>IF(NOT(OR(Z14=1,Z14=2)),IF(AQ14&gt;0,$AR$44*AQ14/SUMIF($AQ$8:$AQ$39,"&gt;0"),IF(AU14&gt;0,$AV$44*AU14/SUMIF($AU$8:$AU$39,"&gt;0"),IF(AS14&gt;0,$AT$44*AS14/SUMIF($AS$8:$AS$39,"&gt;0"),""))),IF(SUMIF(AJ15:$AJ$39,"=" &amp; AJ14,AI15:$AI$39)=0,"",SUMIF(AJ15:$AJ$39,"=" &amp; AJ14,AI15:$AI$39)))</f>
        <v/>
      </c>
      <c r="AJ14" s="139">
        <f t="shared" si="34"/>
        <v>1</v>
      </c>
      <c r="AK14" s="539" t="str">
        <f t="shared" si="27"/>
        <v/>
      </c>
      <c r="AL14" s="543" t="str">
        <f t="shared" si="28"/>
        <v/>
      </c>
      <c r="AM14" s="543" t="str">
        <f t="shared" si="35"/>
        <v/>
      </c>
      <c r="AN14" s="543" t="str">
        <f t="shared" si="5"/>
        <v/>
      </c>
      <c r="AO14" s="543" t="str">
        <f t="shared" si="6"/>
        <v/>
      </c>
      <c r="AP14" s="539" t="str">
        <f t="shared" si="7"/>
        <v/>
      </c>
      <c r="AQ14" s="540">
        <f t="shared" si="29"/>
        <v>0</v>
      </c>
      <c r="AR14" s="141" t="str">
        <f t="shared" si="8"/>
        <v/>
      </c>
      <c r="AS14" s="142">
        <f t="shared" si="30"/>
        <v>0</v>
      </c>
      <c r="AT14" s="141" t="str">
        <f t="shared" si="9"/>
        <v/>
      </c>
      <c r="AU14" s="541">
        <f t="shared" si="10"/>
        <v>0</v>
      </c>
      <c r="AV14" s="144" t="str">
        <f t="shared" si="11"/>
        <v/>
      </c>
      <c r="AW14" s="541" t="b">
        <f t="shared" si="12"/>
        <v>0</v>
      </c>
      <c r="AX14" s="542" t="b">
        <f t="shared" si="13"/>
        <v>0</v>
      </c>
      <c r="AY14" s="541" t="b">
        <f t="shared" si="14"/>
        <v>0</v>
      </c>
      <c r="AZ14" s="542" t="b">
        <f t="shared" si="15"/>
        <v>0</v>
      </c>
      <c r="BA14" s="539" t="b">
        <f t="shared" si="16"/>
        <v>0</v>
      </c>
      <c r="BB14" s="539" t="b">
        <f t="shared" si="17"/>
        <v>0</v>
      </c>
      <c r="BC14" s="541" t="b">
        <f t="shared" si="18"/>
        <v>0</v>
      </c>
      <c r="BD14" s="543" t="b">
        <f t="shared" si="31"/>
        <v>0</v>
      </c>
      <c r="BE14" s="542" t="b">
        <f t="shared" si="19"/>
        <v>0</v>
      </c>
      <c r="BF14" s="544" t="b">
        <f t="shared" si="20"/>
        <v>0</v>
      </c>
      <c r="BG14" s="539" t="b">
        <f t="shared" si="21"/>
        <v>0</v>
      </c>
      <c r="BH14" s="539" t="str">
        <f t="shared" si="32"/>
        <v/>
      </c>
      <c r="BI14" s="539" t="str">
        <f t="shared" si="22"/>
        <v/>
      </c>
      <c r="BJ14" s="539" t="str">
        <f t="shared" si="23"/>
        <v/>
      </c>
      <c r="BK14" s="539" t="str">
        <f t="shared" si="24"/>
        <v/>
      </c>
      <c r="BL14" s="545" t="str">
        <f t="shared" si="33"/>
        <v/>
      </c>
      <c r="BM14" s="539" t="str">
        <f t="shared" si="25"/>
        <v/>
      </c>
      <c r="BN14" s="539" t="str">
        <f t="shared" si="26"/>
        <v/>
      </c>
      <c r="BO14" s="552">
        <v>4</v>
      </c>
      <c r="BP14" s="553" t="s">
        <v>354</v>
      </c>
    </row>
    <row r="15" spans="2:73" s="504" customFormat="1" ht="12.95" customHeight="1" x14ac:dyDescent="0.2">
      <c r="B15" s="548" t="str">
        <f>IF(ISNA(Z15),"",IF(OR(Z15=1,Z15=2),"    ",MAX($B$8:B14)+1))</f>
        <v xml:space="preserve">    </v>
      </c>
      <c r="C15" s="1202" t="str">
        <f t="shared" si="0"/>
        <v>Test Conduct (22.5%)</v>
      </c>
      <c r="D15" s="1202"/>
      <c r="E15" s="1202"/>
      <c r="F15" s="1203"/>
      <c r="G15" s="534" t="str">
        <f t="shared" si="1"/>
        <v/>
      </c>
      <c r="H15" s="535" t="str">
        <f t="shared" si="2"/>
        <v/>
      </c>
      <c r="I15" s="549" t="str">
        <f t="shared" si="2"/>
        <v/>
      </c>
      <c r="J15" s="555"/>
      <c r="K15" s="556"/>
      <c r="L15" s="1211"/>
      <c r="M15" s="1212"/>
      <c r="N15" s="1212"/>
      <c r="O15" s="1212"/>
      <c r="P15" s="1212"/>
      <c r="Q15" s="1212"/>
      <c r="R15" s="1213"/>
      <c r="T15" s="500">
        <v>8</v>
      </c>
      <c r="U15" s="490" t="s">
        <v>353</v>
      </c>
      <c r="V15" s="539" t="s">
        <v>340</v>
      </c>
      <c r="W15" s="539" t="s">
        <v>340</v>
      </c>
      <c r="X15" s="539" t="s">
        <v>340</v>
      </c>
      <c r="Y15" s="539" t="s">
        <v>340</v>
      </c>
      <c r="Z15" s="543">
        <v>2</v>
      </c>
      <c r="AA15" s="543">
        <v>1</v>
      </c>
      <c r="AB15" s="543">
        <v>1</v>
      </c>
      <c r="AC15" s="539" t="s">
        <v>340</v>
      </c>
      <c r="AD15" s="539" t="s">
        <v>340</v>
      </c>
      <c r="AE15" s="539" t="s">
        <v>340</v>
      </c>
      <c r="AF15" s="539" t="s">
        <v>340</v>
      </c>
      <c r="AG15" s="539" t="str">
        <f t="shared" si="3"/>
        <v/>
      </c>
      <c r="AH15" s="539" t="str">
        <f t="shared" si="4"/>
        <v/>
      </c>
      <c r="AI15" s="138">
        <f>IF(NOT(OR(Z15=1,Z15=2)),IF(AQ15&gt;0,$AR$44*AQ15/SUMIF($AQ$8:$AQ$39,"&gt;0"),IF(AU15&gt;0,$AV$44*AU15/SUMIF($AU$8:$AU$39,"&gt;0"),IF(AS15&gt;0,$AT$44*AS15/SUMIF($AS$8:$AS$39,"&gt;0"),""))),IF(SUMIF(AJ16:$AJ$39,"=" &amp; AJ15,AI16:$AI$39)=0,"",SUMIF(AJ16:$AJ$39,"=" &amp; AJ15,AI16:$AI$39)))</f>
        <v>0.22500000000000001</v>
      </c>
      <c r="AJ15" s="139">
        <f t="shared" si="34"/>
        <v>2</v>
      </c>
      <c r="AK15" s="539" t="str">
        <f t="shared" si="27"/>
        <v/>
      </c>
      <c r="AL15" s="543" t="str">
        <f t="shared" si="28"/>
        <v/>
      </c>
      <c r="AM15" s="543" t="str">
        <f t="shared" si="35"/>
        <v/>
      </c>
      <c r="AN15" s="543" t="str">
        <f t="shared" si="5"/>
        <v/>
      </c>
      <c r="AO15" s="543" t="str">
        <f t="shared" si="6"/>
        <v/>
      </c>
      <c r="AP15" s="539" t="str">
        <f t="shared" si="7"/>
        <v/>
      </c>
      <c r="AQ15" s="540">
        <f t="shared" si="29"/>
        <v>0</v>
      </c>
      <c r="AR15" s="141" t="str">
        <f t="shared" si="8"/>
        <v/>
      </c>
      <c r="AS15" s="142">
        <f t="shared" si="30"/>
        <v>0</v>
      </c>
      <c r="AT15" s="141" t="str">
        <f t="shared" si="9"/>
        <v/>
      </c>
      <c r="AU15" s="541">
        <f t="shared" si="10"/>
        <v>0</v>
      </c>
      <c r="AV15" s="144" t="str">
        <f t="shared" si="11"/>
        <v/>
      </c>
      <c r="AW15" s="541" t="b">
        <f t="shared" si="12"/>
        <v>0</v>
      </c>
      <c r="AX15" s="542" t="b">
        <f t="shared" si="13"/>
        <v>0</v>
      </c>
      <c r="AY15" s="541" t="b">
        <f t="shared" si="14"/>
        <v>0</v>
      </c>
      <c r="AZ15" s="542" t="b">
        <f t="shared" si="15"/>
        <v>0</v>
      </c>
      <c r="BA15" s="539" t="b">
        <f t="shared" si="16"/>
        <v>0</v>
      </c>
      <c r="BB15" s="539" t="b">
        <f t="shared" si="17"/>
        <v>0</v>
      </c>
      <c r="BC15" s="541" t="b">
        <f t="shared" si="18"/>
        <v>0</v>
      </c>
      <c r="BD15" s="543" t="b">
        <f t="shared" si="31"/>
        <v>0</v>
      </c>
      <c r="BE15" s="542" t="b">
        <f t="shared" si="19"/>
        <v>0</v>
      </c>
      <c r="BF15" s="544" t="b">
        <f t="shared" si="20"/>
        <v>0</v>
      </c>
      <c r="BG15" s="539" t="b">
        <f t="shared" si="21"/>
        <v>0</v>
      </c>
      <c r="BH15" s="539" t="str">
        <f t="shared" si="32"/>
        <v/>
      </c>
      <c r="BI15" s="539" t="str">
        <f t="shared" si="22"/>
        <v/>
      </c>
      <c r="BJ15" s="539" t="str">
        <f t="shared" si="23"/>
        <v/>
      </c>
      <c r="BK15" s="539" t="str">
        <f t="shared" si="24"/>
        <v/>
      </c>
      <c r="BL15" s="545" t="str">
        <f t="shared" si="33"/>
        <v/>
      </c>
      <c r="BM15" s="539" t="str">
        <f t="shared" si="25"/>
        <v/>
      </c>
      <c r="BN15" s="539" t="str">
        <f t="shared" si="26"/>
        <v/>
      </c>
      <c r="BO15" s="492"/>
    </row>
    <row r="16" spans="2:73" s="504" customFormat="1" ht="12.95" customHeight="1" x14ac:dyDescent="0.2">
      <c r="B16" s="548">
        <f>IF(ISNA(Z16),"",IF(OR(Z16=1,Z16=2),"    ",MAX($B$8:B15)+1))</f>
        <v>6</v>
      </c>
      <c r="C16" s="1202" t="str">
        <f t="shared" si="0"/>
        <v xml:space="preserve">      - Mission Preparation (5.6%)</v>
      </c>
      <c r="D16" s="1202"/>
      <c r="E16" s="1202"/>
      <c r="F16" s="1203"/>
      <c r="G16" s="534">
        <f t="shared" si="1"/>
        <v>1</v>
      </c>
      <c r="H16" s="535" t="str">
        <f t="shared" si="2"/>
        <v>2*</v>
      </c>
      <c r="I16" s="549">
        <f t="shared" si="2"/>
        <v>3</v>
      </c>
      <c r="J16" s="554"/>
      <c r="K16" s="551"/>
      <c r="L16" s="1211"/>
      <c r="M16" s="1212"/>
      <c r="N16" s="1212"/>
      <c r="O16" s="1212"/>
      <c r="P16" s="1212"/>
      <c r="Q16" s="1212"/>
      <c r="R16" s="1213"/>
      <c r="T16" s="500">
        <v>9</v>
      </c>
      <c r="U16" s="490" t="s">
        <v>498</v>
      </c>
      <c r="V16" s="539">
        <v>1</v>
      </c>
      <c r="W16" s="539">
        <v>5</v>
      </c>
      <c r="X16" s="539" t="s">
        <v>340</v>
      </c>
      <c r="Y16" s="539" t="s">
        <v>340</v>
      </c>
      <c r="Z16" s="543" t="s">
        <v>340</v>
      </c>
      <c r="AA16" s="543">
        <v>2</v>
      </c>
      <c r="AB16" s="543">
        <v>1</v>
      </c>
      <c r="AC16" s="539">
        <v>3</v>
      </c>
      <c r="AD16" s="539">
        <v>2</v>
      </c>
      <c r="AE16" s="539">
        <v>1</v>
      </c>
      <c r="AF16" s="539" t="b">
        <v>1</v>
      </c>
      <c r="AG16" s="539">
        <f t="shared" si="3"/>
        <v>2</v>
      </c>
      <c r="AH16" s="539">
        <f t="shared" si="4"/>
        <v>1</v>
      </c>
      <c r="AI16" s="138">
        <f>IF(NOT(OR(Z16=1,Z16=2)),IF(AQ16&gt;0,$AR$44*AQ16/SUMIF($AQ$8:$AQ$39,"&gt;0"),IF(AU16&gt;0,$AV$44*AU16/SUMIF($AU$8:$AU$39,"&gt;0"),IF(AS16&gt;0,$AT$44*AS16/SUMIF($AS$8:$AS$39,"&gt;0"),""))),IF(SUMIF(AJ17:$AJ$39,"=" &amp; AJ16,AI17:$AI$39)=0,"",SUMIF(AJ17:$AJ$39,"=" &amp; AJ16,AI17:$AI$39)))</f>
        <v>5.6250000000000001E-2</v>
      </c>
      <c r="AJ16" s="139">
        <f t="shared" si="34"/>
        <v>2</v>
      </c>
      <c r="AK16" s="539">
        <f t="shared" si="27"/>
        <v>2</v>
      </c>
      <c r="AL16" s="543" t="str">
        <f t="shared" si="28"/>
        <v/>
      </c>
      <c r="AM16" s="543" t="str">
        <f t="shared" si="35"/>
        <v/>
      </c>
      <c r="AN16" s="543" t="str">
        <f t="shared" si="5"/>
        <v/>
      </c>
      <c r="AO16" s="543" t="str">
        <f t="shared" si="6"/>
        <v/>
      </c>
      <c r="AP16" s="539" t="b">
        <f t="shared" si="7"/>
        <v>1</v>
      </c>
      <c r="AQ16" s="540">
        <f t="shared" si="29"/>
        <v>5</v>
      </c>
      <c r="AR16" s="141" t="str">
        <f t="shared" si="8"/>
        <v/>
      </c>
      <c r="AS16" s="142">
        <f t="shared" si="30"/>
        <v>0</v>
      </c>
      <c r="AT16" s="141" t="str">
        <f t="shared" si="9"/>
        <v/>
      </c>
      <c r="AU16" s="541">
        <f t="shared" si="10"/>
        <v>0</v>
      </c>
      <c r="AV16" s="144" t="str">
        <f t="shared" si="11"/>
        <v/>
      </c>
      <c r="AW16" s="541" t="b">
        <f t="shared" si="12"/>
        <v>0</v>
      </c>
      <c r="AX16" s="542" t="b">
        <f t="shared" si="13"/>
        <v>1</v>
      </c>
      <c r="AY16" s="541" t="b">
        <f t="shared" si="14"/>
        <v>0</v>
      </c>
      <c r="AZ16" s="542" t="b">
        <f t="shared" si="15"/>
        <v>0</v>
      </c>
      <c r="BA16" s="539" t="b">
        <f t="shared" si="16"/>
        <v>0</v>
      </c>
      <c r="BB16" s="539" t="b">
        <f t="shared" si="17"/>
        <v>0</v>
      </c>
      <c r="BC16" s="541" t="b">
        <f t="shared" si="18"/>
        <v>0</v>
      </c>
      <c r="BD16" s="543" t="b">
        <f t="shared" si="31"/>
        <v>0</v>
      </c>
      <c r="BE16" s="542" t="b">
        <f t="shared" si="19"/>
        <v>0</v>
      </c>
      <c r="BF16" s="544" t="b">
        <f t="shared" si="20"/>
        <v>0</v>
      </c>
      <c r="BG16" s="539" t="b">
        <f t="shared" si="21"/>
        <v>1</v>
      </c>
      <c r="BH16" s="539">
        <f t="shared" si="32"/>
        <v>1</v>
      </c>
      <c r="BI16" s="539">
        <f t="shared" si="22"/>
        <v>2</v>
      </c>
      <c r="BJ16" s="539" t="str">
        <f t="shared" si="23"/>
        <v>2*</v>
      </c>
      <c r="BK16" s="539">
        <f t="shared" si="24"/>
        <v>3</v>
      </c>
      <c r="BL16" s="545">
        <f t="shared" si="33"/>
        <v>1</v>
      </c>
      <c r="BM16" s="539">
        <f t="shared" si="25"/>
        <v>2</v>
      </c>
      <c r="BN16" s="539">
        <f t="shared" si="26"/>
        <v>3</v>
      </c>
      <c r="BO16" s="552"/>
      <c r="BP16" s="557"/>
    </row>
    <row r="17" spans="2:73" s="504" customFormat="1" ht="12.95" customHeight="1" x14ac:dyDescent="0.2">
      <c r="B17" s="548">
        <f>IF(ISNA(Z17),"",IF(OR(Z17=1,Z17=2),"    ",MAX($B$8:B16)+1))</f>
        <v>7</v>
      </c>
      <c r="C17" s="1202" t="str">
        <f t="shared" si="0"/>
        <v xml:space="preserve">      - Test SA / Adaptation (5.6%)</v>
      </c>
      <c r="D17" s="1202"/>
      <c r="E17" s="1202"/>
      <c r="F17" s="1203"/>
      <c r="G17" s="534">
        <f t="shared" si="1"/>
        <v>1</v>
      </c>
      <c r="H17" s="535" t="str">
        <f t="shared" si="2"/>
        <v>2*</v>
      </c>
      <c r="I17" s="549">
        <f t="shared" si="2"/>
        <v>3</v>
      </c>
      <c r="J17" s="554"/>
      <c r="K17" s="551"/>
      <c r="L17" s="1211"/>
      <c r="M17" s="1212"/>
      <c r="N17" s="1212"/>
      <c r="O17" s="1212"/>
      <c r="P17" s="1212"/>
      <c r="Q17" s="1212"/>
      <c r="R17" s="1213"/>
      <c r="T17" s="500">
        <v>10</v>
      </c>
      <c r="U17" s="490" t="s">
        <v>763</v>
      </c>
      <c r="V17" s="539">
        <v>1</v>
      </c>
      <c r="W17" s="539">
        <v>5</v>
      </c>
      <c r="X17" s="539" t="s">
        <v>340</v>
      </c>
      <c r="Y17" s="539" t="s">
        <v>340</v>
      </c>
      <c r="Z17" s="543" t="s">
        <v>340</v>
      </c>
      <c r="AA17" s="543">
        <v>2</v>
      </c>
      <c r="AB17" s="543">
        <v>1</v>
      </c>
      <c r="AC17" s="539">
        <v>3</v>
      </c>
      <c r="AD17" s="539">
        <v>2</v>
      </c>
      <c r="AE17" s="539">
        <v>1</v>
      </c>
      <c r="AF17" s="539" t="b">
        <v>1</v>
      </c>
      <c r="AG17" s="539">
        <f t="shared" si="3"/>
        <v>2</v>
      </c>
      <c r="AH17" s="539">
        <f t="shared" si="4"/>
        <v>1</v>
      </c>
      <c r="AI17" s="138">
        <f>IF(NOT(OR(Z17=1,Z17=2)),IF(AQ17&gt;0,$AR$44*AQ17/SUMIF($AQ$8:$AQ$39,"&gt;0"),IF(AU17&gt;0,$AV$44*AU17/SUMIF($AU$8:$AU$39,"&gt;0"),IF(AS17&gt;0,$AT$44*AS17/SUMIF($AS$8:$AS$39,"&gt;0"),""))),IF(SUMIF(AJ18:$AJ$39,"=" &amp; AJ17,AI18:$AI$39)=0,"",SUMIF(AJ18:$AJ$39,"=" &amp; AJ17,AI18:$AI$39)))</f>
        <v>5.6250000000000001E-2</v>
      </c>
      <c r="AJ17" s="139">
        <f t="shared" si="34"/>
        <v>2</v>
      </c>
      <c r="AK17" s="539">
        <f t="shared" si="27"/>
        <v>2</v>
      </c>
      <c r="AL17" s="543" t="str">
        <f t="shared" si="28"/>
        <v/>
      </c>
      <c r="AM17" s="543" t="str">
        <f t="shared" si="35"/>
        <v/>
      </c>
      <c r="AN17" s="543" t="str">
        <f t="shared" si="5"/>
        <v/>
      </c>
      <c r="AO17" s="543" t="str">
        <f t="shared" si="6"/>
        <v/>
      </c>
      <c r="AP17" s="539" t="b">
        <f t="shared" si="7"/>
        <v>1</v>
      </c>
      <c r="AQ17" s="540">
        <f t="shared" si="29"/>
        <v>5</v>
      </c>
      <c r="AR17" s="141" t="str">
        <f t="shared" si="8"/>
        <v/>
      </c>
      <c r="AS17" s="142">
        <f t="shared" si="30"/>
        <v>0</v>
      </c>
      <c r="AT17" s="141" t="str">
        <f t="shared" si="9"/>
        <v/>
      </c>
      <c r="AU17" s="541">
        <f t="shared" si="10"/>
        <v>0</v>
      </c>
      <c r="AV17" s="144" t="str">
        <f t="shared" si="11"/>
        <v/>
      </c>
      <c r="AW17" s="541" t="b">
        <f t="shared" si="12"/>
        <v>0</v>
      </c>
      <c r="AX17" s="542" t="b">
        <f t="shared" si="13"/>
        <v>1</v>
      </c>
      <c r="AY17" s="541" t="b">
        <f t="shared" si="14"/>
        <v>0</v>
      </c>
      <c r="AZ17" s="542" t="b">
        <f t="shared" si="15"/>
        <v>0</v>
      </c>
      <c r="BA17" s="539" t="b">
        <f t="shared" si="16"/>
        <v>0</v>
      </c>
      <c r="BB17" s="539" t="b">
        <f t="shared" si="17"/>
        <v>0</v>
      </c>
      <c r="BC17" s="541" t="b">
        <f t="shared" si="18"/>
        <v>0</v>
      </c>
      <c r="BD17" s="543" t="b">
        <f t="shared" si="31"/>
        <v>0</v>
      </c>
      <c r="BE17" s="542" t="b">
        <f t="shared" si="19"/>
        <v>0</v>
      </c>
      <c r="BF17" s="544" t="b">
        <f t="shared" si="20"/>
        <v>0</v>
      </c>
      <c r="BG17" s="539" t="b">
        <f t="shared" si="21"/>
        <v>1</v>
      </c>
      <c r="BH17" s="539">
        <f t="shared" si="32"/>
        <v>1</v>
      </c>
      <c r="BI17" s="539">
        <f t="shared" si="22"/>
        <v>2</v>
      </c>
      <c r="BJ17" s="539" t="str">
        <f t="shared" si="23"/>
        <v>2*</v>
      </c>
      <c r="BK17" s="539">
        <f t="shared" si="24"/>
        <v>3</v>
      </c>
      <c r="BL17" s="545">
        <f t="shared" si="33"/>
        <v>1</v>
      </c>
      <c r="BM17" s="539">
        <f t="shared" si="25"/>
        <v>2</v>
      </c>
      <c r="BN17" s="539">
        <f t="shared" si="26"/>
        <v>3</v>
      </c>
      <c r="BO17" s="492"/>
    </row>
    <row r="18" spans="2:73" s="504" customFormat="1" ht="12.95" customHeight="1" x14ac:dyDescent="0.2">
      <c r="B18" s="548">
        <f>IF(ISNA(Z18),"",IF(OR(Z18=1,Z18=2),"    ",MAX($B$8:B17)+1))</f>
        <v>8</v>
      </c>
      <c r="C18" s="1202" t="str">
        <f t="shared" si="0"/>
        <v xml:space="preserve">      - Communication (5.6%)</v>
      </c>
      <c r="D18" s="1202"/>
      <c r="E18" s="1202"/>
      <c r="F18" s="1203"/>
      <c r="G18" s="534">
        <f t="shared" si="1"/>
        <v>1</v>
      </c>
      <c r="H18" s="535" t="str">
        <f t="shared" si="2"/>
        <v>2*</v>
      </c>
      <c r="I18" s="549">
        <f t="shared" si="2"/>
        <v>3</v>
      </c>
      <c r="J18" s="554"/>
      <c r="K18" s="551"/>
      <c r="L18" s="1211"/>
      <c r="M18" s="1212"/>
      <c r="N18" s="1212"/>
      <c r="O18" s="1212"/>
      <c r="P18" s="1212"/>
      <c r="Q18" s="1212"/>
      <c r="R18" s="1213"/>
      <c r="T18" s="500">
        <v>11</v>
      </c>
      <c r="U18" s="490" t="s">
        <v>500</v>
      </c>
      <c r="V18" s="539">
        <v>1</v>
      </c>
      <c r="W18" s="539">
        <v>5</v>
      </c>
      <c r="X18" s="539" t="s">
        <v>340</v>
      </c>
      <c r="Y18" s="539" t="s">
        <v>340</v>
      </c>
      <c r="Z18" s="543" t="s">
        <v>340</v>
      </c>
      <c r="AA18" s="543">
        <v>2</v>
      </c>
      <c r="AB18" s="543">
        <v>1</v>
      </c>
      <c r="AC18" s="539">
        <v>3</v>
      </c>
      <c r="AD18" s="539">
        <v>2</v>
      </c>
      <c r="AE18" s="539">
        <v>1</v>
      </c>
      <c r="AF18" s="539" t="b">
        <v>1</v>
      </c>
      <c r="AG18" s="539">
        <f t="shared" si="3"/>
        <v>2</v>
      </c>
      <c r="AH18" s="539">
        <f t="shared" si="4"/>
        <v>1</v>
      </c>
      <c r="AI18" s="138">
        <f>IF(NOT(OR(Z18=1,Z18=2)),IF(AQ18&gt;0,$AR$44*AQ18/SUMIF($AQ$8:$AQ$39,"&gt;0"),IF(AU18&gt;0,$AV$44*AU18/SUMIF($AU$8:$AU$39,"&gt;0"),IF(AS18&gt;0,$AT$44*AS18/SUMIF($AS$8:$AS$39,"&gt;0"),""))),IF(SUMIF(AJ19:$AJ$39,"=" &amp; AJ18,AI19:$AI$39)=0,"",SUMIF(AJ19:$AJ$39,"=" &amp; AJ18,AI19:$AI$39)))</f>
        <v>5.6250000000000001E-2</v>
      </c>
      <c r="AJ18" s="139">
        <f t="shared" si="34"/>
        <v>2</v>
      </c>
      <c r="AK18" s="539">
        <f t="shared" si="27"/>
        <v>2</v>
      </c>
      <c r="AL18" s="543" t="str">
        <f t="shared" si="28"/>
        <v/>
      </c>
      <c r="AM18" s="543" t="str">
        <f t="shared" si="35"/>
        <v/>
      </c>
      <c r="AN18" s="543" t="str">
        <f t="shared" si="5"/>
        <v/>
      </c>
      <c r="AO18" s="543" t="str">
        <f t="shared" si="6"/>
        <v/>
      </c>
      <c r="AP18" s="539" t="b">
        <f t="shared" si="7"/>
        <v>1</v>
      </c>
      <c r="AQ18" s="540">
        <f t="shared" si="29"/>
        <v>5</v>
      </c>
      <c r="AR18" s="141" t="str">
        <f t="shared" si="8"/>
        <v/>
      </c>
      <c r="AS18" s="142">
        <f t="shared" si="30"/>
        <v>0</v>
      </c>
      <c r="AT18" s="141" t="str">
        <f t="shared" si="9"/>
        <v/>
      </c>
      <c r="AU18" s="541">
        <f t="shared" si="10"/>
        <v>0</v>
      </c>
      <c r="AV18" s="144" t="str">
        <f t="shared" si="11"/>
        <v/>
      </c>
      <c r="AW18" s="541" t="b">
        <f t="shared" si="12"/>
        <v>0</v>
      </c>
      <c r="AX18" s="542" t="b">
        <f t="shared" si="13"/>
        <v>1</v>
      </c>
      <c r="AY18" s="541" t="b">
        <f t="shared" si="14"/>
        <v>0</v>
      </c>
      <c r="AZ18" s="542" t="b">
        <f t="shared" si="15"/>
        <v>0</v>
      </c>
      <c r="BA18" s="539" t="b">
        <f t="shared" si="16"/>
        <v>0</v>
      </c>
      <c r="BB18" s="539" t="b">
        <f t="shared" si="17"/>
        <v>0</v>
      </c>
      <c r="BC18" s="541" t="b">
        <f t="shared" si="18"/>
        <v>0</v>
      </c>
      <c r="BD18" s="543" t="b">
        <f t="shared" si="31"/>
        <v>0</v>
      </c>
      <c r="BE18" s="542" t="b">
        <f t="shared" si="19"/>
        <v>0</v>
      </c>
      <c r="BF18" s="544" t="b">
        <f t="shared" si="20"/>
        <v>0</v>
      </c>
      <c r="BG18" s="539" t="b">
        <f t="shared" si="21"/>
        <v>1</v>
      </c>
      <c r="BH18" s="539">
        <f t="shared" si="32"/>
        <v>1</v>
      </c>
      <c r="BI18" s="539">
        <f t="shared" si="22"/>
        <v>2</v>
      </c>
      <c r="BJ18" s="539" t="str">
        <f t="shared" si="23"/>
        <v>2*</v>
      </c>
      <c r="BK18" s="539">
        <f t="shared" si="24"/>
        <v>3</v>
      </c>
      <c r="BL18" s="545">
        <f t="shared" si="33"/>
        <v>1</v>
      </c>
      <c r="BM18" s="539">
        <f t="shared" si="25"/>
        <v>2</v>
      </c>
      <c r="BN18" s="539">
        <f t="shared" si="26"/>
        <v>3</v>
      </c>
      <c r="BO18" s="558"/>
      <c r="BP18" s="557" t="s">
        <v>355</v>
      </c>
      <c r="BQ18" s="559"/>
      <c r="BR18" s="559"/>
      <c r="BS18" s="559"/>
      <c r="BT18" s="559"/>
      <c r="BU18" s="559"/>
    </row>
    <row r="19" spans="2:73" s="504" customFormat="1" ht="12.95" customHeight="1" x14ac:dyDescent="0.2">
      <c r="B19" s="548">
        <f>IF(ISNA(Z19),"",IF(OR(Z19=1,Z19=2),"    ",MAX($B$8:B18)+1))</f>
        <v>9</v>
      </c>
      <c r="C19" s="1202" t="str">
        <f t="shared" si="0"/>
        <v xml:space="preserve">      - Teamwork (5.6%)</v>
      </c>
      <c r="D19" s="1202"/>
      <c r="E19" s="1202"/>
      <c r="F19" s="1203"/>
      <c r="G19" s="534">
        <f t="shared" si="1"/>
        <v>1</v>
      </c>
      <c r="H19" s="535" t="str">
        <f t="shared" si="2"/>
        <v>2*</v>
      </c>
      <c r="I19" s="549">
        <f t="shared" si="2"/>
        <v>3</v>
      </c>
      <c r="J19" s="554"/>
      <c r="K19" s="551"/>
      <c r="L19" s="1211"/>
      <c r="M19" s="1212"/>
      <c r="N19" s="1212"/>
      <c r="O19" s="1212"/>
      <c r="P19" s="1212"/>
      <c r="Q19" s="1212"/>
      <c r="R19" s="1213"/>
      <c r="T19" s="500">
        <v>12</v>
      </c>
      <c r="U19" s="490" t="s">
        <v>501</v>
      </c>
      <c r="V19" s="539">
        <v>1</v>
      </c>
      <c r="W19" s="539">
        <v>5</v>
      </c>
      <c r="X19" s="539" t="s">
        <v>340</v>
      </c>
      <c r="Y19" s="539" t="s">
        <v>340</v>
      </c>
      <c r="Z19" s="543" t="s">
        <v>340</v>
      </c>
      <c r="AA19" s="543">
        <v>2</v>
      </c>
      <c r="AB19" s="543">
        <v>1</v>
      </c>
      <c r="AC19" s="539">
        <v>3</v>
      </c>
      <c r="AD19" s="539">
        <v>2</v>
      </c>
      <c r="AE19" s="539">
        <v>1</v>
      </c>
      <c r="AF19" s="539" t="b">
        <v>1</v>
      </c>
      <c r="AG19" s="539">
        <f t="shared" si="3"/>
        <v>2</v>
      </c>
      <c r="AH19" s="539">
        <f t="shared" si="4"/>
        <v>1</v>
      </c>
      <c r="AI19" s="138">
        <f>IF(NOT(OR(Z19=1,Z19=2)),IF(AQ19&gt;0,$AR$44*AQ19/SUMIF($AQ$8:$AQ$39,"&gt;0"),IF(AU19&gt;0,$AV$44*AU19/SUMIF($AU$8:$AU$39,"&gt;0"),IF(AS19&gt;0,$AT$44*AS19/SUMIF($AS$8:$AS$39,"&gt;0"),""))),IF(SUMIF(AJ20:$AJ$39,"=" &amp; AJ19,AI20:$AI$39)=0,"",SUMIF(AJ20:$AJ$39,"=" &amp; AJ19,AI20:$AI$39)))</f>
        <v>5.6250000000000001E-2</v>
      </c>
      <c r="AJ19" s="139">
        <f t="shared" si="34"/>
        <v>2</v>
      </c>
      <c r="AK19" s="539">
        <f t="shared" si="27"/>
        <v>2</v>
      </c>
      <c r="AL19" s="543" t="str">
        <f t="shared" si="28"/>
        <v/>
      </c>
      <c r="AM19" s="543" t="str">
        <f t="shared" si="35"/>
        <v/>
      </c>
      <c r="AN19" s="543" t="str">
        <f t="shared" si="5"/>
        <v/>
      </c>
      <c r="AO19" s="543" t="str">
        <f t="shared" si="6"/>
        <v/>
      </c>
      <c r="AP19" s="539" t="b">
        <f t="shared" si="7"/>
        <v>1</v>
      </c>
      <c r="AQ19" s="540">
        <f t="shared" si="29"/>
        <v>5</v>
      </c>
      <c r="AR19" s="141" t="str">
        <f t="shared" si="8"/>
        <v/>
      </c>
      <c r="AS19" s="142">
        <f t="shared" si="30"/>
        <v>0</v>
      </c>
      <c r="AT19" s="141" t="str">
        <f t="shared" si="9"/>
        <v/>
      </c>
      <c r="AU19" s="541">
        <f t="shared" si="10"/>
        <v>0</v>
      </c>
      <c r="AV19" s="144" t="str">
        <f t="shared" si="11"/>
        <v/>
      </c>
      <c r="AW19" s="541" t="b">
        <f t="shared" si="12"/>
        <v>0</v>
      </c>
      <c r="AX19" s="542" t="b">
        <f t="shared" si="13"/>
        <v>1</v>
      </c>
      <c r="AY19" s="541" t="b">
        <f t="shared" si="14"/>
        <v>0</v>
      </c>
      <c r="AZ19" s="542" t="b">
        <f t="shared" si="15"/>
        <v>0</v>
      </c>
      <c r="BA19" s="539" t="b">
        <f t="shared" si="16"/>
        <v>0</v>
      </c>
      <c r="BB19" s="539" t="b">
        <f t="shared" si="17"/>
        <v>0</v>
      </c>
      <c r="BC19" s="541" t="b">
        <f t="shared" si="18"/>
        <v>0</v>
      </c>
      <c r="BD19" s="543" t="b">
        <f t="shared" si="31"/>
        <v>0</v>
      </c>
      <c r="BE19" s="542" t="b">
        <f t="shared" si="19"/>
        <v>0</v>
      </c>
      <c r="BF19" s="544" t="b">
        <f t="shared" si="20"/>
        <v>0</v>
      </c>
      <c r="BG19" s="539" t="b">
        <f t="shared" si="21"/>
        <v>1</v>
      </c>
      <c r="BH19" s="539">
        <f t="shared" si="32"/>
        <v>1</v>
      </c>
      <c r="BI19" s="539">
        <f t="shared" si="22"/>
        <v>2</v>
      </c>
      <c r="BJ19" s="539" t="str">
        <f t="shared" si="23"/>
        <v>2*</v>
      </c>
      <c r="BK19" s="539">
        <f t="shared" si="24"/>
        <v>3</v>
      </c>
      <c r="BL19" s="545">
        <f t="shared" si="33"/>
        <v>1</v>
      </c>
      <c r="BM19" s="539">
        <f t="shared" si="25"/>
        <v>2</v>
      </c>
      <c r="BN19" s="539">
        <f t="shared" si="26"/>
        <v>3</v>
      </c>
      <c r="BO19" s="558"/>
      <c r="BP19" s="547"/>
      <c r="BQ19" s="1204" t="s">
        <v>356</v>
      </c>
      <c r="BR19" s="1204"/>
      <c r="BS19" s="1204"/>
      <c r="BT19" s="1204"/>
      <c r="BU19" s="1204"/>
    </row>
    <row r="20" spans="2:73" s="504" customFormat="1" ht="12.95" customHeight="1" x14ac:dyDescent="0.2">
      <c r="B20" s="548" t="str">
        <f>IF(ISNA(Z20),"",IF(OR(Z20=1,Z20=2),"    ",MAX($B$8:B19)+1))</f>
        <v xml:space="preserve">    </v>
      </c>
      <c r="C20" s="1202" t="str">
        <f t="shared" si="0"/>
        <v>Test Points/Procedures (48.4%)</v>
      </c>
      <c r="D20" s="1202"/>
      <c r="E20" s="1202"/>
      <c r="F20" s="1203"/>
      <c r="G20" s="534" t="str">
        <f t="shared" si="1"/>
        <v/>
      </c>
      <c r="H20" s="535" t="str">
        <f t="shared" si="2"/>
        <v/>
      </c>
      <c r="I20" s="549" t="str">
        <f t="shared" si="2"/>
        <v/>
      </c>
      <c r="J20" s="555"/>
      <c r="K20" s="556"/>
      <c r="L20" s="1211"/>
      <c r="M20" s="1212"/>
      <c r="N20" s="1212"/>
      <c r="O20" s="1212"/>
      <c r="P20" s="1212"/>
      <c r="Q20" s="1212"/>
      <c r="R20" s="1213"/>
      <c r="T20" s="500">
        <v>13</v>
      </c>
      <c r="U20" s="490" t="s">
        <v>590</v>
      </c>
      <c r="V20" s="539" t="s">
        <v>340</v>
      </c>
      <c r="W20" s="539" t="s">
        <v>340</v>
      </c>
      <c r="X20" s="539" t="s">
        <v>340</v>
      </c>
      <c r="Y20" s="539" t="s">
        <v>340</v>
      </c>
      <c r="Z20" s="543">
        <v>2</v>
      </c>
      <c r="AA20" s="543">
        <v>1</v>
      </c>
      <c r="AB20" s="543">
        <v>1</v>
      </c>
      <c r="AC20" s="539" t="s">
        <v>340</v>
      </c>
      <c r="AD20" s="539" t="s">
        <v>340</v>
      </c>
      <c r="AE20" s="539" t="s">
        <v>340</v>
      </c>
      <c r="AF20" s="539" t="s">
        <v>340</v>
      </c>
      <c r="AG20" s="539" t="str">
        <f t="shared" si="3"/>
        <v/>
      </c>
      <c r="AH20" s="539" t="str">
        <f t="shared" si="4"/>
        <v/>
      </c>
      <c r="AI20" s="138">
        <f>IF(NOT(OR(Z20=1,Z20=2)),IF(AQ20&gt;0,$AR$44*AQ20/SUMIF($AQ$8:$AQ$39,"&gt;0"),IF(AU20&gt;0,$AV$44*AU20/SUMIF($AU$8:$AU$39,"&gt;0"),IF(AS20&gt;0,$AT$44*AS20/SUMIF($AS$8:$AS$39,"&gt;0"),""))),IF(SUMIF(AJ21:$AJ$39,"=" &amp; AJ20,AI21:$AI$39)=0,"",SUMIF(AJ21:$AJ$39,"=" &amp; AJ20,AI21:$AI$39)))</f>
        <v>0.48374999999999996</v>
      </c>
      <c r="AJ20" s="139">
        <f t="shared" si="34"/>
        <v>3</v>
      </c>
      <c r="AK20" s="539" t="str">
        <f t="shared" si="27"/>
        <v/>
      </c>
      <c r="AL20" s="543" t="str">
        <f t="shared" si="28"/>
        <v/>
      </c>
      <c r="AM20" s="543" t="str">
        <f t="shared" si="35"/>
        <v/>
      </c>
      <c r="AN20" s="543" t="str">
        <f t="shared" si="5"/>
        <v/>
      </c>
      <c r="AO20" s="543" t="str">
        <f t="shared" si="6"/>
        <v/>
      </c>
      <c r="AP20" s="539" t="str">
        <f t="shared" si="7"/>
        <v/>
      </c>
      <c r="AQ20" s="540">
        <f t="shared" si="29"/>
        <v>0</v>
      </c>
      <c r="AR20" s="141" t="str">
        <f t="shared" si="8"/>
        <v/>
      </c>
      <c r="AS20" s="142">
        <f t="shared" si="30"/>
        <v>0</v>
      </c>
      <c r="AT20" s="141" t="str">
        <f t="shared" si="9"/>
        <v/>
      </c>
      <c r="AU20" s="541">
        <f t="shared" si="10"/>
        <v>0</v>
      </c>
      <c r="AV20" s="144" t="str">
        <f t="shared" si="11"/>
        <v/>
      </c>
      <c r="AW20" s="541" t="b">
        <f t="shared" si="12"/>
        <v>0</v>
      </c>
      <c r="AX20" s="542" t="b">
        <f t="shared" si="13"/>
        <v>0</v>
      </c>
      <c r="AY20" s="541" t="b">
        <f t="shared" si="14"/>
        <v>0</v>
      </c>
      <c r="AZ20" s="542" t="b">
        <f t="shared" si="15"/>
        <v>0</v>
      </c>
      <c r="BA20" s="539" t="b">
        <f t="shared" si="16"/>
        <v>0</v>
      </c>
      <c r="BB20" s="539" t="b">
        <f t="shared" si="17"/>
        <v>0</v>
      </c>
      <c r="BC20" s="541" t="b">
        <f t="shared" si="18"/>
        <v>0</v>
      </c>
      <c r="BD20" s="543" t="b">
        <f t="shared" si="31"/>
        <v>0</v>
      </c>
      <c r="BE20" s="542" t="b">
        <f t="shared" si="19"/>
        <v>0</v>
      </c>
      <c r="BF20" s="544" t="b">
        <f t="shared" si="20"/>
        <v>0</v>
      </c>
      <c r="BG20" s="539" t="b">
        <f t="shared" si="21"/>
        <v>0</v>
      </c>
      <c r="BH20" s="539" t="str">
        <f t="shared" si="32"/>
        <v/>
      </c>
      <c r="BI20" s="539" t="str">
        <f t="shared" si="22"/>
        <v/>
      </c>
      <c r="BJ20" s="539" t="str">
        <f t="shared" si="23"/>
        <v/>
      </c>
      <c r="BK20" s="539" t="str">
        <f t="shared" si="24"/>
        <v/>
      </c>
      <c r="BL20" s="545" t="str">
        <f t="shared" si="33"/>
        <v/>
      </c>
      <c r="BM20" s="539" t="str">
        <f t="shared" si="25"/>
        <v/>
      </c>
      <c r="BN20" s="539" t="str">
        <f t="shared" si="26"/>
        <v/>
      </c>
      <c r="BO20" s="558"/>
      <c r="BP20" s="558"/>
      <c r="BQ20" s="558">
        <v>0</v>
      </c>
      <c r="BR20" s="558">
        <v>1</v>
      </c>
      <c r="BS20" s="558">
        <v>2</v>
      </c>
      <c r="BT20" s="558">
        <v>3</v>
      </c>
      <c r="BU20" s="558">
        <v>4</v>
      </c>
    </row>
    <row r="21" spans="2:73" s="504" customFormat="1" ht="12.95" customHeight="1" x14ac:dyDescent="0.2">
      <c r="B21" s="548">
        <f>IF(ISNA(Z21),"",IF(OR(Z21=1,Z21=2),"    ",MAX($B$8:B20)+1))</f>
        <v>10</v>
      </c>
      <c r="C21" s="1202" t="str">
        <f t="shared" si="0"/>
        <v xml:space="preserve">      - Ground Block (1.1%)</v>
      </c>
      <c r="D21" s="1202"/>
      <c r="E21" s="1202"/>
      <c r="F21" s="1203"/>
      <c r="G21" s="534">
        <f t="shared" si="1"/>
        <v>1</v>
      </c>
      <c r="H21" s="535" t="str">
        <f t="shared" si="2"/>
        <v>2*</v>
      </c>
      <c r="I21" s="549">
        <f t="shared" si="2"/>
        <v>3</v>
      </c>
      <c r="J21" s="554"/>
      <c r="K21" s="551"/>
      <c r="L21" s="1211"/>
      <c r="M21" s="1212"/>
      <c r="N21" s="1212"/>
      <c r="O21" s="1212"/>
      <c r="P21" s="1212"/>
      <c r="Q21" s="1212"/>
      <c r="R21" s="1213"/>
      <c r="T21" s="500">
        <v>14</v>
      </c>
      <c r="U21" s="490" t="s">
        <v>463</v>
      </c>
      <c r="V21" s="539">
        <v>1</v>
      </c>
      <c r="W21" s="539">
        <v>1</v>
      </c>
      <c r="X21" s="539" t="s">
        <v>340</v>
      </c>
      <c r="Y21" s="539" t="s">
        <v>340</v>
      </c>
      <c r="Z21" s="543" t="s">
        <v>340</v>
      </c>
      <c r="AA21" s="543">
        <v>2</v>
      </c>
      <c r="AB21" s="543">
        <v>1</v>
      </c>
      <c r="AC21" s="539">
        <v>3</v>
      </c>
      <c r="AD21" s="539">
        <v>2</v>
      </c>
      <c r="AE21" s="539">
        <v>1</v>
      </c>
      <c r="AF21" s="539" t="b">
        <v>1</v>
      </c>
      <c r="AG21" s="539">
        <f t="shared" si="3"/>
        <v>2</v>
      </c>
      <c r="AH21" s="539">
        <f t="shared" si="4"/>
        <v>1</v>
      </c>
      <c r="AI21" s="138">
        <f>IF(NOT(OR(Z21=1,Z21=2)),IF(AQ21&gt;0,$AR$44*AQ21/SUMIF($AQ$8:$AQ$39,"&gt;0"),IF(AU21&gt;0,$AV$44*AU21/SUMIF($AU$8:$AU$39,"&gt;0"),IF(AS21&gt;0,$AT$44*AS21/SUMIF($AS$8:$AS$39,"&gt;0"),""))),IF(SUMIF(AJ22:$AJ$39,"=" &amp; AJ21,AI22:$AI$39)=0,"",SUMIF(AJ22:$AJ$39,"=" &amp; AJ21,AI22:$AI$39)))</f>
        <v>1.125E-2</v>
      </c>
      <c r="AJ21" s="139">
        <f t="shared" si="34"/>
        <v>3</v>
      </c>
      <c r="AK21" s="539">
        <f t="shared" si="27"/>
        <v>2</v>
      </c>
      <c r="AL21" s="543" t="str">
        <f t="shared" si="28"/>
        <v/>
      </c>
      <c r="AM21" s="543" t="str">
        <f t="shared" si="35"/>
        <v/>
      </c>
      <c r="AN21" s="543" t="str">
        <f t="shared" si="5"/>
        <v/>
      </c>
      <c r="AO21" s="543" t="str">
        <f t="shared" si="6"/>
        <v/>
      </c>
      <c r="AP21" s="539" t="b">
        <f t="shared" si="7"/>
        <v>1</v>
      </c>
      <c r="AQ21" s="540">
        <f t="shared" si="29"/>
        <v>1</v>
      </c>
      <c r="AR21" s="141" t="str">
        <f t="shared" si="8"/>
        <v/>
      </c>
      <c r="AS21" s="142">
        <f t="shared" si="30"/>
        <v>0</v>
      </c>
      <c r="AT21" s="141" t="str">
        <f t="shared" si="9"/>
        <v/>
      </c>
      <c r="AU21" s="541">
        <f t="shared" si="10"/>
        <v>0</v>
      </c>
      <c r="AV21" s="144" t="str">
        <f t="shared" si="11"/>
        <v/>
      </c>
      <c r="AW21" s="541" t="b">
        <f t="shared" si="12"/>
        <v>0</v>
      </c>
      <c r="AX21" s="542" t="b">
        <f t="shared" si="13"/>
        <v>1</v>
      </c>
      <c r="AY21" s="541" t="b">
        <f t="shared" si="14"/>
        <v>0</v>
      </c>
      <c r="AZ21" s="542" t="b">
        <f t="shared" si="15"/>
        <v>0</v>
      </c>
      <c r="BA21" s="539" t="b">
        <f t="shared" si="16"/>
        <v>0</v>
      </c>
      <c r="BB21" s="539" t="b">
        <f t="shared" si="17"/>
        <v>0</v>
      </c>
      <c r="BC21" s="541" t="b">
        <f t="shared" si="18"/>
        <v>0</v>
      </c>
      <c r="BD21" s="543" t="b">
        <f t="shared" si="31"/>
        <v>0</v>
      </c>
      <c r="BE21" s="542" t="b">
        <f t="shared" si="19"/>
        <v>0</v>
      </c>
      <c r="BF21" s="544" t="b">
        <f t="shared" si="20"/>
        <v>0</v>
      </c>
      <c r="BG21" s="539" t="b">
        <f t="shared" si="21"/>
        <v>1</v>
      </c>
      <c r="BH21" s="539">
        <f t="shared" si="32"/>
        <v>1</v>
      </c>
      <c r="BI21" s="539">
        <f t="shared" si="22"/>
        <v>2</v>
      </c>
      <c r="BJ21" s="539" t="str">
        <f t="shared" si="23"/>
        <v>2*</v>
      </c>
      <c r="BK21" s="539">
        <f t="shared" si="24"/>
        <v>3</v>
      </c>
      <c r="BL21" s="545">
        <f t="shared" si="33"/>
        <v>1</v>
      </c>
      <c r="BM21" s="539">
        <f t="shared" si="25"/>
        <v>2</v>
      </c>
      <c r="BN21" s="539">
        <f t="shared" si="26"/>
        <v>3</v>
      </c>
      <c r="BO21" s="1205" t="s">
        <v>358</v>
      </c>
      <c r="BP21" s="558" t="s">
        <v>359</v>
      </c>
      <c r="BQ21" s="162">
        <f t="shared" ref="BQ21:BU29" si="36">AR50</f>
        <v>0.7</v>
      </c>
      <c r="BR21" s="163">
        <f t="shared" si="36"/>
        <v>0.9</v>
      </c>
      <c r="BS21" s="163">
        <f t="shared" si="36"/>
        <v>0.93330000000000002</v>
      </c>
      <c r="BT21" s="163">
        <f t="shared" si="36"/>
        <v>0.9667</v>
      </c>
      <c r="BU21" s="164">
        <f t="shared" si="36"/>
        <v>1</v>
      </c>
    </row>
    <row r="22" spans="2:73" s="504" customFormat="1" ht="12.95" customHeight="1" x14ac:dyDescent="0.2">
      <c r="B22" s="548">
        <f>IF(ISNA(Z22),"",IF(OR(Z22=1,Z22=2),"    ",MAX($B$8:B21)+1))</f>
        <v>11</v>
      </c>
      <c r="C22" s="1202" t="str">
        <f t="shared" si="0"/>
        <v xml:space="preserve">      - Takeoff / Climb (4.5%)</v>
      </c>
      <c r="D22" s="1202"/>
      <c r="E22" s="1202"/>
      <c r="F22" s="1203"/>
      <c r="G22" s="534">
        <f t="shared" si="1"/>
        <v>1</v>
      </c>
      <c r="H22" s="535" t="str">
        <f t="shared" si="2"/>
        <v>2*</v>
      </c>
      <c r="I22" s="549">
        <f t="shared" si="2"/>
        <v>3</v>
      </c>
      <c r="J22" s="554"/>
      <c r="K22" s="551"/>
      <c r="L22" s="1211"/>
      <c r="M22" s="1212"/>
      <c r="N22" s="1212"/>
      <c r="O22" s="1212"/>
      <c r="P22" s="1212"/>
      <c r="Q22" s="1212"/>
      <c r="R22" s="1213"/>
      <c r="T22" s="500">
        <v>15</v>
      </c>
      <c r="U22" s="490" t="s">
        <v>764</v>
      </c>
      <c r="V22" s="539">
        <v>1</v>
      </c>
      <c r="W22" s="539">
        <v>4</v>
      </c>
      <c r="X22" s="539" t="s">
        <v>340</v>
      </c>
      <c r="Y22" s="539" t="s">
        <v>340</v>
      </c>
      <c r="Z22" s="543" t="s">
        <v>340</v>
      </c>
      <c r="AA22" s="543">
        <v>2</v>
      </c>
      <c r="AB22" s="543">
        <v>1</v>
      </c>
      <c r="AC22" s="539">
        <v>3</v>
      </c>
      <c r="AD22" s="539">
        <v>2</v>
      </c>
      <c r="AE22" s="539">
        <v>1</v>
      </c>
      <c r="AF22" s="539" t="b">
        <v>1</v>
      </c>
      <c r="AG22" s="539">
        <f t="shared" si="3"/>
        <v>2</v>
      </c>
      <c r="AH22" s="539">
        <f t="shared" si="4"/>
        <v>1</v>
      </c>
      <c r="AI22" s="138">
        <f>IF(NOT(OR(Z22=1,Z22=2)),IF(AQ22&gt;0,$AR$44*AQ22/SUMIF($AQ$8:$AQ$39,"&gt;0"),IF(AU22&gt;0,$AV$44*AU22/SUMIF($AU$8:$AU$39,"&gt;0"),IF(AS22&gt;0,$AT$44*AS22/SUMIF($AS$8:$AS$39,"&gt;0"),""))),IF(SUMIF(AJ23:$AJ$39,"=" &amp; AJ22,AI23:$AI$39)=0,"",SUMIF(AJ23:$AJ$39,"=" &amp; AJ22,AI23:$AI$39)))</f>
        <v>4.4999999999999998E-2</v>
      </c>
      <c r="AJ22" s="139">
        <f t="shared" si="34"/>
        <v>3</v>
      </c>
      <c r="AK22" s="539">
        <f t="shared" si="27"/>
        <v>2</v>
      </c>
      <c r="AL22" s="543" t="str">
        <f t="shared" si="28"/>
        <v/>
      </c>
      <c r="AM22" s="543" t="str">
        <f t="shared" si="35"/>
        <v/>
      </c>
      <c r="AN22" s="543" t="str">
        <f t="shared" si="5"/>
        <v/>
      </c>
      <c r="AO22" s="543" t="str">
        <f t="shared" si="6"/>
        <v/>
      </c>
      <c r="AP22" s="539" t="b">
        <f t="shared" si="7"/>
        <v>1</v>
      </c>
      <c r="AQ22" s="540">
        <f t="shared" si="29"/>
        <v>4</v>
      </c>
      <c r="AR22" s="141" t="str">
        <f t="shared" si="8"/>
        <v/>
      </c>
      <c r="AS22" s="142">
        <f t="shared" si="30"/>
        <v>0</v>
      </c>
      <c r="AT22" s="141" t="str">
        <f t="shared" si="9"/>
        <v/>
      </c>
      <c r="AU22" s="541">
        <f t="shared" si="10"/>
        <v>0</v>
      </c>
      <c r="AV22" s="144" t="str">
        <f t="shared" si="11"/>
        <v/>
      </c>
      <c r="AW22" s="541" t="b">
        <f t="shared" si="12"/>
        <v>0</v>
      </c>
      <c r="AX22" s="542" t="b">
        <f t="shared" si="13"/>
        <v>1</v>
      </c>
      <c r="AY22" s="541" t="b">
        <f t="shared" si="14"/>
        <v>0</v>
      </c>
      <c r="AZ22" s="542" t="b">
        <f t="shared" si="15"/>
        <v>0</v>
      </c>
      <c r="BA22" s="539" t="b">
        <f t="shared" si="16"/>
        <v>0</v>
      </c>
      <c r="BB22" s="539" t="b">
        <f t="shared" si="17"/>
        <v>0</v>
      </c>
      <c r="BC22" s="541" t="b">
        <f t="shared" si="18"/>
        <v>0</v>
      </c>
      <c r="BD22" s="543" t="b">
        <f t="shared" si="31"/>
        <v>0</v>
      </c>
      <c r="BE22" s="542" t="b">
        <f>IF(OR(ISNA($Z22),K22&lt;&gt;"D"),FALSE,IF(OR(AND(H22="NG",J22=0),AND(H22&lt;&gt;"NG",NOT(OR(J22="NA",J22=0)))),TRUE,FALSE))</f>
        <v>0</v>
      </c>
      <c r="BF22" s="544" t="b">
        <f t="shared" si="20"/>
        <v>0</v>
      </c>
      <c r="BG22" s="539" t="b">
        <f>IF(ISNA($Z22),"NA",IF(OR(AZ22,AY22,AX22,AW22,AP22,BA22,BB22),TRUE,FALSE))</f>
        <v>1</v>
      </c>
      <c r="BH22" s="539">
        <f t="shared" si="32"/>
        <v>1</v>
      </c>
      <c r="BI22" s="539">
        <f t="shared" si="22"/>
        <v>2</v>
      </c>
      <c r="BJ22" s="539" t="str">
        <f t="shared" si="23"/>
        <v>2*</v>
      </c>
      <c r="BK22" s="539">
        <f t="shared" si="24"/>
        <v>3</v>
      </c>
      <c r="BL22" s="545">
        <f t="shared" si="33"/>
        <v>1</v>
      </c>
      <c r="BM22" s="539">
        <f t="shared" si="25"/>
        <v>2</v>
      </c>
      <c r="BN22" s="539">
        <f t="shared" si="26"/>
        <v>3</v>
      </c>
      <c r="BO22" s="1205"/>
      <c r="BP22" s="558" t="s">
        <v>360</v>
      </c>
      <c r="BQ22" s="165">
        <f t="shared" si="36"/>
        <v>0.7</v>
      </c>
      <c r="BR22" s="166">
        <f t="shared" si="36"/>
        <v>0.8</v>
      </c>
      <c r="BS22" s="166">
        <f t="shared" si="36"/>
        <v>0.9</v>
      </c>
      <c r="BT22" s="166">
        <f t="shared" si="36"/>
        <v>0.95</v>
      </c>
      <c r="BU22" s="167">
        <f t="shared" si="36"/>
        <v>1</v>
      </c>
    </row>
    <row r="23" spans="2:73" s="504" customFormat="1" ht="12.95" customHeight="1" x14ac:dyDescent="0.2">
      <c r="B23" s="548">
        <f>IF(ISNA(Z23),"",IF(OR(Z23=1,Z23=2),"    ",MAX($B$8:B22)+1))</f>
        <v>12</v>
      </c>
      <c r="C23" s="1202" t="str">
        <f t="shared" si="0"/>
        <v xml:space="preserve">      - Dutch Roll Investigation (5.6%)</v>
      </c>
      <c r="D23" s="1202"/>
      <c r="E23" s="1202"/>
      <c r="F23" s="1203"/>
      <c r="G23" s="534">
        <f t="shared" si="1"/>
        <v>1</v>
      </c>
      <c r="H23" s="535" t="str">
        <f t="shared" si="2"/>
        <v>2*</v>
      </c>
      <c r="I23" s="549">
        <f t="shared" si="2"/>
        <v>3</v>
      </c>
      <c r="J23" s="554"/>
      <c r="K23" s="551"/>
      <c r="L23" s="1211"/>
      <c r="M23" s="1212"/>
      <c r="N23" s="1212"/>
      <c r="O23" s="1212"/>
      <c r="P23" s="1212"/>
      <c r="Q23" s="1212"/>
      <c r="R23" s="1213"/>
      <c r="T23" s="500">
        <v>16</v>
      </c>
      <c r="U23" s="490" t="s">
        <v>765</v>
      </c>
      <c r="V23" s="539">
        <v>1</v>
      </c>
      <c r="W23" s="539">
        <v>5</v>
      </c>
      <c r="X23" s="539" t="s">
        <v>340</v>
      </c>
      <c r="Y23" s="539" t="s">
        <v>340</v>
      </c>
      <c r="Z23" s="543" t="s">
        <v>340</v>
      </c>
      <c r="AA23" s="543">
        <v>2</v>
      </c>
      <c r="AB23" s="543">
        <v>1</v>
      </c>
      <c r="AC23" s="539">
        <v>3</v>
      </c>
      <c r="AD23" s="539">
        <v>2</v>
      </c>
      <c r="AE23" s="539">
        <v>1</v>
      </c>
      <c r="AF23" s="539" t="b">
        <v>1</v>
      </c>
      <c r="AG23" s="539">
        <f t="shared" si="3"/>
        <v>2</v>
      </c>
      <c r="AH23" s="539">
        <f t="shared" si="4"/>
        <v>1</v>
      </c>
      <c r="AI23" s="138">
        <f>IF(NOT(OR(Z23=1,Z23=2)),IF(AQ23&gt;0,$AR$44*AQ23/SUMIF($AQ$8:$AQ$39,"&gt;0"),IF(AU23&gt;0,$AV$44*AU23/SUMIF($AU$8:$AU$39,"&gt;0"),IF(AS23&gt;0,$AT$44*AS23/SUMIF($AS$8:$AS$39,"&gt;0"),""))),IF(SUMIF(AJ24:$AJ$39,"=" &amp; AJ23,AI24:$AI$39)=0,"",SUMIF(AJ24:$AJ$39,"=" &amp; AJ23,AI24:$AI$39)))</f>
        <v>5.6250000000000001E-2</v>
      </c>
      <c r="AJ23" s="139">
        <f t="shared" si="34"/>
        <v>3</v>
      </c>
      <c r="AK23" s="539">
        <f t="shared" si="27"/>
        <v>2</v>
      </c>
      <c r="AL23" s="543" t="str">
        <f t="shared" si="28"/>
        <v/>
      </c>
      <c r="AM23" s="543" t="str">
        <f t="shared" si="35"/>
        <v/>
      </c>
      <c r="AN23" s="543" t="str">
        <f t="shared" si="5"/>
        <v/>
      </c>
      <c r="AO23" s="543" t="str">
        <f t="shared" si="6"/>
        <v/>
      </c>
      <c r="AP23" s="539" t="b">
        <f t="shared" si="7"/>
        <v>1</v>
      </c>
      <c r="AQ23" s="540">
        <f t="shared" si="29"/>
        <v>5</v>
      </c>
      <c r="AR23" s="141" t="str">
        <f t="shared" si="8"/>
        <v/>
      </c>
      <c r="AS23" s="142">
        <f t="shared" si="30"/>
        <v>0</v>
      </c>
      <c r="AT23" s="141" t="str">
        <f t="shared" si="9"/>
        <v/>
      </c>
      <c r="AU23" s="541">
        <f t="shared" si="10"/>
        <v>0</v>
      </c>
      <c r="AV23" s="144" t="str">
        <f t="shared" si="11"/>
        <v/>
      </c>
      <c r="AW23" s="541" t="b">
        <f t="shared" si="12"/>
        <v>0</v>
      </c>
      <c r="AX23" s="542" t="b">
        <f t="shared" si="13"/>
        <v>1</v>
      </c>
      <c r="AY23" s="541" t="b">
        <f t="shared" si="14"/>
        <v>0</v>
      </c>
      <c r="AZ23" s="542" t="b">
        <f t="shared" si="15"/>
        <v>0</v>
      </c>
      <c r="BA23" s="539" t="b">
        <f t="shared" si="16"/>
        <v>0</v>
      </c>
      <c r="BB23" s="539" t="b">
        <f t="shared" si="17"/>
        <v>0</v>
      </c>
      <c r="BC23" s="541" t="b">
        <f t="shared" si="18"/>
        <v>0</v>
      </c>
      <c r="BD23" s="543" t="b">
        <f t="shared" si="31"/>
        <v>0</v>
      </c>
      <c r="BE23" s="542" t="b">
        <f t="shared" ref="BE23:BE39" si="37">IF(OR(ISNA($Z23),K23&lt;&gt;"D"),FALSE,IF(OR(AND(H23="NG",J23=0),AND(H23&lt;&gt;"NG",NOT(OR(J23="NA",J23=0)))),TRUE,FALSE))</f>
        <v>0</v>
      </c>
      <c r="BF23" s="544" t="b">
        <f t="shared" si="20"/>
        <v>0</v>
      </c>
      <c r="BG23" s="539" t="b">
        <f t="shared" ref="BG23:BG39" si="38">IF(ISNA($Z23),"NA",IF(OR(AZ23,AY23,AX23,AW23,AP23,BA23,BB23),TRUE,FALSE))</f>
        <v>1</v>
      </c>
      <c r="BH23" s="539">
        <f t="shared" si="32"/>
        <v>1</v>
      </c>
      <c r="BI23" s="539">
        <f t="shared" si="22"/>
        <v>2</v>
      </c>
      <c r="BJ23" s="539" t="str">
        <f t="shared" si="23"/>
        <v>2*</v>
      </c>
      <c r="BK23" s="539">
        <f t="shared" si="24"/>
        <v>3</v>
      </c>
      <c r="BL23" s="545">
        <f t="shared" si="33"/>
        <v>1</v>
      </c>
      <c r="BM23" s="539">
        <f t="shared" si="25"/>
        <v>2</v>
      </c>
      <c r="BN23" s="539">
        <f t="shared" si="26"/>
        <v>3</v>
      </c>
      <c r="BO23" s="1205"/>
      <c r="BP23" s="558" t="s">
        <v>361</v>
      </c>
      <c r="BQ23" s="165">
        <f t="shared" si="36"/>
        <v>0.7</v>
      </c>
      <c r="BR23" s="166">
        <f t="shared" si="36"/>
        <v>0.76670000000000005</v>
      </c>
      <c r="BS23" s="166">
        <f t="shared" si="36"/>
        <v>0.83330000000000004</v>
      </c>
      <c r="BT23" s="166">
        <f t="shared" si="36"/>
        <v>0.9</v>
      </c>
      <c r="BU23" s="167">
        <f t="shared" si="36"/>
        <v>1</v>
      </c>
    </row>
    <row r="24" spans="2:73" s="504" customFormat="1" ht="12.95" customHeight="1" x14ac:dyDescent="0.2">
      <c r="B24" s="548">
        <f>IF(ISNA(Z24),"",IF(OR(Z24=1,Z24=2),"    ",MAX($B$8:B23)+1))</f>
        <v>13</v>
      </c>
      <c r="C24" s="1202" t="str">
        <f t="shared" si="0"/>
        <v xml:space="preserve">      - Stall Investigation (1g) (5.6%)</v>
      </c>
      <c r="D24" s="1202"/>
      <c r="E24" s="1202"/>
      <c r="F24" s="1203"/>
      <c r="G24" s="534">
        <f t="shared" si="1"/>
        <v>1</v>
      </c>
      <c r="H24" s="535" t="str">
        <f t="shared" si="2"/>
        <v>2*</v>
      </c>
      <c r="I24" s="549">
        <f t="shared" si="2"/>
        <v>3</v>
      </c>
      <c r="J24" s="554"/>
      <c r="K24" s="551"/>
      <c r="L24" s="1211"/>
      <c r="M24" s="1212"/>
      <c r="N24" s="1212"/>
      <c r="O24" s="1212"/>
      <c r="P24" s="1212"/>
      <c r="Q24" s="1212"/>
      <c r="R24" s="1213"/>
      <c r="T24" s="500">
        <v>17</v>
      </c>
      <c r="U24" s="490" t="s">
        <v>766</v>
      </c>
      <c r="V24" s="539">
        <v>1</v>
      </c>
      <c r="W24" s="539">
        <v>5</v>
      </c>
      <c r="X24" s="539" t="s">
        <v>340</v>
      </c>
      <c r="Y24" s="539" t="s">
        <v>340</v>
      </c>
      <c r="Z24" s="543" t="s">
        <v>340</v>
      </c>
      <c r="AA24" s="543">
        <v>2</v>
      </c>
      <c r="AB24" s="543">
        <v>1</v>
      </c>
      <c r="AC24" s="539">
        <v>3</v>
      </c>
      <c r="AD24" s="539">
        <v>2</v>
      </c>
      <c r="AE24" s="539">
        <v>1</v>
      </c>
      <c r="AF24" s="539" t="b">
        <v>1</v>
      </c>
      <c r="AG24" s="539">
        <f t="shared" si="3"/>
        <v>2</v>
      </c>
      <c r="AH24" s="539">
        <f t="shared" si="4"/>
        <v>1</v>
      </c>
      <c r="AI24" s="138">
        <f>IF(NOT(OR(Z24=1,Z24=2)),IF(AQ24&gt;0,$AR$44*AQ24/SUMIF($AQ$8:$AQ$39,"&gt;0"),IF(AU24&gt;0,$AV$44*AU24/SUMIF($AU$8:$AU$39,"&gt;0"),IF(AS24&gt;0,$AT$44*AS24/SUMIF($AS$8:$AS$39,"&gt;0"),""))),IF(SUMIF(AJ25:$AJ$39,"=" &amp; AJ24,AI25:$AI$39)=0,"",SUMIF(AJ25:$AJ$39,"=" &amp; AJ24,AI25:$AI$39)))</f>
        <v>5.6250000000000001E-2</v>
      </c>
      <c r="AJ24" s="139">
        <f t="shared" si="34"/>
        <v>3</v>
      </c>
      <c r="AK24" s="539">
        <f t="shared" si="27"/>
        <v>2</v>
      </c>
      <c r="AL24" s="543" t="str">
        <f t="shared" si="28"/>
        <v/>
      </c>
      <c r="AM24" s="543" t="str">
        <f t="shared" si="35"/>
        <v/>
      </c>
      <c r="AN24" s="543" t="str">
        <f t="shared" si="5"/>
        <v/>
      </c>
      <c r="AO24" s="543" t="str">
        <f t="shared" si="6"/>
        <v/>
      </c>
      <c r="AP24" s="539" t="b">
        <f t="shared" si="7"/>
        <v>1</v>
      </c>
      <c r="AQ24" s="540">
        <f t="shared" si="29"/>
        <v>5</v>
      </c>
      <c r="AR24" s="141" t="str">
        <f t="shared" si="8"/>
        <v/>
      </c>
      <c r="AS24" s="142">
        <f t="shared" si="30"/>
        <v>0</v>
      </c>
      <c r="AT24" s="141" t="str">
        <f t="shared" si="9"/>
        <v/>
      </c>
      <c r="AU24" s="541">
        <f t="shared" si="10"/>
        <v>0</v>
      </c>
      <c r="AV24" s="144" t="str">
        <f t="shared" si="11"/>
        <v/>
      </c>
      <c r="AW24" s="541" t="b">
        <f t="shared" si="12"/>
        <v>0</v>
      </c>
      <c r="AX24" s="542" t="b">
        <f t="shared" si="13"/>
        <v>1</v>
      </c>
      <c r="AY24" s="541" t="b">
        <f t="shared" si="14"/>
        <v>0</v>
      </c>
      <c r="AZ24" s="542" t="b">
        <f t="shared" si="15"/>
        <v>0</v>
      </c>
      <c r="BA24" s="539" t="b">
        <f t="shared" si="16"/>
        <v>0</v>
      </c>
      <c r="BB24" s="539" t="b">
        <f t="shared" si="17"/>
        <v>0</v>
      </c>
      <c r="BC24" s="541" t="b">
        <f t="shared" si="18"/>
        <v>0</v>
      </c>
      <c r="BD24" s="543" t="b">
        <f t="shared" si="31"/>
        <v>0</v>
      </c>
      <c r="BE24" s="542" t="b">
        <f t="shared" si="37"/>
        <v>0</v>
      </c>
      <c r="BF24" s="544" t="b">
        <f t="shared" si="20"/>
        <v>0</v>
      </c>
      <c r="BG24" s="539" t="b">
        <f t="shared" si="38"/>
        <v>1</v>
      </c>
      <c r="BH24" s="539">
        <f t="shared" si="32"/>
        <v>1</v>
      </c>
      <c r="BI24" s="539">
        <f t="shared" si="22"/>
        <v>2</v>
      </c>
      <c r="BJ24" s="539" t="str">
        <f t="shared" si="23"/>
        <v>2*</v>
      </c>
      <c r="BK24" s="539">
        <f t="shared" si="24"/>
        <v>3</v>
      </c>
      <c r="BL24" s="545">
        <f t="shared" si="33"/>
        <v>1</v>
      </c>
      <c r="BM24" s="539">
        <f t="shared" si="25"/>
        <v>2</v>
      </c>
      <c r="BN24" s="539">
        <f t="shared" si="26"/>
        <v>3</v>
      </c>
      <c r="BO24" s="1205"/>
      <c r="BP24" s="558" t="s">
        <v>362</v>
      </c>
      <c r="BQ24" s="165">
        <f t="shared" si="36"/>
        <v>0.6</v>
      </c>
      <c r="BR24" s="166">
        <f t="shared" si="36"/>
        <v>0.9</v>
      </c>
      <c r="BS24" s="166">
        <f t="shared" si="36"/>
        <v>0.93330000000000002</v>
      </c>
      <c r="BT24" s="166">
        <f t="shared" si="36"/>
        <v>0.9667</v>
      </c>
      <c r="BU24" s="167">
        <f t="shared" si="36"/>
        <v>1</v>
      </c>
    </row>
    <row r="25" spans="2:73" s="504" customFormat="1" ht="12.95" customHeight="1" x14ac:dyDescent="0.2">
      <c r="B25" s="548">
        <f>IF(ISNA(Z25),"",IF(OR(Z25=1,Z25=2),"    ",MAX($B$8:B24)+1))</f>
        <v>14</v>
      </c>
      <c r="C25" s="1202" t="str">
        <f t="shared" si="0"/>
        <v xml:space="preserve">      - Stall Investigation (turning) (4.5%)</v>
      </c>
      <c r="D25" s="1202"/>
      <c r="E25" s="1202"/>
      <c r="F25" s="1203"/>
      <c r="G25" s="534">
        <f t="shared" si="1"/>
        <v>1</v>
      </c>
      <c r="H25" s="535" t="str">
        <f t="shared" si="2"/>
        <v>2*</v>
      </c>
      <c r="I25" s="549">
        <f t="shared" si="2"/>
        <v>3</v>
      </c>
      <c r="J25" s="554"/>
      <c r="K25" s="551"/>
      <c r="L25" s="1211"/>
      <c r="M25" s="1212"/>
      <c r="N25" s="1212"/>
      <c r="O25" s="1212"/>
      <c r="P25" s="1212"/>
      <c r="Q25" s="1212"/>
      <c r="R25" s="1213"/>
      <c r="T25" s="500">
        <v>18</v>
      </c>
      <c r="U25" s="490" t="s">
        <v>767</v>
      </c>
      <c r="V25" s="539">
        <v>1</v>
      </c>
      <c r="W25" s="539">
        <v>4</v>
      </c>
      <c r="X25" s="539" t="s">
        <v>340</v>
      </c>
      <c r="Y25" s="539" t="s">
        <v>340</v>
      </c>
      <c r="Z25" s="543" t="s">
        <v>340</v>
      </c>
      <c r="AA25" s="543">
        <v>2</v>
      </c>
      <c r="AB25" s="543">
        <v>1</v>
      </c>
      <c r="AC25" s="539">
        <v>3</v>
      </c>
      <c r="AD25" s="539">
        <v>2</v>
      </c>
      <c r="AE25" s="539">
        <v>1</v>
      </c>
      <c r="AF25" s="539" t="b">
        <v>1</v>
      </c>
      <c r="AG25" s="539">
        <f t="shared" si="3"/>
        <v>2</v>
      </c>
      <c r="AH25" s="539">
        <f t="shared" si="4"/>
        <v>1</v>
      </c>
      <c r="AI25" s="138">
        <f>IF(NOT(OR(Z25=1,Z25=2)),IF(AQ25&gt;0,$AR$44*AQ25/SUMIF($AQ$8:$AQ$39,"&gt;0"),IF(AU25&gt;0,$AV$44*AU25/SUMIF($AU$8:$AU$39,"&gt;0"),IF(AS25&gt;0,$AT$44*AS25/SUMIF($AS$8:$AS$39,"&gt;0"),""))),IF(SUMIF(AJ26:$AJ$39,"=" &amp; AJ25,AI26:$AI$39)=0,"",SUMIF(AJ26:$AJ$39,"=" &amp; AJ25,AI26:$AI$39)))</f>
        <v>4.4999999999999998E-2</v>
      </c>
      <c r="AJ25" s="139">
        <f t="shared" si="34"/>
        <v>3</v>
      </c>
      <c r="AK25" s="539">
        <f t="shared" si="27"/>
        <v>2</v>
      </c>
      <c r="AL25" s="543" t="str">
        <f t="shared" si="28"/>
        <v/>
      </c>
      <c r="AM25" s="543" t="str">
        <f t="shared" si="35"/>
        <v/>
      </c>
      <c r="AN25" s="543" t="str">
        <f t="shared" si="5"/>
        <v/>
      </c>
      <c r="AO25" s="543" t="str">
        <f t="shared" si="6"/>
        <v/>
      </c>
      <c r="AP25" s="539" t="b">
        <f t="shared" si="7"/>
        <v>1</v>
      </c>
      <c r="AQ25" s="540">
        <f t="shared" si="29"/>
        <v>4</v>
      </c>
      <c r="AR25" s="141" t="str">
        <f t="shared" si="8"/>
        <v/>
      </c>
      <c r="AS25" s="142">
        <f t="shared" si="30"/>
        <v>0</v>
      </c>
      <c r="AT25" s="141" t="str">
        <f t="shared" si="9"/>
        <v/>
      </c>
      <c r="AU25" s="541">
        <f t="shared" si="10"/>
        <v>0</v>
      </c>
      <c r="AV25" s="144" t="str">
        <f t="shared" si="11"/>
        <v/>
      </c>
      <c r="AW25" s="541" t="b">
        <f t="shared" si="12"/>
        <v>0</v>
      </c>
      <c r="AX25" s="542" t="b">
        <f t="shared" si="13"/>
        <v>1</v>
      </c>
      <c r="AY25" s="541" t="b">
        <f t="shared" si="14"/>
        <v>0</v>
      </c>
      <c r="AZ25" s="542" t="b">
        <f t="shared" si="15"/>
        <v>0</v>
      </c>
      <c r="BA25" s="539" t="b">
        <f t="shared" si="16"/>
        <v>0</v>
      </c>
      <c r="BB25" s="539" t="b">
        <f t="shared" si="17"/>
        <v>0</v>
      </c>
      <c r="BC25" s="541" t="b">
        <f t="shared" si="18"/>
        <v>0</v>
      </c>
      <c r="BD25" s="543" t="b">
        <f t="shared" si="31"/>
        <v>0</v>
      </c>
      <c r="BE25" s="542" t="b">
        <f t="shared" si="37"/>
        <v>0</v>
      </c>
      <c r="BF25" s="544" t="b">
        <f t="shared" si="20"/>
        <v>0</v>
      </c>
      <c r="BG25" s="539" t="b">
        <f t="shared" si="38"/>
        <v>1</v>
      </c>
      <c r="BH25" s="539">
        <f t="shared" si="32"/>
        <v>1</v>
      </c>
      <c r="BI25" s="539">
        <f t="shared" si="22"/>
        <v>2</v>
      </c>
      <c r="BJ25" s="539" t="str">
        <f t="shared" si="23"/>
        <v>2*</v>
      </c>
      <c r="BK25" s="539">
        <f t="shared" si="24"/>
        <v>3</v>
      </c>
      <c r="BL25" s="545">
        <f t="shared" si="33"/>
        <v>1</v>
      </c>
      <c r="BM25" s="539">
        <f t="shared" si="25"/>
        <v>2</v>
      </c>
      <c r="BN25" s="539">
        <f t="shared" si="26"/>
        <v>3</v>
      </c>
      <c r="BO25" s="1205"/>
      <c r="BP25" s="558" t="s">
        <v>363</v>
      </c>
      <c r="BQ25" s="165">
        <f t="shared" si="36"/>
        <v>0.6</v>
      </c>
      <c r="BR25" s="166">
        <f t="shared" si="36"/>
        <v>0.7</v>
      </c>
      <c r="BS25" s="166">
        <f t="shared" si="36"/>
        <v>0.9</v>
      </c>
      <c r="BT25" s="166">
        <f t="shared" si="36"/>
        <v>0.95</v>
      </c>
      <c r="BU25" s="167">
        <f t="shared" si="36"/>
        <v>1</v>
      </c>
    </row>
    <row r="26" spans="2:73" s="504" customFormat="1" ht="12.95" customHeight="1" x14ac:dyDescent="0.2">
      <c r="B26" s="548">
        <f>IF(ISNA(Z26),"",IF(OR(Z26=1,Z26=2),"    ",MAX($B$8:B25)+1))</f>
        <v>15</v>
      </c>
      <c r="C26" s="1202" t="str">
        <f t="shared" si="0"/>
        <v xml:space="preserve">      - Bank Angle Captures (4.5%)</v>
      </c>
      <c r="D26" s="1202"/>
      <c r="E26" s="1202"/>
      <c r="F26" s="1203"/>
      <c r="G26" s="534">
        <f t="shared" si="1"/>
        <v>1</v>
      </c>
      <c r="H26" s="535" t="str">
        <f t="shared" si="2"/>
        <v>2*</v>
      </c>
      <c r="I26" s="549">
        <f t="shared" si="2"/>
        <v>3</v>
      </c>
      <c r="J26" s="554"/>
      <c r="K26" s="551"/>
      <c r="L26" s="1211"/>
      <c r="M26" s="1212"/>
      <c r="N26" s="1212"/>
      <c r="O26" s="1212"/>
      <c r="P26" s="1212"/>
      <c r="Q26" s="1212"/>
      <c r="R26" s="1213"/>
      <c r="T26" s="500">
        <v>19</v>
      </c>
      <c r="U26" s="490" t="s">
        <v>768</v>
      </c>
      <c r="V26" s="539">
        <v>1</v>
      </c>
      <c r="W26" s="539">
        <v>4</v>
      </c>
      <c r="X26" s="539" t="s">
        <v>340</v>
      </c>
      <c r="Y26" s="539" t="s">
        <v>340</v>
      </c>
      <c r="Z26" s="543" t="s">
        <v>340</v>
      </c>
      <c r="AA26" s="543">
        <v>2</v>
      </c>
      <c r="AB26" s="543">
        <v>1</v>
      </c>
      <c r="AC26" s="539">
        <v>3</v>
      </c>
      <c r="AD26" s="539">
        <v>2</v>
      </c>
      <c r="AE26" s="539">
        <v>1</v>
      </c>
      <c r="AF26" s="539" t="b">
        <v>1</v>
      </c>
      <c r="AG26" s="539">
        <f t="shared" si="3"/>
        <v>2</v>
      </c>
      <c r="AH26" s="539">
        <f t="shared" si="4"/>
        <v>1</v>
      </c>
      <c r="AI26" s="138">
        <f>IF(NOT(OR(Z26=1,Z26=2)),IF(AQ26&gt;0,$AR$44*AQ26/SUMIF($AQ$8:$AQ$39,"&gt;0"),IF(AU26&gt;0,$AV$44*AU26/SUMIF($AU$8:$AU$39,"&gt;0"),IF(AS26&gt;0,$AT$44*AS26/SUMIF($AS$8:$AS$39,"&gt;0"),""))),IF(SUMIF(AJ27:$AJ$39,"=" &amp; AJ26,AI27:$AI$39)=0,"",SUMIF(AJ27:$AJ$39,"=" &amp; AJ26,AI27:$AI$39)))</f>
        <v>4.4999999999999998E-2</v>
      </c>
      <c r="AJ26" s="139">
        <f t="shared" si="34"/>
        <v>3</v>
      </c>
      <c r="AK26" s="539">
        <f t="shared" si="27"/>
        <v>2</v>
      </c>
      <c r="AL26" s="543" t="str">
        <f t="shared" si="28"/>
        <v/>
      </c>
      <c r="AM26" s="543" t="str">
        <f t="shared" si="35"/>
        <v/>
      </c>
      <c r="AN26" s="543" t="str">
        <f t="shared" si="5"/>
        <v/>
      </c>
      <c r="AO26" s="543" t="str">
        <f t="shared" si="6"/>
        <v/>
      </c>
      <c r="AP26" s="539" t="b">
        <f t="shared" si="7"/>
        <v>1</v>
      </c>
      <c r="AQ26" s="540">
        <f t="shared" si="29"/>
        <v>4</v>
      </c>
      <c r="AR26" s="141" t="str">
        <f t="shared" si="8"/>
        <v/>
      </c>
      <c r="AS26" s="142">
        <f t="shared" si="30"/>
        <v>0</v>
      </c>
      <c r="AT26" s="141" t="str">
        <f t="shared" si="9"/>
        <v/>
      </c>
      <c r="AU26" s="541">
        <f t="shared" si="10"/>
        <v>0</v>
      </c>
      <c r="AV26" s="144" t="str">
        <f t="shared" si="11"/>
        <v/>
      </c>
      <c r="AW26" s="541" t="b">
        <f t="shared" si="12"/>
        <v>0</v>
      </c>
      <c r="AX26" s="542" t="b">
        <f t="shared" si="13"/>
        <v>1</v>
      </c>
      <c r="AY26" s="541" t="b">
        <f t="shared" si="14"/>
        <v>0</v>
      </c>
      <c r="AZ26" s="542" t="b">
        <f t="shared" si="15"/>
        <v>0</v>
      </c>
      <c r="BA26" s="539" t="b">
        <f t="shared" si="16"/>
        <v>0</v>
      </c>
      <c r="BB26" s="539" t="b">
        <f t="shared" si="17"/>
        <v>0</v>
      </c>
      <c r="BC26" s="541" t="b">
        <f t="shared" si="18"/>
        <v>0</v>
      </c>
      <c r="BD26" s="543" t="b">
        <f t="shared" si="31"/>
        <v>0</v>
      </c>
      <c r="BE26" s="542" t="b">
        <f t="shared" si="37"/>
        <v>0</v>
      </c>
      <c r="BF26" s="544" t="b">
        <f t="shared" si="20"/>
        <v>0</v>
      </c>
      <c r="BG26" s="539" t="b">
        <f t="shared" si="38"/>
        <v>1</v>
      </c>
      <c r="BH26" s="539">
        <f t="shared" si="32"/>
        <v>1</v>
      </c>
      <c r="BI26" s="539">
        <f t="shared" si="22"/>
        <v>2</v>
      </c>
      <c r="BJ26" s="539" t="str">
        <f t="shared" si="23"/>
        <v>2*</v>
      </c>
      <c r="BK26" s="539">
        <f t="shared" si="24"/>
        <v>3</v>
      </c>
      <c r="BL26" s="545">
        <f t="shared" si="33"/>
        <v>1</v>
      </c>
      <c r="BM26" s="539">
        <f t="shared" si="25"/>
        <v>2</v>
      </c>
      <c r="BN26" s="539">
        <f t="shared" si="26"/>
        <v>3</v>
      </c>
      <c r="BO26" s="1205"/>
      <c r="BP26" s="558" t="s">
        <v>364</v>
      </c>
      <c r="BQ26" s="165">
        <f t="shared" si="36"/>
        <v>0.6</v>
      </c>
      <c r="BR26" s="166">
        <f t="shared" si="36"/>
        <v>0.7</v>
      </c>
      <c r="BS26" s="166">
        <f t="shared" si="36"/>
        <v>0.8</v>
      </c>
      <c r="BT26" s="166">
        <f t="shared" si="36"/>
        <v>0.9</v>
      </c>
      <c r="BU26" s="167">
        <f t="shared" si="36"/>
        <v>1</v>
      </c>
    </row>
    <row r="27" spans="2:73" s="504" customFormat="1" ht="12.95" customHeight="1" x14ac:dyDescent="0.2">
      <c r="B27" s="548">
        <f>IF(ISNA(Z27),"",IF(OR(Z27=1,Z27=2),"    ",MAX($B$8:B26)+1))</f>
        <v>16</v>
      </c>
      <c r="C27" s="1202" t="str">
        <f t="shared" si="0"/>
        <v xml:space="preserve">      - Heading Captures (4.5%)</v>
      </c>
      <c r="D27" s="1202"/>
      <c r="E27" s="1202"/>
      <c r="F27" s="1203"/>
      <c r="G27" s="534">
        <f t="shared" si="1"/>
        <v>1</v>
      </c>
      <c r="H27" s="535" t="str">
        <f t="shared" si="2"/>
        <v>2*</v>
      </c>
      <c r="I27" s="549">
        <f t="shared" si="2"/>
        <v>3</v>
      </c>
      <c r="J27" s="554"/>
      <c r="K27" s="551"/>
      <c r="L27" s="1211"/>
      <c r="M27" s="1212"/>
      <c r="N27" s="1212"/>
      <c r="O27" s="1212"/>
      <c r="P27" s="1212"/>
      <c r="Q27" s="1212"/>
      <c r="R27" s="1213"/>
      <c r="T27" s="500">
        <v>20</v>
      </c>
      <c r="U27" s="490" t="s">
        <v>769</v>
      </c>
      <c r="V27" s="539">
        <v>1</v>
      </c>
      <c r="W27" s="539">
        <v>4</v>
      </c>
      <c r="X27" s="539" t="s">
        <v>340</v>
      </c>
      <c r="Y27" s="539" t="s">
        <v>340</v>
      </c>
      <c r="Z27" s="543" t="s">
        <v>340</v>
      </c>
      <c r="AA27" s="543">
        <v>2</v>
      </c>
      <c r="AB27" s="543">
        <v>1</v>
      </c>
      <c r="AC27" s="539">
        <v>3</v>
      </c>
      <c r="AD27" s="539">
        <v>2</v>
      </c>
      <c r="AE27" s="539">
        <v>1</v>
      </c>
      <c r="AF27" s="539" t="b">
        <v>1</v>
      </c>
      <c r="AG27" s="539">
        <f t="shared" si="3"/>
        <v>2</v>
      </c>
      <c r="AH27" s="539">
        <f t="shared" si="4"/>
        <v>1</v>
      </c>
      <c r="AI27" s="138">
        <f>IF(NOT(OR(Z27=1,Z27=2)),IF(AQ27&gt;0,$AR$44*AQ27/SUMIF($AQ$8:$AQ$39,"&gt;0"),IF(AU27&gt;0,$AV$44*AU27/SUMIF($AU$8:$AU$39,"&gt;0"),IF(AS27&gt;0,$AT$44*AS27/SUMIF($AS$8:$AS$39,"&gt;0"),""))),IF(SUMIF(AJ28:$AJ$39,"=" &amp; AJ27,AI28:$AI$39)=0,"",SUMIF(AJ28:$AJ$39,"=" &amp; AJ27,AI28:$AI$39)))</f>
        <v>4.4999999999999998E-2</v>
      </c>
      <c r="AJ27" s="139">
        <f t="shared" si="34"/>
        <v>3</v>
      </c>
      <c r="AK27" s="539">
        <f t="shared" si="27"/>
        <v>2</v>
      </c>
      <c r="AL27" s="543" t="str">
        <f t="shared" si="28"/>
        <v/>
      </c>
      <c r="AM27" s="543" t="str">
        <f t="shared" si="35"/>
        <v/>
      </c>
      <c r="AN27" s="543" t="str">
        <f t="shared" si="5"/>
        <v/>
      </c>
      <c r="AO27" s="543" t="str">
        <f t="shared" si="6"/>
        <v/>
      </c>
      <c r="AP27" s="539" t="b">
        <f t="shared" si="7"/>
        <v>1</v>
      </c>
      <c r="AQ27" s="540">
        <f t="shared" si="29"/>
        <v>4</v>
      </c>
      <c r="AR27" s="141" t="str">
        <f t="shared" si="8"/>
        <v/>
      </c>
      <c r="AS27" s="142">
        <f t="shared" si="30"/>
        <v>0</v>
      </c>
      <c r="AT27" s="141" t="str">
        <f t="shared" si="9"/>
        <v/>
      </c>
      <c r="AU27" s="541">
        <f t="shared" si="10"/>
        <v>0</v>
      </c>
      <c r="AV27" s="144" t="str">
        <f t="shared" si="11"/>
        <v/>
      </c>
      <c r="AW27" s="541" t="b">
        <f t="shared" si="12"/>
        <v>0</v>
      </c>
      <c r="AX27" s="542" t="b">
        <f t="shared" si="13"/>
        <v>1</v>
      </c>
      <c r="AY27" s="541" t="b">
        <f t="shared" si="14"/>
        <v>0</v>
      </c>
      <c r="AZ27" s="542" t="b">
        <f t="shared" si="15"/>
        <v>0</v>
      </c>
      <c r="BA27" s="539" t="b">
        <f t="shared" si="16"/>
        <v>0</v>
      </c>
      <c r="BB27" s="539" t="b">
        <f t="shared" si="17"/>
        <v>0</v>
      </c>
      <c r="BC27" s="541" t="b">
        <f t="shared" si="18"/>
        <v>0</v>
      </c>
      <c r="BD27" s="543" t="b">
        <f t="shared" si="31"/>
        <v>0</v>
      </c>
      <c r="BE27" s="542" t="b">
        <f t="shared" si="37"/>
        <v>0</v>
      </c>
      <c r="BF27" s="544" t="b">
        <f t="shared" si="20"/>
        <v>0</v>
      </c>
      <c r="BG27" s="539" t="b">
        <f t="shared" si="38"/>
        <v>1</v>
      </c>
      <c r="BH27" s="539">
        <f t="shared" si="32"/>
        <v>1</v>
      </c>
      <c r="BI27" s="539">
        <f t="shared" si="22"/>
        <v>2</v>
      </c>
      <c r="BJ27" s="539" t="str">
        <f t="shared" si="23"/>
        <v>2*</v>
      </c>
      <c r="BK27" s="539">
        <f t="shared" si="24"/>
        <v>3</v>
      </c>
      <c r="BL27" s="545">
        <f t="shared" si="33"/>
        <v>1</v>
      </c>
      <c r="BM27" s="539">
        <f t="shared" si="25"/>
        <v>2</v>
      </c>
      <c r="BN27" s="539">
        <f t="shared" si="26"/>
        <v>3</v>
      </c>
      <c r="BO27" s="1205"/>
      <c r="BP27" s="558" t="s">
        <v>365</v>
      </c>
      <c r="BQ27" s="165">
        <f t="shared" si="36"/>
        <v>0.3</v>
      </c>
      <c r="BR27" s="166">
        <f t="shared" si="36"/>
        <v>0.6</v>
      </c>
      <c r="BS27" s="166">
        <f t="shared" si="36"/>
        <v>0.9</v>
      </c>
      <c r="BT27" s="166">
        <f t="shared" si="36"/>
        <v>0.95</v>
      </c>
      <c r="BU27" s="167">
        <f t="shared" si="36"/>
        <v>1</v>
      </c>
    </row>
    <row r="28" spans="2:73" s="504" customFormat="1" ht="12.95" customHeight="1" x14ac:dyDescent="0.2">
      <c r="B28" s="548">
        <f>IF(ISNA(Z28),"",IF(OR(Z28=1,Z28=2),"    ",MAX($B$8:B27)+1))</f>
        <v>17</v>
      </c>
      <c r="C28" s="1202" t="str">
        <f t="shared" si="0"/>
        <v xml:space="preserve">      - Pitch (Altitude) Captures (4.5%)</v>
      </c>
      <c r="D28" s="1202"/>
      <c r="E28" s="1202"/>
      <c r="F28" s="1203"/>
      <c r="G28" s="534">
        <f t="shared" si="1"/>
        <v>1</v>
      </c>
      <c r="H28" s="535" t="str">
        <f t="shared" si="2"/>
        <v>2*</v>
      </c>
      <c r="I28" s="549">
        <f t="shared" si="2"/>
        <v>3</v>
      </c>
      <c r="J28" s="554"/>
      <c r="K28" s="551"/>
      <c r="L28" s="1211"/>
      <c r="M28" s="1212"/>
      <c r="N28" s="1212"/>
      <c r="O28" s="1212"/>
      <c r="P28" s="1212"/>
      <c r="Q28" s="1212"/>
      <c r="R28" s="1213"/>
      <c r="T28" s="500">
        <v>21</v>
      </c>
      <c r="U28" s="490" t="s">
        <v>770</v>
      </c>
      <c r="V28" s="539">
        <v>1</v>
      </c>
      <c r="W28" s="539">
        <v>4</v>
      </c>
      <c r="X28" s="539" t="s">
        <v>340</v>
      </c>
      <c r="Y28" s="539" t="s">
        <v>340</v>
      </c>
      <c r="Z28" s="543" t="s">
        <v>340</v>
      </c>
      <c r="AA28" s="543">
        <v>2</v>
      </c>
      <c r="AB28" s="543">
        <v>1</v>
      </c>
      <c r="AC28" s="539">
        <v>3</v>
      </c>
      <c r="AD28" s="539">
        <v>2</v>
      </c>
      <c r="AE28" s="539">
        <v>1</v>
      </c>
      <c r="AF28" s="539" t="b">
        <v>1</v>
      </c>
      <c r="AG28" s="539">
        <f t="shared" si="3"/>
        <v>2</v>
      </c>
      <c r="AH28" s="539">
        <f t="shared" si="4"/>
        <v>1</v>
      </c>
      <c r="AI28" s="138">
        <f>IF(NOT(OR(Z28=1,Z28=2)),IF(AQ28&gt;0,$AR$44*AQ28/SUMIF($AQ$8:$AQ$39,"&gt;0"),IF(AU28&gt;0,$AV$44*AU28/SUMIF($AU$8:$AU$39,"&gt;0"),IF(AS28&gt;0,$AT$44*AS28/SUMIF($AS$8:$AS$39,"&gt;0"),""))),IF(SUMIF(AJ29:$AJ$39,"=" &amp; AJ28,AI29:$AI$39)=0,"",SUMIF(AJ29:$AJ$39,"=" &amp; AJ28,AI29:$AI$39)))</f>
        <v>4.4999999999999998E-2</v>
      </c>
      <c r="AJ28" s="139">
        <f t="shared" si="34"/>
        <v>3</v>
      </c>
      <c r="AK28" s="539">
        <f t="shared" si="27"/>
        <v>2</v>
      </c>
      <c r="AL28" s="543" t="str">
        <f t="shared" si="28"/>
        <v/>
      </c>
      <c r="AM28" s="543" t="str">
        <f t="shared" si="35"/>
        <v/>
      </c>
      <c r="AN28" s="543" t="str">
        <f t="shared" si="5"/>
        <v/>
      </c>
      <c r="AO28" s="543" t="str">
        <f t="shared" si="6"/>
        <v/>
      </c>
      <c r="AP28" s="539" t="b">
        <f t="shared" si="7"/>
        <v>1</v>
      </c>
      <c r="AQ28" s="540">
        <f t="shared" si="29"/>
        <v>4</v>
      </c>
      <c r="AR28" s="141" t="str">
        <f t="shared" si="8"/>
        <v/>
      </c>
      <c r="AS28" s="142">
        <f t="shared" si="30"/>
        <v>0</v>
      </c>
      <c r="AT28" s="141" t="str">
        <f t="shared" si="9"/>
        <v/>
      </c>
      <c r="AU28" s="541">
        <f t="shared" si="10"/>
        <v>0</v>
      </c>
      <c r="AV28" s="144" t="str">
        <f t="shared" si="11"/>
        <v/>
      </c>
      <c r="AW28" s="541" t="b">
        <f t="shared" si="12"/>
        <v>0</v>
      </c>
      <c r="AX28" s="542" t="b">
        <f t="shared" si="13"/>
        <v>1</v>
      </c>
      <c r="AY28" s="541" t="b">
        <f t="shared" si="14"/>
        <v>0</v>
      </c>
      <c r="AZ28" s="542" t="b">
        <f t="shared" si="15"/>
        <v>0</v>
      </c>
      <c r="BA28" s="539" t="b">
        <f t="shared" si="16"/>
        <v>0</v>
      </c>
      <c r="BB28" s="539" t="b">
        <f t="shared" si="17"/>
        <v>0</v>
      </c>
      <c r="BC28" s="541" t="b">
        <f t="shared" si="18"/>
        <v>0</v>
      </c>
      <c r="BD28" s="543" t="b">
        <f t="shared" si="31"/>
        <v>0</v>
      </c>
      <c r="BE28" s="542" t="b">
        <f t="shared" si="37"/>
        <v>0</v>
      </c>
      <c r="BF28" s="544" t="b">
        <f t="shared" si="20"/>
        <v>0</v>
      </c>
      <c r="BG28" s="539" t="b">
        <f t="shared" si="38"/>
        <v>1</v>
      </c>
      <c r="BH28" s="539">
        <f t="shared" si="32"/>
        <v>1</v>
      </c>
      <c r="BI28" s="539">
        <f t="shared" si="22"/>
        <v>2</v>
      </c>
      <c r="BJ28" s="539" t="str">
        <f t="shared" si="23"/>
        <v>2*</v>
      </c>
      <c r="BK28" s="539">
        <f t="shared" si="24"/>
        <v>3</v>
      </c>
      <c r="BL28" s="545">
        <f t="shared" si="33"/>
        <v>1</v>
      </c>
      <c r="BM28" s="539">
        <f t="shared" si="25"/>
        <v>2</v>
      </c>
      <c r="BN28" s="539">
        <f t="shared" si="26"/>
        <v>3</v>
      </c>
      <c r="BO28" s="1205"/>
      <c r="BP28" s="558" t="s">
        <v>366</v>
      </c>
      <c r="BQ28" s="165">
        <f t="shared" si="36"/>
        <v>0.3</v>
      </c>
      <c r="BR28" s="166">
        <f t="shared" si="36"/>
        <v>0.6</v>
      </c>
      <c r="BS28" s="166">
        <f t="shared" si="36"/>
        <v>0.7</v>
      </c>
      <c r="BT28" s="166">
        <f t="shared" si="36"/>
        <v>0.9</v>
      </c>
      <c r="BU28" s="167">
        <f t="shared" si="36"/>
        <v>1</v>
      </c>
    </row>
    <row r="29" spans="2:73" s="504" customFormat="1" ht="12.95" customHeight="1" x14ac:dyDescent="0.2">
      <c r="B29" s="548">
        <f>IF(ISNA(Z29),"",IF(OR(Z29=1,Z29=2),"    ",MAX($B$8:B28)+1))</f>
        <v>18</v>
      </c>
      <c r="C29" s="1202" t="str">
        <f t="shared" si="0"/>
        <v xml:space="preserve">      - Propeller Effects (3.4%)</v>
      </c>
      <c r="D29" s="1202"/>
      <c r="E29" s="1202"/>
      <c r="F29" s="1203"/>
      <c r="G29" s="534">
        <f t="shared" si="1"/>
        <v>1</v>
      </c>
      <c r="H29" s="535" t="str">
        <f t="shared" si="2"/>
        <v>1</v>
      </c>
      <c r="I29" s="549">
        <f t="shared" si="2"/>
        <v>3</v>
      </c>
      <c r="J29" s="554"/>
      <c r="K29" s="551"/>
      <c r="L29" s="1211"/>
      <c r="M29" s="1212"/>
      <c r="N29" s="1212"/>
      <c r="O29" s="1212"/>
      <c r="P29" s="1212"/>
      <c r="Q29" s="1212"/>
      <c r="R29" s="1213"/>
      <c r="T29" s="500">
        <v>22</v>
      </c>
      <c r="U29" s="490" t="s">
        <v>771</v>
      </c>
      <c r="V29" s="539">
        <v>1</v>
      </c>
      <c r="W29" s="539">
        <v>3</v>
      </c>
      <c r="X29" s="539" t="s">
        <v>340</v>
      </c>
      <c r="Y29" s="539" t="s">
        <v>340</v>
      </c>
      <c r="Z29" s="543" t="s">
        <v>340</v>
      </c>
      <c r="AA29" s="543">
        <v>2</v>
      </c>
      <c r="AB29" s="543">
        <v>1</v>
      </c>
      <c r="AC29" s="539">
        <v>3</v>
      </c>
      <c r="AD29" s="539">
        <v>1</v>
      </c>
      <c r="AE29" s="539">
        <v>0</v>
      </c>
      <c r="AF29" s="539" t="b">
        <v>1</v>
      </c>
      <c r="AG29" s="539">
        <f t="shared" si="3"/>
        <v>1</v>
      </c>
      <c r="AH29" s="539">
        <f t="shared" si="4"/>
        <v>0</v>
      </c>
      <c r="AI29" s="138">
        <f>IF(NOT(OR(Z29=1,Z29=2)),IF(AQ29&gt;0,$AR$44*AQ29/SUMIF($AQ$8:$AQ$39,"&gt;0"),IF(AU29&gt;0,$AV$44*AU29/SUMIF($AU$8:$AU$39,"&gt;0"),IF(AS29&gt;0,$AT$44*AS29/SUMIF($AS$8:$AS$39,"&gt;0"),""))),IF(SUMIF(AJ30:$AJ$39,"=" &amp; AJ29,AI30:$AI$39)=0,"",SUMIF(AJ30:$AJ$39,"=" &amp; AJ29,AI30:$AI$39)))</f>
        <v>3.3750000000000002E-2</v>
      </c>
      <c r="AJ29" s="139">
        <f t="shared" si="34"/>
        <v>3</v>
      </c>
      <c r="AK29" s="539">
        <f t="shared" si="27"/>
        <v>1</v>
      </c>
      <c r="AL29" s="543" t="str">
        <f t="shared" si="28"/>
        <v/>
      </c>
      <c r="AM29" s="543" t="str">
        <f t="shared" si="35"/>
        <v/>
      </c>
      <c r="AN29" s="543" t="str">
        <f t="shared" si="5"/>
        <v/>
      </c>
      <c r="AO29" s="543" t="str">
        <f t="shared" si="6"/>
        <v/>
      </c>
      <c r="AP29" s="539" t="b">
        <f t="shared" si="7"/>
        <v>1</v>
      </c>
      <c r="AQ29" s="540">
        <f t="shared" si="29"/>
        <v>3</v>
      </c>
      <c r="AR29" s="141" t="str">
        <f t="shared" si="8"/>
        <v/>
      </c>
      <c r="AS29" s="142">
        <f t="shared" si="30"/>
        <v>0</v>
      </c>
      <c r="AT29" s="141" t="str">
        <f t="shared" si="9"/>
        <v/>
      </c>
      <c r="AU29" s="541">
        <f t="shared" si="10"/>
        <v>0</v>
      </c>
      <c r="AV29" s="144" t="str">
        <f t="shared" si="11"/>
        <v/>
      </c>
      <c r="AW29" s="541" t="b">
        <f t="shared" si="12"/>
        <v>0</v>
      </c>
      <c r="AX29" s="542" t="b">
        <f t="shared" si="13"/>
        <v>1</v>
      </c>
      <c r="AY29" s="541" t="b">
        <f t="shared" si="14"/>
        <v>0</v>
      </c>
      <c r="AZ29" s="542" t="b">
        <f t="shared" si="15"/>
        <v>0</v>
      </c>
      <c r="BA29" s="539" t="b">
        <f t="shared" si="16"/>
        <v>0</v>
      </c>
      <c r="BB29" s="539" t="b">
        <f t="shared" si="17"/>
        <v>0</v>
      </c>
      <c r="BC29" s="541" t="b">
        <f t="shared" si="18"/>
        <v>0</v>
      </c>
      <c r="BD29" s="543" t="b">
        <f t="shared" si="31"/>
        <v>0</v>
      </c>
      <c r="BE29" s="542" t="b">
        <f t="shared" si="37"/>
        <v>0</v>
      </c>
      <c r="BF29" s="544" t="b">
        <f t="shared" si="20"/>
        <v>0</v>
      </c>
      <c r="BG29" s="539" t="b">
        <f t="shared" si="38"/>
        <v>1</v>
      </c>
      <c r="BH29" s="539">
        <f t="shared" si="32"/>
        <v>1</v>
      </c>
      <c r="BI29" s="539">
        <f t="shared" si="22"/>
        <v>1</v>
      </c>
      <c r="BJ29" s="539" t="str">
        <f t="shared" si="23"/>
        <v>1</v>
      </c>
      <c r="BK29" s="539">
        <f t="shared" si="24"/>
        <v>3</v>
      </c>
      <c r="BL29" s="545">
        <f t="shared" si="33"/>
        <v>1</v>
      </c>
      <c r="BM29" s="539">
        <f t="shared" si="25"/>
        <v>1</v>
      </c>
      <c r="BN29" s="539">
        <f t="shared" si="26"/>
        <v>3</v>
      </c>
      <c r="BO29" s="1205"/>
      <c r="BP29" s="558" t="s">
        <v>367</v>
      </c>
      <c r="BQ29" s="168">
        <f t="shared" si="36"/>
        <v>0</v>
      </c>
      <c r="BR29" s="169">
        <f t="shared" si="36"/>
        <v>0.3</v>
      </c>
      <c r="BS29" s="169">
        <f t="shared" si="36"/>
        <v>0.6</v>
      </c>
      <c r="BT29" s="169">
        <f t="shared" si="36"/>
        <v>0.9</v>
      </c>
      <c r="BU29" s="170">
        <f t="shared" si="36"/>
        <v>1</v>
      </c>
    </row>
    <row r="30" spans="2:73" s="504" customFormat="1" ht="12.95" customHeight="1" x14ac:dyDescent="0.2">
      <c r="B30" s="548">
        <f>IF(ISNA(Z30),"",IF(OR(Z30=1,Z30=2),"    ",MAX($B$8:B29)+1))</f>
        <v>19</v>
      </c>
      <c r="C30" s="1202" t="str">
        <f t="shared" si="0"/>
        <v xml:space="preserve">      - ILS (RNAV) CHR Task (5.6%)</v>
      </c>
      <c r="D30" s="1202"/>
      <c r="E30" s="1202"/>
      <c r="F30" s="1203"/>
      <c r="G30" s="534">
        <f t="shared" si="1"/>
        <v>1</v>
      </c>
      <c r="H30" s="535" t="str">
        <f t="shared" si="2"/>
        <v>2*</v>
      </c>
      <c r="I30" s="549">
        <f t="shared" si="2"/>
        <v>3</v>
      </c>
      <c r="J30" s="554"/>
      <c r="K30" s="551"/>
      <c r="L30" s="1211"/>
      <c r="M30" s="1212"/>
      <c r="N30" s="1212"/>
      <c r="O30" s="1212"/>
      <c r="P30" s="1212"/>
      <c r="Q30" s="1212"/>
      <c r="R30" s="1213"/>
      <c r="T30" s="500">
        <v>23</v>
      </c>
      <c r="U30" s="490" t="s">
        <v>772</v>
      </c>
      <c r="V30" s="539">
        <v>1</v>
      </c>
      <c r="W30" s="539">
        <v>5</v>
      </c>
      <c r="X30" s="539" t="s">
        <v>340</v>
      </c>
      <c r="Y30" s="539" t="s">
        <v>340</v>
      </c>
      <c r="Z30" s="543" t="s">
        <v>340</v>
      </c>
      <c r="AA30" s="543">
        <v>2</v>
      </c>
      <c r="AB30" s="543">
        <v>1</v>
      </c>
      <c r="AC30" s="539">
        <v>3</v>
      </c>
      <c r="AD30" s="539">
        <v>2</v>
      </c>
      <c r="AE30" s="539">
        <v>1</v>
      </c>
      <c r="AF30" s="539" t="b">
        <v>1</v>
      </c>
      <c r="AG30" s="539">
        <f t="shared" si="3"/>
        <v>2</v>
      </c>
      <c r="AH30" s="539">
        <f t="shared" si="4"/>
        <v>1</v>
      </c>
      <c r="AI30" s="138">
        <f>IF(NOT(OR(Z30=1,Z30=2)),IF(AQ30&gt;0,$AR$44*AQ30/SUMIF($AQ$8:$AQ$39,"&gt;0"),IF(AU30&gt;0,$AV$44*AU30/SUMIF($AU$8:$AU$39,"&gt;0"),IF(AS30&gt;0,$AT$44*AS30/SUMIF($AS$8:$AS$39,"&gt;0"),""))),IF(SUMIF(AJ31:$AJ$39,"=" &amp; AJ30,AI31:$AI$39)=0,"",SUMIF(AJ31:$AJ$39,"=" &amp; AJ30,AI31:$AI$39)))</f>
        <v>5.6250000000000001E-2</v>
      </c>
      <c r="AJ30" s="139">
        <f t="shared" si="34"/>
        <v>3</v>
      </c>
      <c r="AK30" s="539">
        <f t="shared" si="27"/>
        <v>2</v>
      </c>
      <c r="AL30" s="543" t="str">
        <f t="shared" si="28"/>
        <v/>
      </c>
      <c r="AM30" s="543" t="str">
        <f t="shared" si="35"/>
        <v/>
      </c>
      <c r="AN30" s="543" t="str">
        <f t="shared" si="5"/>
        <v/>
      </c>
      <c r="AO30" s="543" t="str">
        <f t="shared" si="6"/>
        <v/>
      </c>
      <c r="AP30" s="539" t="b">
        <f t="shared" si="7"/>
        <v>1</v>
      </c>
      <c r="AQ30" s="540">
        <f t="shared" si="29"/>
        <v>5</v>
      </c>
      <c r="AR30" s="141" t="str">
        <f t="shared" si="8"/>
        <v/>
      </c>
      <c r="AS30" s="142">
        <f t="shared" si="30"/>
        <v>0</v>
      </c>
      <c r="AT30" s="141" t="str">
        <f t="shared" si="9"/>
        <v/>
      </c>
      <c r="AU30" s="541">
        <f t="shared" si="10"/>
        <v>0</v>
      </c>
      <c r="AV30" s="144" t="str">
        <f t="shared" si="11"/>
        <v/>
      </c>
      <c r="AW30" s="541" t="b">
        <f t="shared" si="12"/>
        <v>0</v>
      </c>
      <c r="AX30" s="542" t="b">
        <f t="shared" si="13"/>
        <v>1</v>
      </c>
      <c r="AY30" s="541" t="b">
        <f t="shared" si="14"/>
        <v>0</v>
      </c>
      <c r="AZ30" s="542" t="b">
        <f t="shared" si="15"/>
        <v>0</v>
      </c>
      <c r="BA30" s="539" t="b">
        <f t="shared" si="16"/>
        <v>0</v>
      </c>
      <c r="BB30" s="539" t="b">
        <f t="shared" si="17"/>
        <v>0</v>
      </c>
      <c r="BC30" s="541" t="b">
        <f t="shared" si="18"/>
        <v>0</v>
      </c>
      <c r="BD30" s="543" t="b">
        <f t="shared" si="31"/>
        <v>0</v>
      </c>
      <c r="BE30" s="542" t="b">
        <f t="shared" si="37"/>
        <v>0</v>
      </c>
      <c r="BF30" s="544" t="b">
        <f t="shared" si="20"/>
        <v>0</v>
      </c>
      <c r="BG30" s="539" t="b">
        <f t="shared" si="38"/>
        <v>1</v>
      </c>
      <c r="BH30" s="539">
        <f t="shared" si="32"/>
        <v>1</v>
      </c>
      <c r="BI30" s="539">
        <f t="shared" si="22"/>
        <v>2</v>
      </c>
      <c r="BJ30" s="539" t="str">
        <f t="shared" si="23"/>
        <v>2*</v>
      </c>
      <c r="BK30" s="539">
        <f t="shared" si="24"/>
        <v>3</v>
      </c>
      <c r="BL30" s="545">
        <f t="shared" si="33"/>
        <v>1</v>
      </c>
      <c r="BM30" s="539">
        <f t="shared" si="25"/>
        <v>2</v>
      </c>
      <c r="BN30" s="539">
        <f t="shared" si="26"/>
        <v>3</v>
      </c>
      <c r="BO30" s="492"/>
    </row>
    <row r="31" spans="2:73" s="504" customFormat="1" ht="12.95" customHeight="1" x14ac:dyDescent="0.2">
      <c r="B31" s="548">
        <f>IF(ISNA(Z31),"",IF(OR(Z31=1,Z31=2),"    ",MAX($B$8:B30)+1))</f>
        <v>20</v>
      </c>
      <c r="C31" s="1202" t="str">
        <f t="shared" si="0"/>
        <v xml:space="preserve">      - Flare / Landing (4.5%)</v>
      </c>
      <c r="D31" s="1202"/>
      <c r="E31" s="1202"/>
      <c r="F31" s="1203"/>
      <c r="G31" s="534">
        <f t="shared" si="1"/>
        <v>1</v>
      </c>
      <c r="H31" s="535" t="str">
        <f t="shared" si="2"/>
        <v>2*</v>
      </c>
      <c r="I31" s="549">
        <f t="shared" si="2"/>
        <v>3</v>
      </c>
      <c r="J31" s="554"/>
      <c r="K31" s="551"/>
      <c r="L31" s="1211"/>
      <c r="M31" s="1212"/>
      <c r="N31" s="1212"/>
      <c r="O31" s="1212"/>
      <c r="P31" s="1212"/>
      <c r="Q31" s="1212"/>
      <c r="R31" s="1213"/>
      <c r="T31" s="500">
        <v>24</v>
      </c>
      <c r="U31" s="490" t="s">
        <v>773</v>
      </c>
      <c r="V31" s="539">
        <v>1</v>
      </c>
      <c r="W31" s="539">
        <v>4</v>
      </c>
      <c r="X31" s="539" t="s">
        <v>340</v>
      </c>
      <c r="Y31" s="539" t="s">
        <v>340</v>
      </c>
      <c r="Z31" s="543" t="s">
        <v>340</v>
      </c>
      <c r="AA31" s="543">
        <v>2</v>
      </c>
      <c r="AB31" s="543">
        <v>1</v>
      </c>
      <c r="AC31" s="539">
        <v>3</v>
      </c>
      <c r="AD31" s="539">
        <v>2</v>
      </c>
      <c r="AE31" s="539">
        <v>1</v>
      </c>
      <c r="AF31" s="539" t="b">
        <v>1</v>
      </c>
      <c r="AG31" s="539">
        <f t="shared" si="3"/>
        <v>2</v>
      </c>
      <c r="AH31" s="539">
        <f t="shared" si="4"/>
        <v>1</v>
      </c>
      <c r="AI31" s="138">
        <f>IF(NOT(OR(Z31=1,Z31=2)),IF(AQ31&gt;0,$AR$44*AQ31/SUMIF($AQ$8:$AQ$39,"&gt;0"),IF(AU31&gt;0,$AV$44*AU31/SUMIF($AU$8:$AU$39,"&gt;0"),IF(AS31&gt;0,$AT$44*AS31/SUMIF($AS$8:$AS$39,"&gt;0"),""))),IF(SUMIF(AJ32:$AJ$39,"=" &amp; AJ31,AI32:$AI$39)=0,"",SUMIF(AJ32:$AJ$39,"=" &amp; AJ31,AI32:$AI$39)))</f>
        <v>4.4999999999999998E-2</v>
      </c>
      <c r="AJ31" s="139">
        <f t="shared" si="34"/>
        <v>3</v>
      </c>
      <c r="AK31" s="539">
        <f t="shared" si="27"/>
        <v>2</v>
      </c>
      <c r="AL31" s="543" t="str">
        <f t="shared" si="28"/>
        <v/>
      </c>
      <c r="AM31" s="543" t="str">
        <f t="shared" si="35"/>
        <v/>
      </c>
      <c r="AN31" s="543" t="str">
        <f t="shared" si="5"/>
        <v/>
      </c>
      <c r="AO31" s="543" t="str">
        <f t="shared" si="6"/>
        <v/>
      </c>
      <c r="AP31" s="539" t="b">
        <f t="shared" si="7"/>
        <v>1</v>
      </c>
      <c r="AQ31" s="540">
        <f t="shared" si="29"/>
        <v>4</v>
      </c>
      <c r="AR31" s="141" t="str">
        <f t="shared" si="8"/>
        <v/>
      </c>
      <c r="AS31" s="142">
        <f t="shared" si="30"/>
        <v>0</v>
      </c>
      <c r="AT31" s="141" t="str">
        <f t="shared" si="9"/>
        <v/>
      </c>
      <c r="AU31" s="541">
        <f t="shared" si="10"/>
        <v>0</v>
      </c>
      <c r="AV31" s="144" t="str">
        <f t="shared" si="11"/>
        <v/>
      </c>
      <c r="AW31" s="541" t="b">
        <f t="shared" si="12"/>
        <v>0</v>
      </c>
      <c r="AX31" s="542" t="b">
        <f t="shared" si="13"/>
        <v>1</v>
      </c>
      <c r="AY31" s="541" t="b">
        <f t="shared" si="14"/>
        <v>0</v>
      </c>
      <c r="AZ31" s="542" t="b">
        <f t="shared" si="15"/>
        <v>0</v>
      </c>
      <c r="BA31" s="539" t="b">
        <f t="shared" si="16"/>
        <v>0</v>
      </c>
      <c r="BB31" s="539" t="b">
        <f t="shared" si="17"/>
        <v>0</v>
      </c>
      <c r="BC31" s="541" t="b">
        <f t="shared" si="18"/>
        <v>0</v>
      </c>
      <c r="BD31" s="543" t="b">
        <f>IF(OR(ISNA($Z31),ISNUMBER($Z31),NOT(ISNUMBER(K31))),FALSE,OR(NOT(ISNUMBER(J31)),J31=0,AND(J31=0,K31&lt;&gt;0)))</f>
        <v>0</v>
      </c>
      <c r="BE31" s="542" t="b">
        <f t="shared" si="37"/>
        <v>0</v>
      </c>
      <c r="BF31" s="544" t="b">
        <f>IF(OR(ISNA($Z31),H31&lt;&gt;"NG"),FALSE,IF(AND(J31="NA",K31&lt;&gt;""),TRUE,FALSE))</f>
        <v>0</v>
      </c>
      <c r="BG31" s="539" t="b">
        <f t="shared" si="38"/>
        <v>1</v>
      </c>
      <c r="BH31" s="539">
        <f t="shared" si="32"/>
        <v>1</v>
      </c>
      <c r="BI31" s="539">
        <f t="shared" si="22"/>
        <v>2</v>
      </c>
      <c r="BJ31" s="539" t="str">
        <f t="shared" si="23"/>
        <v>2*</v>
      </c>
      <c r="BK31" s="539">
        <f t="shared" si="24"/>
        <v>3</v>
      </c>
      <c r="BL31" s="545">
        <f t="shared" si="33"/>
        <v>1</v>
      </c>
      <c r="BM31" s="539">
        <f t="shared" si="25"/>
        <v>2</v>
      </c>
      <c r="BN31" s="539">
        <f t="shared" si="26"/>
        <v>3</v>
      </c>
      <c r="BO31" s="552" t="s">
        <v>368</v>
      </c>
      <c r="BP31" s="559" t="s">
        <v>369</v>
      </c>
    </row>
    <row r="32" spans="2:73" s="504" customFormat="1" ht="12.95" customHeight="1" x14ac:dyDescent="0.2">
      <c r="B32" s="548" t="str">
        <f>IF(ISNA(Z32),"",IF(OR(Z32=1,Z32=2),"    ",MAX($B$8:B31)+1))</f>
        <v xml:space="preserve">    </v>
      </c>
      <c r="C32" s="1202" t="str">
        <f t="shared" si="0"/>
        <v>Debriefing (19.1%)</v>
      </c>
      <c r="D32" s="1202"/>
      <c r="E32" s="1202"/>
      <c r="F32" s="1203"/>
      <c r="G32" s="534" t="str">
        <f t="shared" si="1"/>
        <v/>
      </c>
      <c r="H32" s="535" t="str">
        <f t="shared" si="2"/>
        <v/>
      </c>
      <c r="I32" s="549" t="str">
        <f t="shared" si="2"/>
        <v/>
      </c>
      <c r="J32" s="555"/>
      <c r="K32" s="556"/>
      <c r="L32" s="1211"/>
      <c r="M32" s="1212"/>
      <c r="N32" s="1212"/>
      <c r="O32" s="1212"/>
      <c r="P32" s="1212"/>
      <c r="Q32" s="1212"/>
      <c r="R32" s="1213"/>
      <c r="T32" s="500">
        <v>25</v>
      </c>
      <c r="U32" s="490" t="s">
        <v>547</v>
      </c>
      <c r="V32" s="539" t="s">
        <v>340</v>
      </c>
      <c r="W32" s="539" t="s">
        <v>340</v>
      </c>
      <c r="X32" s="539" t="s">
        <v>340</v>
      </c>
      <c r="Y32" s="539" t="s">
        <v>340</v>
      </c>
      <c r="Z32" s="543">
        <v>2</v>
      </c>
      <c r="AA32" s="543">
        <v>1</v>
      </c>
      <c r="AB32" s="543">
        <v>1</v>
      </c>
      <c r="AC32" s="539" t="s">
        <v>340</v>
      </c>
      <c r="AD32" s="539" t="s">
        <v>340</v>
      </c>
      <c r="AE32" s="539" t="s">
        <v>340</v>
      </c>
      <c r="AF32" s="539" t="s">
        <v>340</v>
      </c>
      <c r="AG32" s="539" t="str">
        <f t="shared" si="3"/>
        <v/>
      </c>
      <c r="AH32" s="539" t="str">
        <f t="shared" si="4"/>
        <v/>
      </c>
      <c r="AI32" s="138">
        <f>IF(NOT(OR(Z32=1,Z32=2)),IF(AQ32&gt;0,$AR$44*AQ32/SUMIF($AQ$8:$AQ$39,"&gt;0"),IF(AU32&gt;0,$AV$44*AU32/SUMIF($AU$8:$AU$39,"&gt;0"),IF(AS32&gt;0,$AT$44*AS32/SUMIF($AS$8:$AS$39,"&gt;0"),""))),IF(SUMIF(AJ33:$AJ$39,"=" &amp; AJ32,AI33:$AI$39)=0,"",SUMIF(AJ33:$AJ$39,"=" &amp; AJ32,AI33:$AI$39)))</f>
        <v>0.19124999999999998</v>
      </c>
      <c r="AJ32" s="139">
        <f t="shared" si="34"/>
        <v>4</v>
      </c>
      <c r="AK32" s="539" t="str">
        <f t="shared" si="27"/>
        <v/>
      </c>
      <c r="AL32" s="543" t="str">
        <f t="shared" si="28"/>
        <v/>
      </c>
      <c r="AM32" s="543" t="str">
        <f t="shared" si="35"/>
        <v/>
      </c>
      <c r="AN32" s="543" t="str">
        <f t="shared" si="5"/>
        <v/>
      </c>
      <c r="AO32" s="543" t="str">
        <f t="shared" si="6"/>
        <v/>
      </c>
      <c r="AP32" s="539" t="str">
        <f t="shared" si="7"/>
        <v/>
      </c>
      <c r="AQ32" s="540">
        <f t="shared" si="29"/>
        <v>0</v>
      </c>
      <c r="AR32" s="141" t="str">
        <f t="shared" si="8"/>
        <v/>
      </c>
      <c r="AS32" s="142">
        <f t="shared" si="30"/>
        <v>0</v>
      </c>
      <c r="AT32" s="141" t="str">
        <f t="shared" si="9"/>
        <v/>
      </c>
      <c r="AU32" s="541">
        <f t="shared" si="10"/>
        <v>0</v>
      </c>
      <c r="AV32" s="144" t="str">
        <f t="shared" si="11"/>
        <v/>
      </c>
      <c r="AW32" s="541" t="b">
        <f t="shared" si="12"/>
        <v>0</v>
      </c>
      <c r="AX32" s="542" t="b">
        <f t="shared" si="13"/>
        <v>0</v>
      </c>
      <c r="AY32" s="541" t="b">
        <f t="shared" si="14"/>
        <v>0</v>
      </c>
      <c r="AZ32" s="542" t="b">
        <f t="shared" si="15"/>
        <v>0</v>
      </c>
      <c r="BA32" s="539" t="b">
        <f t="shared" si="16"/>
        <v>0</v>
      </c>
      <c r="BB32" s="539" t="b">
        <f t="shared" si="17"/>
        <v>0</v>
      </c>
      <c r="BC32" s="541" t="b">
        <f t="shared" si="18"/>
        <v>0</v>
      </c>
      <c r="BD32" s="543" t="b">
        <f t="shared" si="31"/>
        <v>0</v>
      </c>
      <c r="BE32" s="542" t="b">
        <f t="shared" si="37"/>
        <v>0</v>
      </c>
      <c r="BF32" s="544" t="b">
        <f t="shared" ref="BF32:BF39" si="39">IF(OR(ISNA($Z32),H32&lt;&gt;"NG"),FALSE,IF(AND(J32="NA",K32&lt;&gt;""),TRUE,FALSE))</f>
        <v>0</v>
      </c>
      <c r="BG32" s="539" t="b">
        <f t="shared" si="38"/>
        <v>0</v>
      </c>
      <c r="BH32" s="539" t="str">
        <f t="shared" si="32"/>
        <v/>
      </c>
      <c r="BI32" s="539" t="str">
        <f t="shared" si="22"/>
        <v/>
      </c>
      <c r="BJ32" s="539" t="str">
        <f t="shared" si="23"/>
        <v/>
      </c>
      <c r="BK32" s="539" t="str">
        <f t="shared" si="24"/>
        <v/>
      </c>
      <c r="BL32" s="545" t="str">
        <f t="shared" si="33"/>
        <v/>
      </c>
      <c r="BM32" s="539" t="str">
        <f t="shared" si="25"/>
        <v/>
      </c>
      <c r="BN32" s="539" t="str">
        <f t="shared" si="26"/>
        <v/>
      </c>
      <c r="BO32" s="552" t="s">
        <v>370</v>
      </c>
      <c r="BP32" s="559" t="s">
        <v>371</v>
      </c>
    </row>
    <row r="33" spans="2:73" s="504" customFormat="1" ht="12.95" customHeight="1" x14ac:dyDescent="0.2">
      <c r="B33" s="548">
        <f>IF(ISNA(Z33),"",IF(OR(Z33=1,Z33=2),"    ",MAX($B$8:B32)+1))</f>
        <v>21</v>
      </c>
      <c r="C33" s="1202" t="str">
        <f t="shared" si="0"/>
        <v xml:space="preserve">      - Review of Pilot Obs/Comm (5.6%)</v>
      </c>
      <c r="D33" s="1202"/>
      <c r="E33" s="1202"/>
      <c r="F33" s="1203"/>
      <c r="G33" s="534">
        <f t="shared" si="1"/>
        <v>1</v>
      </c>
      <c r="H33" s="535" t="str">
        <f t="shared" si="2"/>
        <v>2*</v>
      </c>
      <c r="I33" s="549">
        <f t="shared" si="2"/>
        <v>3</v>
      </c>
      <c r="J33" s="554"/>
      <c r="K33" s="551"/>
      <c r="L33" s="1211"/>
      <c r="M33" s="1212"/>
      <c r="N33" s="1212"/>
      <c r="O33" s="1212"/>
      <c r="P33" s="1212"/>
      <c r="Q33" s="1212"/>
      <c r="R33" s="1213"/>
      <c r="T33" s="500">
        <v>26</v>
      </c>
      <c r="U33" s="490" t="s">
        <v>548</v>
      </c>
      <c r="V33" s="539">
        <v>1</v>
      </c>
      <c r="W33" s="539">
        <v>5</v>
      </c>
      <c r="X33" s="539" t="s">
        <v>340</v>
      </c>
      <c r="Y33" s="539" t="s">
        <v>340</v>
      </c>
      <c r="Z33" s="543" t="s">
        <v>340</v>
      </c>
      <c r="AA33" s="543">
        <v>2</v>
      </c>
      <c r="AB33" s="543">
        <v>1</v>
      </c>
      <c r="AC33" s="539">
        <v>3</v>
      </c>
      <c r="AD33" s="539">
        <v>2</v>
      </c>
      <c r="AE33" s="539">
        <v>1</v>
      </c>
      <c r="AF33" s="539" t="b">
        <v>1</v>
      </c>
      <c r="AG33" s="539">
        <f t="shared" si="3"/>
        <v>2</v>
      </c>
      <c r="AH33" s="539">
        <f t="shared" si="4"/>
        <v>1</v>
      </c>
      <c r="AI33" s="138">
        <f>IF(NOT(OR(Z33=1,Z33=2)),IF(AQ33&gt;0,$AR$44*AQ33/SUMIF($AQ$8:$AQ$39,"&gt;0"),IF(AU33&gt;0,$AV$44*AU33/SUMIF($AU$8:$AU$39,"&gt;0"),IF(AS33&gt;0,$AT$44*AS33/SUMIF($AS$8:$AS$39,"&gt;0"),""))),IF(SUMIF(AJ34:$AJ$39,"=" &amp; AJ33,AI34:$AI$39)=0,"",SUMIF(AJ34:$AJ$39,"=" &amp; AJ33,AI34:$AI$39)))</f>
        <v>5.6250000000000001E-2</v>
      </c>
      <c r="AJ33" s="139">
        <f t="shared" si="34"/>
        <v>4</v>
      </c>
      <c r="AK33" s="539">
        <f t="shared" si="27"/>
        <v>2</v>
      </c>
      <c r="AL33" s="543" t="str">
        <f t="shared" si="28"/>
        <v/>
      </c>
      <c r="AM33" s="543" t="str">
        <f t="shared" si="35"/>
        <v/>
      </c>
      <c r="AN33" s="543" t="str">
        <f t="shared" si="5"/>
        <v/>
      </c>
      <c r="AO33" s="543" t="str">
        <f t="shared" si="6"/>
        <v/>
      </c>
      <c r="AP33" s="539" t="b">
        <f t="shared" si="7"/>
        <v>1</v>
      </c>
      <c r="AQ33" s="540">
        <f t="shared" si="29"/>
        <v>5</v>
      </c>
      <c r="AR33" s="141" t="str">
        <f t="shared" si="8"/>
        <v/>
      </c>
      <c r="AS33" s="142">
        <f t="shared" si="30"/>
        <v>0</v>
      </c>
      <c r="AT33" s="141" t="str">
        <f t="shared" si="9"/>
        <v/>
      </c>
      <c r="AU33" s="541">
        <f t="shared" si="10"/>
        <v>0</v>
      </c>
      <c r="AV33" s="144" t="str">
        <f t="shared" si="11"/>
        <v/>
      </c>
      <c r="AW33" s="541" t="b">
        <f t="shared" si="12"/>
        <v>0</v>
      </c>
      <c r="AX33" s="542" t="b">
        <f t="shared" si="13"/>
        <v>1</v>
      </c>
      <c r="AY33" s="541" t="b">
        <f t="shared" si="14"/>
        <v>0</v>
      </c>
      <c r="AZ33" s="542" t="b">
        <f t="shared" si="15"/>
        <v>0</v>
      </c>
      <c r="BA33" s="539" t="b">
        <f t="shared" si="16"/>
        <v>0</v>
      </c>
      <c r="BB33" s="539" t="b">
        <f t="shared" si="17"/>
        <v>0</v>
      </c>
      <c r="BC33" s="541" t="b">
        <f t="shared" si="18"/>
        <v>0</v>
      </c>
      <c r="BD33" s="543" t="b">
        <f t="shared" si="31"/>
        <v>0</v>
      </c>
      <c r="BE33" s="542" t="b">
        <f t="shared" si="37"/>
        <v>0</v>
      </c>
      <c r="BF33" s="544" t="b">
        <f t="shared" si="39"/>
        <v>0</v>
      </c>
      <c r="BG33" s="539" t="b">
        <f t="shared" si="38"/>
        <v>1</v>
      </c>
      <c r="BH33" s="539">
        <f t="shared" si="32"/>
        <v>1</v>
      </c>
      <c r="BI33" s="539">
        <f t="shared" si="22"/>
        <v>2</v>
      </c>
      <c r="BJ33" s="539" t="str">
        <f t="shared" si="23"/>
        <v>2*</v>
      </c>
      <c r="BK33" s="539">
        <f t="shared" si="24"/>
        <v>3</v>
      </c>
      <c r="BL33" s="545">
        <f t="shared" si="33"/>
        <v>1</v>
      </c>
      <c r="BM33" s="539">
        <f t="shared" si="25"/>
        <v>2</v>
      </c>
      <c r="BN33" s="539">
        <f t="shared" si="26"/>
        <v>3</v>
      </c>
      <c r="BO33" s="547" t="s">
        <v>372</v>
      </c>
      <c r="BP33" s="559"/>
      <c r="BQ33" s="559"/>
      <c r="BR33" s="559"/>
      <c r="BS33" s="559"/>
      <c r="BT33" s="559"/>
      <c r="BU33" s="559"/>
    </row>
    <row r="34" spans="2:73" s="504" customFormat="1" ht="12.95" customHeight="1" x14ac:dyDescent="0.2">
      <c r="B34" s="548">
        <f>IF(ISNA(Z34),"",IF(OR(Z34=1,Z34=2),"    ",MAX($B$8:B33)+1))</f>
        <v>22</v>
      </c>
      <c r="C34" s="1202" t="str">
        <f t="shared" si="0"/>
        <v xml:space="preserve">      - Review of Data Collected (5.6%)</v>
      </c>
      <c r="D34" s="1202"/>
      <c r="E34" s="1202"/>
      <c r="F34" s="1203"/>
      <c r="G34" s="534">
        <f t="shared" si="1"/>
        <v>1</v>
      </c>
      <c r="H34" s="535" t="str">
        <f t="shared" si="2"/>
        <v>2*</v>
      </c>
      <c r="I34" s="549">
        <f t="shared" si="2"/>
        <v>3</v>
      </c>
      <c r="J34" s="554"/>
      <c r="K34" s="551"/>
      <c r="L34" s="1211"/>
      <c r="M34" s="1212"/>
      <c r="N34" s="1212"/>
      <c r="O34" s="1212"/>
      <c r="P34" s="1212"/>
      <c r="Q34" s="1212"/>
      <c r="R34" s="1213"/>
      <c r="T34" s="500">
        <v>27</v>
      </c>
      <c r="U34" s="490" t="s">
        <v>549</v>
      </c>
      <c r="V34" s="539">
        <v>1</v>
      </c>
      <c r="W34" s="539">
        <v>5</v>
      </c>
      <c r="X34" s="539" t="s">
        <v>340</v>
      </c>
      <c r="Y34" s="539" t="s">
        <v>340</v>
      </c>
      <c r="Z34" s="543" t="s">
        <v>340</v>
      </c>
      <c r="AA34" s="543">
        <v>2</v>
      </c>
      <c r="AB34" s="543">
        <v>1</v>
      </c>
      <c r="AC34" s="539">
        <v>3</v>
      </c>
      <c r="AD34" s="539">
        <v>2</v>
      </c>
      <c r="AE34" s="539">
        <v>1</v>
      </c>
      <c r="AF34" s="539" t="b">
        <v>1</v>
      </c>
      <c r="AG34" s="539">
        <f t="shared" si="3"/>
        <v>2</v>
      </c>
      <c r="AH34" s="539">
        <f t="shared" si="4"/>
        <v>1</v>
      </c>
      <c r="AI34" s="138">
        <f>IF(NOT(OR(Z34=1,Z34=2)),IF(AQ34&gt;0,$AR$44*AQ34/SUMIF($AQ$8:$AQ$39,"&gt;0"),IF(AU34&gt;0,$AV$44*AU34/SUMIF($AU$8:$AU$39,"&gt;0"),IF(AS34&gt;0,$AT$44*AS34/SUMIF($AS$8:$AS$39,"&gt;0"),""))),IF(SUMIF(AJ35:$AJ$39,"=" &amp; AJ34,AI35:$AI$39)=0,"",SUMIF(AJ35:$AJ$39,"=" &amp; AJ34,AI35:$AI$39)))</f>
        <v>5.6250000000000001E-2</v>
      </c>
      <c r="AJ34" s="139">
        <f t="shared" si="34"/>
        <v>4</v>
      </c>
      <c r="AK34" s="539">
        <f t="shared" si="27"/>
        <v>2</v>
      </c>
      <c r="AL34" s="543" t="str">
        <f t="shared" si="28"/>
        <v/>
      </c>
      <c r="AM34" s="543" t="str">
        <f t="shared" si="35"/>
        <v/>
      </c>
      <c r="AN34" s="543" t="str">
        <f t="shared" si="5"/>
        <v/>
      </c>
      <c r="AO34" s="543" t="str">
        <f t="shared" si="6"/>
        <v/>
      </c>
      <c r="AP34" s="539" t="b">
        <f t="shared" si="7"/>
        <v>1</v>
      </c>
      <c r="AQ34" s="540">
        <f t="shared" si="29"/>
        <v>5</v>
      </c>
      <c r="AR34" s="141" t="str">
        <f t="shared" si="8"/>
        <v/>
      </c>
      <c r="AS34" s="142">
        <f t="shared" si="30"/>
        <v>0</v>
      </c>
      <c r="AT34" s="141" t="str">
        <f t="shared" si="9"/>
        <v/>
      </c>
      <c r="AU34" s="541">
        <f t="shared" si="10"/>
        <v>0</v>
      </c>
      <c r="AV34" s="144" t="str">
        <f t="shared" si="11"/>
        <v/>
      </c>
      <c r="AW34" s="541" t="b">
        <f t="shared" si="12"/>
        <v>0</v>
      </c>
      <c r="AX34" s="542" t="b">
        <f t="shared" si="13"/>
        <v>1</v>
      </c>
      <c r="AY34" s="541" t="b">
        <f t="shared" si="14"/>
        <v>0</v>
      </c>
      <c r="AZ34" s="542" t="b">
        <f t="shared" si="15"/>
        <v>0</v>
      </c>
      <c r="BA34" s="539" t="b">
        <f t="shared" si="16"/>
        <v>0</v>
      </c>
      <c r="BB34" s="539" t="b">
        <f t="shared" si="17"/>
        <v>0</v>
      </c>
      <c r="BC34" s="541" t="b">
        <f t="shared" si="18"/>
        <v>0</v>
      </c>
      <c r="BD34" s="543" t="b">
        <f t="shared" si="31"/>
        <v>0</v>
      </c>
      <c r="BE34" s="542" t="b">
        <f t="shared" si="37"/>
        <v>0</v>
      </c>
      <c r="BF34" s="544" t="b">
        <f t="shared" si="39"/>
        <v>0</v>
      </c>
      <c r="BG34" s="539" t="b">
        <f t="shared" si="38"/>
        <v>1</v>
      </c>
      <c r="BH34" s="539">
        <f t="shared" si="32"/>
        <v>1</v>
      </c>
      <c r="BI34" s="539">
        <f t="shared" si="22"/>
        <v>2</v>
      </c>
      <c r="BJ34" s="539" t="str">
        <f t="shared" si="23"/>
        <v>2*</v>
      </c>
      <c r="BK34" s="539">
        <f t="shared" si="24"/>
        <v>3</v>
      </c>
      <c r="BL34" s="545">
        <f t="shared" si="33"/>
        <v>1</v>
      </c>
      <c r="BM34" s="539">
        <f t="shared" si="25"/>
        <v>2</v>
      </c>
      <c r="BN34" s="539">
        <f t="shared" si="26"/>
        <v>3</v>
      </c>
      <c r="BO34" s="1176"/>
      <c r="BP34" s="1177"/>
      <c r="BQ34" s="1177"/>
      <c r="BR34" s="1177"/>
      <c r="BS34" s="1177"/>
      <c r="BT34" s="1177"/>
      <c r="BU34" s="1178"/>
    </row>
    <row r="35" spans="2:73" s="504" customFormat="1" ht="12.95" customHeight="1" x14ac:dyDescent="0.2">
      <c r="B35" s="548">
        <f>IF(ISNA(Z35),"",IF(OR(Z35=1,Z35=2),"    ",MAX($B$8:B34)+1))</f>
        <v>23</v>
      </c>
      <c r="C35" s="1202" t="str">
        <f t="shared" si="0"/>
        <v xml:space="preserve">      - Discussion of Prop Effect Preds vs Obs (3.4%)</v>
      </c>
      <c r="D35" s="1202"/>
      <c r="E35" s="1202"/>
      <c r="F35" s="1203"/>
      <c r="G35" s="534">
        <f t="shared" si="1"/>
        <v>1</v>
      </c>
      <c r="H35" s="535" t="str">
        <f t="shared" si="2"/>
        <v>2*</v>
      </c>
      <c r="I35" s="549">
        <f t="shared" si="2"/>
        <v>3</v>
      </c>
      <c r="J35" s="554"/>
      <c r="K35" s="551"/>
      <c r="L35" s="1211"/>
      <c r="M35" s="1212"/>
      <c r="N35" s="1212"/>
      <c r="O35" s="1212"/>
      <c r="P35" s="1212"/>
      <c r="Q35" s="1212"/>
      <c r="R35" s="1213"/>
      <c r="T35" s="500">
        <v>28</v>
      </c>
      <c r="U35" s="490" t="s">
        <v>774</v>
      </c>
      <c r="V35" s="539">
        <v>1</v>
      </c>
      <c r="W35" s="539">
        <v>3</v>
      </c>
      <c r="X35" s="539" t="s">
        <v>340</v>
      </c>
      <c r="Y35" s="539" t="s">
        <v>340</v>
      </c>
      <c r="Z35" s="543" t="s">
        <v>340</v>
      </c>
      <c r="AA35" s="543">
        <v>2</v>
      </c>
      <c r="AB35" s="543">
        <v>1</v>
      </c>
      <c r="AC35" s="539">
        <v>3</v>
      </c>
      <c r="AD35" s="539">
        <v>2</v>
      </c>
      <c r="AE35" s="539">
        <v>1</v>
      </c>
      <c r="AF35" s="539" t="b">
        <v>1</v>
      </c>
      <c r="AG35" s="539">
        <f t="shared" si="3"/>
        <v>2</v>
      </c>
      <c r="AH35" s="539">
        <f t="shared" si="4"/>
        <v>1</v>
      </c>
      <c r="AI35" s="138">
        <f>IF(NOT(OR(Z35=1,Z35=2)),IF(AQ35&gt;0,$AR$44*AQ35/SUMIF($AQ$8:$AQ$39,"&gt;0"),IF(AU35&gt;0,$AV$44*AU35/SUMIF($AU$8:$AU$39,"&gt;0"),IF(AS35&gt;0,$AT$44*AS35/SUMIF($AS$8:$AS$39,"&gt;0"),""))),IF(SUMIF(AJ36:$AJ$39,"=" &amp; AJ35,AI36:$AI$39)=0,"",SUMIF(AJ36:$AJ$39,"=" &amp; AJ35,AI36:$AI$39)))</f>
        <v>3.3750000000000002E-2</v>
      </c>
      <c r="AJ35" s="139">
        <f t="shared" si="34"/>
        <v>4</v>
      </c>
      <c r="AK35" s="539">
        <f t="shared" si="27"/>
        <v>2</v>
      </c>
      <c r="AL35" s="543" t="str">
        <f t="shared" si="28"/>
        <v/>
      </c>
      <c r="AM35" s="543" t="str">
        <f t="shared" si="35"/>
        <v/>
      </c>
      <c r="AN35" s="543" t="str">
        <f t="shared" si="5"/>
        <v/>
      </c>
      <c r="AO35" s="543" t="str">
        <f t="shared" si="6"/>
        <v/>
      </c>
      <c r="AP35" s="539" t="b">
        <f t="shared" si="7"/>
        <v>1</v>
      </c>
      <c r="AQ35" s="540">
        <f t="shared" si="29"/>
        <v>3</v>
      </c>
      <c r="AR35" s="141" t="str">
        <f t="shared" si="8"/>
        <v/>
      </c>
      <c r="AS35" s="142">
        <f t="shared" si="30"/>
        <v>0</v>
      </c>
      <c r="AT35" s="141" t="str">
        <f t="shared" si="9"/>
        <v/>
      </c>
      <c r="AU35" s="541">
        <f t="shared" si="10"/>
        <v>0</v>
      </c>
      <c r="AV35" s="144" t="str">
        <f t="shared" si="11"/>
        <v/>
      </c>
      <c r="AW35" s="541" t="b">
        <f t="shared" si="12"/>
        <v>0</v>
      </c>
      <c r="AX35" s="542" t="b">
        <f t="shared" si="13"/>
        <v>1</v>
      </c>
      <c r="AY35" s="541" t="b">
        <f t="shared" si="14"/>
        <v>0</v>
      </c>
      <c r="AZ35" s="542" t="b">
        <f t="shared" si="15"/>
        <v>0</v>
      </c>
      <c r="BA35" s="539" t="b">
        <f t="shared" si="16"/>
        <v>0</v>
      </c>
      <c r="BB35" s="539" t="b">
        <f t="shared" si="17"/>
        <v>0</v>
      </c>
      <c r="BC35" s="541" t="b">
        <f t="shared" si="18"/>
        <v>0</v>
      </c>
      <c r="BD35" s="543" t="b">
        <f t="shared" si="31"/>
        <v>0</v>
      </c>
      <c r="BE35" s="542" t="b">
        <f t="shared" si="37"/>
        <v>0</v>
      </c>
      <c r="BF35" s="544" t="b">
        <f t="shared" si="39"/>
        <v>0</v>
      </c>
      <c r="BG35" s="539" t="b">
        <f t="shared" si="38"/>
        <v>1</v>
      </c>
      <c r="BH35" s="539">
        <f t="shared" si="32"/>
        <v>1</v>
      </c>
      <c r="BI35" s="539">
        <f t="shared" si="22"/>
        <v>2</v>
      </c>
      <c r="BJ35" s="539" t="str">
        <f t="shared" si="23"/>
        <v>2*</v>
      </c>
      <c r="BK35" s="539">
        <f t="shared" si="24"/>
        <v>3</v>
      </c>
      <c r="BL35" s="545">
        <f t="shared" si="33"/>
        <v>1</v>
      </c>
      <c r="BM35" s="539">
        <f t="shared" si="25"/>
        <v>2</v>
      </c>
      <c r="BN35" s="539">
        <f t="shared" si="26"/>
        <v>3</v>
      </c>
      <c r="BO35" s="1179"/>
      <c r="BP35" s="1180"/>
      <c r="BQ35" s="1180"/>
      <c r="BR35" s="1180"/>
      <c r="BS35" s="1180"/>
      <c r="BT35" s="1180"/>
      <c r="BU35" s="1181"/>
    </row>
    <row r="36" spans="2:73" s="504" customFormat="1" ht="12.95" customHeight="1" x14ac:dyDescent="0.2">
      <c r="B36" s="548">
        <f>IF(ISNA(Z36),"",IF(OR(Z36=1,Z36=2),"    ",MAX($B$8:B35)+1))</f>
        <v>24</v>
      </c>
      <c r="C36" s="1202" t="str">
        <f t="shared" si="0"/>
        <v xml:space="preserve">      - Identify Lessons Learned  (4.5%)</v>
      </c>
      <c r="D36" s="1202"/>
      <c r="E36" s="1202"/>
      <c r="F36" s="1203"/>
      <c r="G36" s="534">
        <f t="shared" si="1"/>
        <v>1</v>
      </c>
      <c r="H36" s="535" t="str">
        <f t="shared" si="2"/>
        <v>2*</v>
      </c>
      <c r="I36" s="549">
        <f t="shared" si="2"/>
        <v>3</v>
      </c>
      <c r="J36" s="554"/>
      <c r="K36" s="551"/>
      <c r="L36" s="1211"/>
      <c r="M36" s="1212"/>
      <c r="N36" s="1212"/>
      <c r="O36" s="1212"/>
      <c r="P36" s="1212"/>
      <c r="Q36" s="1212"/>
      <c r="R36" s="1213"/>
      <c r="T36" s="500">
        <v>29</v>
      </c>
      <c r="U36" s="490" t="s">
        <v>550</v>
      </c>
      <c r="V36" s="539">
        <v>1</v>
      </c>
      <c r="W36" s="539">
        <v>4</v>
      </c>
      <c r="X36" s="539" t="s">
        <v>340</v>
      </c>
      <c r="Y36" s="539" t="s">
        <v>340</v>
      </c>
      <c r="Z36" s="543" t="s">
        <v>340</v>
      </c>
      <c r="AA36" s="543">
        <v>2</v>
      </c>
      <c r="AB36" s="543">
        <v>1</v>
      </c>
      <c r="AC36" s="539">
        <v>3</v>
      </c>
      <c r="AD36" s="539">
        <v>2</v>
      </c>
      <c r="AE36" s="539">
        <v>1</v>
      </c>
      <c r="AF36" s="539" t="b">
        <v>1</v>
      </c>
      <c r="AG36" s="539">
        <f t="shared" si="3"/>
        <v>2</v>
      </c>
      <c r="AH36" s="539">
        <f t="shared" si="4"/>
        <v>1</v>
      </c>
      <c r="AI36" s="138">
        <f>IF(NOT(OR(Z36=1,Z36=2)),IF(AQ36&gt;0,$AR$44*AQ36/SUMIF($AQ$8:$AQ$39,"&gt;0"),IF(AU36&gt;0,$AV$44*AU36/SUMIF($AU$8:$AU$39,"&gt;0"),IF(AS36&gt;0,$AT$44*AS36/SUMIF($AS$8:$AS$39,"&gt;0"),""))),IF(SUMIF(AJ37:$AJ$39,"=" &amp; AJ36,AI37:$AI$39)=0,"",SUMIF(AJ37:$AJ$39,"=" &amp; AJ36,AI37:$AI$39)))</f>
        <v>4.4999999999999998E-2</v>
      </c>
      <c r="AJ36" s="139">
        <f t="shared" si="34"/>
        <v>4</v>
      </c>
      <c r="AK36" s="539">
        <f t="shared" si="27"/>
        <v>2</v>
      </c>
      <c r="AL36" s="543" t="str">
        <f t="shared" si="28"/>
        <v/>
      </c>
      <c r="AM36" s="543" t="str">
        <f t="shared" si="35"/>
        <v/>
      </c>
      <c r="AN36" s="543" t="str">
        <f t="shared" si="5"/>
        <v/>
      </c>
      <c r="AO36" s="543" t="str">
        <f t="shared" si="6"/>
        <v/>
      </c>
      <c r="AP36" s="539" t="b">
        <f t="shared" si="7"/>
        <v>1</v>
      </c>
      <c r="AQ36" s="540">
        <f t="shared" si="29"/>
        <v>4</v>
      </c>
      <c r="AR36" s="141" t="str">
        <f t="shared" si="8"/>
        <v/>
      </c>
      <c r="AS36" s="142">
        <f t="shared" si="30"/>
        <v>0</v>
      </c>
      <c r="AT36" s="141" t="str">
        <f t="shared" si="9"/>
        <v/>
      </c>
      <c r="AU36" s="541">
        <f t="shared" si="10"/>
        <v>0</v>
      </c>
      <c r="AV36" s="144" t="str">
        <f t="shared" si="11"/>
        <v/>
      </c>
      <c r="AW36" s="541" t="b">
        <f t="shared" si="12"/>
        <v>0</v>
      </c>
      <c r="AX36" s="542" t="b">
        <f t="shared" si="13"/>
        <v>1</v>
      </c>
      <c r="AY36" s="541" t="b">
        <f t="shared" si="14"/>
        <v>0</v>
      </c>
      <c r="AZ36" s="542" t="b">
        <f t="shared" si="15"/>
        <v>0</v>
      </c>
      <c r="BA36" s="539" t="b">
        <f t="shared" si="16"/>
        <v>0</v>
      </c>
      <c r="BB36" s="539" t="b">
        <f t="shared" si="17"/>
        <v>0</v>
      </c>
      <c r="BC36" s="541" t="b">
        <f t="shared" si="18"/>
        <v>0</v>
      </c>
      <c r="BD36" s="543" t="b">
        <f t="shared" si="31"/>
        <v>0</v>
      </c>
      <c r="BE36" s="542" t="b">
        <f t="shared" si="37"/>
        <v>0</v>
      </c>
      <c r="BF36" s="544" t="b">
        <f t="shared" si="39"/>
        <v>0</v>
      </c>
      <c r="BG36" s="539" t="b">
        <f t="shared" si="38"/>
        <v>1</v>
      </c>
      <c r="BH36" s="539">
        <f t="shared" si="32"/>
        <v>1</v>
      </c>
      <c r="BI36" s="539">
        <f t="shared" si="22"/>
        <v>2</v>
      </c>
      <c r="BJ36" s="539" t="str">
        <f t="shared" si="23"/>
        <v>2*</v>
      </c>
      <c r="BK36" s="539">
        <f t="shared" si="24"/>
        <v>3</v>
      </c>
      <c r="BL36" s="545">
        <f t="shared" si="33"/>
        <v>1</v>
      </c>
      <c r="BM36" s="539">
        <f t="shared" si="25"/>
        <v>2</v>
      </c>
      <c r="BN36" s="539">
        <f t="shared" si="26"/>
        <v>3</v>
      </c>
      <c r="BO36" s="1179"/>
      <c r="BP36" s="1180"/>
      <c r="BQ36" s="1180"/>
      <c r="BR36" s="1180"/>
      <c r="BS36" s="1180"/>
      <c r="BT36" s="1180"/>
      <c r="BU36" s="1181"/>
    </row>
    <row r="37" spans="2:73" s="504" customFormat="1" ht="12.95" customHeight="1" x14ac:dyDescent="0.2">
      <c r="B37" s="548" t="str">
        <f>IF(ISNA(Z37),"",IF(OR(Z37=1,Z37=2),"    ",MAX($B$8:B36)+1))</f>
        <v/>
      </c>
      <c r="C37" s="1202" t="str">
        <f>IF(ISNA(Z37),"",CONCATENATE($U37,IF(ISNUMBER(AI37),TEXT(ROUND($AI37,3)," (0.0%)"),""),IF(AU37&gt;0," Bonus","")))</f>
        <v/>
      </c>
      <c r="D37" s="1202"/>
      <c r="E37" s="1202"/>
      <c r="F37" s="1203"/>
      <c r="G37" s="534" t="str">
        <f t="shared" si="1"/>
        <v/>
      </c>
      <c r="H37" s="535" t="str">
        <f t="shared" si="2"/>
        <v/>
      </c>
      <c r="I37" s="549" t="str">
        <f t="shared" si="2"/>
        <v/>
      </c>
      <c r="J37" s="555"/>
      <c r="K37" s="556"/>
      <c r="L37" s="1211"/>
      <c r="M37" s="1212"/>
      <c r="N37" s="1212"/>
      <c r="O37" s="1212"/>
      <c r="P37" s="1212"/>
      <c r="Q37" s="1212"/>
      <c r="R37" s="1213"/>
      <c r="T37" s="500">
        <v>30</v>
      </c>
      <c r="U37" s="490" t="e">
        <v>#N/A</v>
      </c>
      <c r="V37" s="539" t="e">
        <v>#N/A</v>
      </c>
      <c r="W37" s="539" t="e">
        <v>#N/A</v>
      </c>
      <c r="X37" s="539" t="e">
        <v>#N/A</v>
      </c>
      <c r="Y37" s="539" t="e">
        <v>#N/A</v>
      </c>
      <c r="Z37" s="543" t="e">
        <v>#N/A</v>
      </c>
      <c r="AA37" s="543" t="e">
        <v>#N/A</v>
      </c>
      <c r="AB37" s="543" t="e">
        <v>#N/A</v>
      </c>
      <c r="AC37" s="539" t="e">
        <v>#N/A</v>
      </c>
      <c r="AD37" s="539" t="e">
        <v>#N/A</v>
      </c>
      <c r="AE37" s="539" t="e">
        <v>#N/A</v>
      </c>
      <c r="AF37" s="539" t="e">
        <v>#N/A</v>
      </c>
      <c r="AG37" s="539" t="e">
        <f t="shared" si="3"/>
        <v>#N/A</v>
      </c>
      <c r="AH37" s="539" t="str">
        <f t="shared" si="4"/>
        <v/>
      </c>
      <c r="AI37" s="138" t="e">
        <f>IF(NOT(OR(Z37=1,Z37=2)),IF(AQ37&gt;0,$AR$44*AQ37/SUMIF($AQ$8:$AQ$39,"&gt;0"),IF(AU37&gt;0,$AV$44*AU37/SUMIF($AU$8:$AU$39,"&gt;0"),IF(AS37&gt;0,$AT$44*AS37/SUMIF($AS$8:$AS$39,"&gt;0"),""))),IF(SUMIF(AJ38:$AJ$39,"=" &amp; AJ37,AI38:$AI$39)=0,"",SUMIF(AJ38:$AJ$39,"=" &amp; AJ37,AI38:$AI$39)))</f>
        <v>#N/A</v>
      </c>
      <c r="AJ37" s="139" t="e">
        <f t="shared" si="34"/>
        <v>#N/A</v>
      </c>
      <c r="AK37" s="539" t="str">
        <f t="shared" si="27"/>
        <v/>
      </c>
      <c r="AL37" s="543" t="str">
        <f t="shared" si="28"/>
        <v/>
      </c>
      <c r="AM37" s="543" t="str">
        <f t="shared" si="35"/>
        <v/>
      </c>
      <c r="AN37" s="543" t="str">
        <f>IF(ISNUMBER(AH37),IF(AND(AB37=0,ISNUMBER(AC37),ISNUMBER(AL37)),1,""),"")</f>
        <v/>
      </c>
      <c r="AO37" s="543" t="e">
        <f t="shared" si="6"/>
        <v>#N/A</v>
      </c>
      <c r="AP37" s="539" t="str">
        <f t="shared" si="7"/>
        <v/>
      </c>
      <c r="AQ37" s="540">
        <f t="shared" si="29"/>
        <v>0</v>
      </c>
      <c r="AR37" s="141" t="str">
        <f t="shared" si="8"/>
        <v/>
      </c>
      <c r="AS37" s="142">
        <f t="shared" si="30"/>
        <v>0</v>
      </c>
      <c r="AT37" s="141" t="str">
        <f t="shared" si="9"/>
        <v/>
      </c>
      <c r="AU37" s="541">
        <f t="shared" si="10"/>
        <v>0</v>
      </c>
      <c r="AV37" s="144" t="str">
        <f t="shared" si="11"/>
        <v/>
      </c>
      <c r="AW37" s="541" t="b">
        <f t="shared" si="12"/>
        <v>0</v>
      </c>
      <c r="AX37" s="542" t="b">
        <f t="shared" si="13"/>
        <v>0</v>
      </c>
      <c r="AY37" s="541" t="b">
        <f t="shared" si="14"/>
        <v>0</v>
      </c>
      <c r="AZ37" s="542" t="b">
        <f t="shared" si="15"/>
        <v>0</v>
      </c>
      <c r="BA37" s="539" t="b">
        <f t="shared" si="16"/>
        <v>0</v>
      </c>
      <c r="BB37" s="539" t="b">
        <f t="shared" si="17"/>
        <v>0</v>
      </c>
      <c r="BC37" s="541" t="b">
        <f t="shared" si="18"/>
        <v>0</v>
      </c>
      <c r="BD37" s="543" t="b">
        <f t="shared" si="31"/>
        <v>0</v>
      </c>
      <c r="BE37" s="542" t="b">
        <f t="shared" si="37"/>
        <v>0</v>
      </c>
      <c r="BF37" s="544" t="b">
        <f t="shared" si="39"/>
        <v>0</v>
      </c>
      <c r="BG37" s="539" t="str">
        <f t="shared" si="38"/>
        <v>NA</v>
      </c>
      <c r="BH37" s="539" t="str">
        <f t="shared" si="32"/>
        <v/>
      </c>
      <c r="BI37" s="539" t="str">
        <f t="shared" si="22"/>
        <v/>
      </c>
      <c r="BJ37" s="539" t="str">
        <f t="shared" si="23"/>
        <v/>
      </c>
      <c r="BK37" s="539" t="str">
        <f t="shared" si="24"/>
        <v/>
      </c>
      <c r="BL37" s="545" t="str">
        <f t="shared" si="33"/>
        <v/>
      </c>
      <c r="BM37" s="539" t="str">
        <f t="shared" si="25"/>
        <v/>
      </c>
      <c r="BN37" s="539" t="str">
        <f t="shared" si="26"/>
        <v/>
      </c>
      <c r="BO37" s="1182"/>
      <c r="BP37" s="1183"/>
      <c r="BQ37" s="1183"/>
      <c r="BR37" s="1183"/>
      <c r="BS37" s="1183"/>
      <c r="BT37" s="1183"/>
      <c r="BU37" s="1184"/>
    </row>
    <row r="38" spans="2:73" s="504" customFormat="1" ht="12.95" customHeight="1" x14ac:dyDescent="0.2">
      <c r="B38" s="548" t="str">
        <f>IF(ISNA(Z38),"",IF(OR(Z38=1,Z38=2),"    ",MAX($B$8:B37)+1))</f>
        <v/>
      </c>
      <c r="C38" s="1202" t="str">
        <f t="shared" ref="C38:C39" si="40">IF(ISNA(Z38),"",CONCATENATE($U38,IF(ISNUMBER(AI38),TEXT(ROUND($AI38,3)," (0.0%)"),""),IF(AU38&gt;0," Bonus","")))</f>
        <v/>
      </c>
      <c r="D38" s="1202"/>
      <c r="E38" s="1202"/>
      <c r="F38" s="1203"/>
      <c r="G38" s="534" t="str">
        <f t="shared" si="1"/>
        <v/>
      </c>
      <c r="H38" s="535" t="str">
        <f t="shared" si="2"/>
        <v/>
      </c>
      <c r="I38" s="549" t="str">
        <f t="shared" si="2"/>
        <v/>
      </c>
      <c r="J38" s="555"/>
      <c r="K38" s="556"/>
      <c r="L38" s="1211"/>
      <c r="M38" s="1212"/>
      <c r="N38" s="1212"/>
      <c r="O38" s="1212"/>
      <c r="P38" s="1212"/>
      <c r="Q38" s="1212"/>
      <c r="R38" s="1213"/>
      <c r="T38" s="500">
        <v>31</v>
      </c>
      <c r="U38" s="490" t="e">
        <v>#N/A</v>
      </c>
      <c r="V38" s="539" t="e">
        <v>#N/A</v>
      </c>
      <c r="W38" s="539" t="e">
        <v>#N/A</v>
      </c>
      <c r="X38" s="539" t="e">
        <v>#N/A</v>
      </c>
      <c r="Y38" s="539" t="e">
        <v>#N/A</v>
      </c>
      <c r="Z38" s="543" t="e">
        <v>#N/A</v>
      </c>
      <c r="AA38" s="543" t="e">
        <v>#N/A</v>
      </c>
      <c r="AB38" s="543" t="e">
        <v>#N/A</v>
      </c>
      <c r="AC38" s="539" t="e">
        <v>#N/A</v>
      </c>
      <c r="AD38" s="539" t="e">
        <v>#N/A</v>
      </c>
      <c r="AE38" s="539" t="e">
        <v>#N/A</v>
      </c>
      <c r="AF38" s="539" t="e">
        <v>#N/A</v>
      </c>
      <c r="AG38" s="539" t="e">
        <f t="shared" si="3"/>
        <v>#N/A</v>
      </c>
      <c r="AH38" s="539" t="str">
        <f t="shared" si="4"/>
        <v/>
      </c>
      <c r="AI38" s="138" t="e">
        <f>IF(NOT(OR(Z38=1,Z38=2)),IF(AQ38&gt;0,$AR$44*AQ38/SUMIF($AQ$8:$AQ$39,"&gt;0"),IF(AU38&gt;0,$AV$44*AU38/SUMIF($AU$8:$AU$39,"&gt;0"),IF(AS38&gt;0,$AT$44*AS38/SUMIF($AS$8:$AS$39,"&gt;0"),""))),IF(SUMIF(AJ39:$AJ$39,"=" &amp; AJ38,AI39:$AI$39)=0,"",SUMIF(AJ39:$AJ$39,"=" &amp; AJ38,AI39:$AI$39)))</f>
        <v>#N/A</v>
      </c>
      <c r="AJ38" s="139" t="e">
        <f t="shared" si="34"/>
        <v>#N/A</v>
      </c>
      <c r="AK38" s="539" t="str">
        <f t="shared" si="27"/>
        <v/>
      </c>
      <c r="AL38" s="543" t="str">
        <f t="shared" si="28"/>
        <v/>
      </c>
      <c r="AM38" s="543" t="str">
        <f t="shared" si="35"/>
        <v/>
      </c>
      <c r="AN38" s="543" t="str">
        <f>IF(ISNUMBER(AH38),IF(AND(AB38=0,ISNUMBER(AC38),ISNUMBER(AL38)),1,""),"")</f>
        <v/>
      </c>
      <c r="AO38" s="543" t="e">
        <f t="shared" si="6"/>
        <v>#N/A</v>
      </c>
      <c r="AP38" s="539" t="str">
        <f t="shared" si="7"/>
        <v/>
      </c>
      <c r="AQ38" s="540">
        <f t="shared" si="29"/>
        <v>0</v>
      </c>
      <c r="AR38" s="141" t="str">
        <f t="shared" si="8"/>
        <v/>
      </c>
      <c r="AS38" s="142">
        <f t="shared" si="30"/>
        <v>0</v>
      </c>
      <c r="AT38" s="141" t="str">
        <f t="shared" si="9"/>
        <v/>
      </c>
      <c r="AU38" s="541">
        <f t="shared" si="10"/>
        <v>0</v>
      </c>
      <c r="AV38" s="144" t="str">
        <f t="shared" si="11"/>
        <v/>
      </c>
      <c r="AW38" s="541" t="b">
        <f t="shared" si="12"/>
        <v>0</v>
      </c>
      <c r="AX38" s="542" t="b">
        <f t="shared" si="13"/>
        <v>0</v>
      </c>
      <c r="AY38" s="541" t="b">
        <f t="shared" si="14"/>
        <v>0</v>
      </c>
      <c r="AZ38" s="542" t="b">
        <f t="shared" si="15"/>
        <v>0</v>
      </c>
      <c r="BA38" s="539" t="b">
        <f t="shared" si="16"/>
        <v>0</v>
      </c>
      <c r="BB38" s="539" t="b">
        <f t="shared" si="17"/>
        <v>0</v>
      </c>
      <c r="BC38" s="541" t="b">
        <f t="shared" si="18"/>
        <v>0</v>
      </c>
      <c r="BD38" s="543" t="b">
        <f t="shared" si="31"/>
        <v>0</v>
      </c>
      <c r="BE38" s="542" t="b">
        <f t="shared" si="37"/>
        <v>0</v>
      </c>
      <c r="BF38" s="544" t="b">
        <f t="shared" si="39"/>
        <v>0</v>
      </c>
      <c r="BG38" s="539" t="str">
        <f t="shared" si="38"/>
        <v>NA</v>
      </c>
      <c r="BH38" s="539" t="str">
        <f t="shared" si="32"/>
        <v/>
      </c>
      <c r="BI38" s="539" t="str">
        <f t="shared" si="22"/>
        <v/>
      </c>
      <c r="BJ38" s="539" t="str">
        <f t="shared" si="23"/>
        <v/>
      </c>
      <c r="BK38" s="539" t="str">
        <f t="shared" si="24"/>
        <v/>
      </c>
      <c r="BL38" s="545" t="str">
        <f t="shared" si="33"/>
        <v/>
      </c>
      <c r="BM38" s="539" t="str">
        <f t="shared" si="25"/>
        <v/>
      </c>
      <c r="BN38" s="539" t="str">
        <f t="shared" si="26"/>
        <v/>
      </c>
      <c r="BO38" s="547" t="s">
        <v>373</v>
      </c>
      <c r="BP38" s="547"/>
      <c r="BQ38" s="547"/>
      <c r="BR38" s="547"/>
      <c r="BS38" s="547"/>
      <c r="BT38" s="547"/>
      <c r="BU38" s="547"/>
    </row>
    <row r="39" spans="2:73" s="504" customFormat="1" ht="12.95" customHeight="1" thickBot="1" x14ac:dyDescent="0.25">
      <c r="B39" s="548" t="str">
        <f>IF(ISNA(Z39),"",IF(OR(Z39=1,Z39=2),"    ",MAX($B$8:B38)+1))</f>
        <v/>
      </c>
      <c r="C39" s="1202" t="str">
        <f t="shared" si="40"/>
        <v/>
      </c>
      <c r="D39" s="1202"/>
      <c r="E39" s="1202"/>
      <c r="F39" s="1203"/>
      <c r="G39" s="560" t="str">
        <f t="shared" si="1"/>
        <v/>
      </c>
      <c r="H39" s="535" t="str">
        <f t="shared" si="2"/>
        <v/>
      </c>
      <c r="I39" s="561" t="str">
        <f t="shared" si="2"/>
        <v/>
      </c>
      <c r="J39" s="562"/>
      <c r="K39" s="563"/>
      <c r="L39" s="1214"/>
      <c r="M39" s="1215"/>
      <c r="N39" s="1215"/>
      <c r="O39" s="1215"/>
      <c r="P39" s="1215"/>
      <c r="Q39" s="1215"/>
      <c r="R39" s="1216"/>
      <c r="T39" s="500">
        <v>32</v>
      </c>
      <c r="U39" s="490" t="e">
        <v>#N/A</v>
      </c>
      <c r="V39" s="539" t="e">
        <v>#N/A</v>
      </c>
      <c r="W39" s="539" t="e">
        <v>#N/A</v>
      </c>
      <c r="X39" s="539" t="e">
        <v>#N/A</v>
      </c>
      <c r="Y39" s="539" t="e">
        <v>#N/A</v>
      </c>
      <c r="Z39" s="543" t="e">
        <v>#N/A</v>
      </c>
      <c r="AA39" s="543" t="e">
        <v>#N/A</v>
      </c>
      <c r="AB39" s="543" t="e">
        <v>#N/A</v>
      </c>
      <c r="AC39" s="539" t="e">
        <v>#N/A</v>
      </c>
      <c r="AD39" s="539" t="e">
        <v>#N/A</v>
      </c>
      <c r="AE39" s="539" t="e">
        <v>#N/A</v>
      </c>
      <c r="AF39" s="539" t="e">
        <v>#N/A</v>
      </c>
      <c r="AG39" s="539" t="e">
        <f t="shared" si="3"/>
        <v>#N/A</v>
      </c>
      <c r="AH39" s="539" t="str">
        <f t="shared" si="4"/>
        <v/>
      </c>
      <c r="AI39" s="138" t="e">
        <f>IF(NOT(OR(Z39=1,Z39=2)),IF(AQ39&gt;0,$AR$44*AQ39/SUMIF($AQ$8:$AQ$39,"&gt;0"),IF(AU39&gt;0,$AV$44*AU39/SUMIF($AU$8:$AU$39,"&gt;0"),IF(AS39&gt;0,$AT$44*AS39/SUMIF($AS$8:$AS$39,"&gt;0"),""))),IF(SUMIF(AJ$39:$AJ40,"=" &amp; AJ39,AI$39:$AI40)=0,"",SUMIF(AJ$39:$AJ40,"=" &amp; AJ39,AI$39:$AI40)))</f>
        <v>#N/A</v>
      </c>
      <c r="AJ39" s="139" t="e">
        <f t="shared" si="34"/>
        <v>#N/A</v>
      </c>
      <c r="AK39" s="539" t="str">
        <f t="shared" si="27"/>
        <v/>
      </c>
      <c r="AL39" s="543" t="str">
        <f t="shared" si="28"/>
        <v/>
      </c>
      <c r="AM39" s="543" t="str">
        <f t="shared" si="35"/>
        <v/>
      </c>
      <c r="AN39" s="543" t="str">
        <f>IF(ISNUMBER(AH39),IF(AND(AB39=0,ISNUMBER(AC39),ISNUMBER(AL39)),1,""),"")</f>
        <v/>
      </c>
      <c r="AO39" s="543" t="e">
        <f t="shared" si="6"/>
        <v>#N/A</v>
      </c>
      <c r="AP39" s="539" t="str">
        <f t="shared" si="7"/>
        <v/>
      </c>
      <c r="AQ39" s="540">
        <f t="shared" si="29"/>
        <v>0</v>
      </c>
      <c r="AR39" s="141" t="str">
        <f t="shared" si="8"/>
        <v/>
      </c>
      <c r="AS39" s="142">
        <f t="shared" si="30"/>
        <v>0</v>
      </c>
      <c r="AT39" s="141" t="str">
        <f t="shared" si="9"/>
        <v/>
      </c>
      <c r="AU39" s="541">
        <f t="shared" si="10"/>
        <v>0</v>
      </c>
      <c r="AV39" s="144" t="str">
        <f t="shared" si="11"/>
        <v/>
      </c>
      <c r="AW39" s="541" t="b">
        <f t="shared" si="12"/>
        <v>0</v>
      </c>
      <c r="AX39" s="542" t="b">
        <f t="shared" si="13"/>
        <v>0</v>
      </c>
      <c r="AY39" s="541" t="b">
        <f t="shared" si="14"/>
        <v>0</v>
      </c>
      <c r="AZ39" s="542" t="b">
        <f t="shared" si="15"/>
        <v>0</v>
      </c>
      <c r="BA39" s="539" t="b">
        <f t="shared" si="16"/>
        <v>0</v>
      </c>
      <c r="BB39" s="539" t="b">
        <f t="shared" si="17"/>
        <v>0</v>
      </c>
      <c r="BC39" s="541" t="b">
        <f t="shared" si="18"/>
        <v>0</v>
      </c>
      <c r="BD39" s="543" t="b">
        <f t="shared" si="31"/>
        <v>0</v>
      </c>
      <c r="BE39" s="542" t="b">
        <f t="shared" si="37"/>
        <v>0</v>
      </c>
      <c r="BF39" s="544" t="b">
        <f t="shared" si="39"/>
        <v>0</v>
      </c>
      <c r="BG39" s="539" t="str">
        <f t="shared" si="38"/>
        <v>NA</v>
      </c>
      <c r="BH39" s="539" t="str">
        <f t="shared" si="32"/>
        <v/>
      </c>
      <c r="BI39" s="539" t="str">
        <f t="shared" si="22"/>
        <v/>
      </c>
      <c r="BJ39" s="539" t="str">
        <f t="shared" si="23"/>
        <v/>
      </c>
      <c r="BK39" s="539" t="str">
        <f t="shared" si="24"/>
        <v/>
      </c>
      <c r="BL39" s="539" t="str">
        <f t="shared" si="33"/>
        <v/>
      </c>
      <c r="BM39" s="539" t="str">
        <f t="shared" si="25"/>
        <v/>
      </c>
      <c r="BN39" s="539" t="str">
        <f t="shared" si="26"/>
        <v/>
      </c>
      <c r="BO39" s="1176"/>
      <c r="BP39" s="1177"/>
      <c r="BQ39" s="1177"/>
      <c r="BR39" s="1177"/>
      <c r="BS39" s="1177"/>
      <c r="BT39" s="1177"/>
      <c r="BU39" s="1178"/>
    </row>
    <row r="40" spans="2:73" s="493" customFormat="1" ht="8.25" customHeight="1" x14ac:dyDescent="0.2">
      <c r="B40" s="1185" t="s">
        <v>374</v>
      </c>
      <c r="C40" s="1186"/>
      <c r="D40" s="1187"/>
      <c r="E40" s="564" t="s">
        <v>375</v>
      </c>
      <c r="F40" s="1188" t="s">
        <v>376</v>
      </c>
      <c r="G40" s="1189"/>
      <c r="H40" s="1189" t="s">
        <v>377</v>
      </c>
      <c r="I40" s="1189"/>
      <c r="J40" s="1190" t="s">
        <v>378</v>
      </c>
      <c r="K40" s="1191"/>
      <c r="L40" s="565" t="s">
        <v>379</v>
      </c>
      <c r="M40" s="1192" t="s">
        <v>380</v>
      </c>
      <c r="N40" s="1192"/>
      <c r="O40" s="1193" t="str">
        <f>IF(U44,"DO REVIEW","DO REV N/A")</f>
        <v>DO REVIEW</v>
      </c>
      <c r="P40" s="1194"/>
      <c r="Q40" s="566" t="str">
        <f>IF(U45,"ED REVIEW","ED REV N/A")</f>
        <v>ED REVIEW</v>
      </c>
      <c r="R40" s="567"/>
      <c r="S40" s="568">
        <v>0</v>
      </c>
      <c r="AI40" s="569"/>
      <c r="AJ40" s="494"/>
      <c r="AK40" s="494"/>
      <c r="AL40" s="494"/>
      <c r="AM40" s="494"/>
      <c r="AN40" s="494"/>
      <c r="AO40" s="490"/>
      <c r="AP40" s="494"/>
      <c r="AQ40" s="570"/>
      <c r="AR40" s="494"/>
      <c r="AS40" s="570"/>
      <c r="AT40" s="494"/>
      <c r="AU40" s="570"/>
      <c r="AV40" s="571"/>
      <c r="AW40" s="494"/>
      <c r="AX40" s="494"/>
      <c r="AY40" s="494"/>
      <c r="AZ40" s="494"/>
      <c r="BA40" s="494"/>
      <c r="BB40" s="494"/>
      <c r="BC40" s="494"/>
      <c r="BD40" s="494"/>
      <c r="BE40" s="494"/>
      <c r="BF40" s="494"/>
      <c r="BG40" s="494"/>
      <c r="BH40" s="490"/>
      <c r="BI40" s="490"/>
      <c r="BJ40" s="490"/>
      <c r="BK40" s="490"/>
      <c r="BL40" s="490"/>
      <c r="BM40" s="490"/>
      <c r="BN40" s="490"/>
      <c r="BO40" s="1179"/>
      <c r="BP40" s="1180"/>
      <c r="BQ40" s="1180"/>
      <c r="BR40" s="1180"/>
      <c r="BS40" s="1180"/>
      <c r="BT40" s="1180"/>
      <c r="BU40" s="1181"/>
    </row>
    <row r="41" spans="2:73" ht="18.75" customHeight="1" thickBot="1" x14ac:dyDescent="0.25">
      <c r="B41" s="925" t="str">
        <f>IF(ISERROR(AR46),"",TEXT(AR45,"0.0%"))</f>
        <v>0.0%</v>
      </c>
      <c r="C41" s="926"/>
      <c r="D41" s="927"/>
      <c r="E41" s="572" t="str">
        <f>IF(AU41=0,"N/A",CONCATENATE(TEXT(AV45,"0.0%")," of ",TEXT(AV44,"0.0%")))</f>
        <v>N/A</v>
      </c>
      <c r="F41" s="1196" t="str">
        <f>IF((graded_aca_events+graded_amn_events)&lt;1,"---",IF(AND(AW4,AX4),"INCOMPLETE",IF(AND(NOT(AW4),AX4),"ACA INC",IF(AND(AW4,NOT(AX4)),"AMN INC","COMPLETE"))))</f>
        <v>---</v>
      </c>
      <c r="G41" s="1196"/>
      <c r="H41" s="1196" t="str">
        <f>IF(AU4,IF(OR(AY4="UNK",NOT(AN6)),"---",IF(AY4,"UNSAT",IF(AVERAGEIFS(AT8:AT39,AS8:AS39,"&gt;0")&lt;0.9,"MARG","SAT"))),"N/A")</f>
        <v>---</v>
      </c>
      <c r="I41" s="1196"/>
      <c r="J41" s="1197" t="str">
        <f>IF(OR(AZ4="UNK",NOT(AM6)),"---",IF(OR(AZ4,AR45&lt;0.7),"FAIL","PASS"))</f>
        <v>---</v>
      </c>
      <c r="K41" s="1198"/>
      <c r="L41" s="573"/>
      <c r="M41" s="1199"/>
      <c r="N41" s="1199"/>
      <c r="O41" s="1200" t="s">
        <v>265</v>
      </c>
      <c r="P41" s="1200"/>
      <c r="Q41" s="1200" t="s">
        <v>265</v>
      </c>
      <c r="R41" s="1201"/>
      <c r="S41" s="574"/>
      <c r="T41" s="500" t="s">
        <v>381</v>
      </c>
      <c r="U41" s="543" t="s">
        <v>382</v>
      </c>
      <c r="V41" s="575"/>
      <c r="W41" s="575"/>
      <c r="X41" s="575"/>
      <c r="Y41" s="575"/>
      <c r="Z41" s="575"/>
      <c r="AA41" s="575"/>
      <c r="AB41" s="575"/>
      <c r="AC41" s="575"/>
      <c r="AD41" s="575"/>
      <c r="AE41" s="575"/>
      <c r="AF41" s="575"/>
      <c r="AG41" s="575"/>
      <c r="AH41" s="575"/>
      <c r="AI41" s="488"/>
      <c r="AJ41" s="487"/>
      <c r="AK41" s="575"/>
      <c r="AL41" s="575"/>
      <c r="AM41" s="575">
        <f>SUM(AM8:AM39)</f>
        <v>0</v>
      </c>
      <c r="AN41" s="575">
        <f>SUM(AN8:AN39)</f>
        <v>0</v>
      </c>
      <c r="AO41" s="500"/>
      <c r="AP41" s="487"/>
      <c r="AQ41" s="576">
        <f>SUMIF(AQ8:AQ39,"&gt;0")</f>
        <v>80</v>
      </c>
      <c r="AR41" s="577">
        <f>IF(AQ41=0,0,SUMPRODUCT($AQ$8:$AQ$39,AR8:AR39)/SUM($AQ$8:$AQ$39))</f>
        <v>0</v>
      </c>
      <c r="AS41" s="578">
        <f>SUMIF(AS8:AS39,"&gt;0")</f>
        <v>20</v>
      </c>
      <c r="AT41" s="577">
        <f>IF(AS41=0,0,SUMPRODUCT($AS$8:$AS$39,AT8:AT39)/SUM($AS$8:$AS$39))</f>
        <v>0</v>
      </c>
      <c r="AU41" s="578">
        <f>SUM(AU9:AU39)</f>
        <v>0</v>
      </c>
      <c r="AV41" s="577">
        <f>IF(AU41=0,0,SUMPRODUCT($AU$8:$AU$39,AV8:AV39)/SUM($AU$8:$AU$39))</f>
        <v>0</v>
      </c>
      <c r="AW41" s="579"/>
      <c r="AX41" s="579"/>
      <c r="AY41" s="579"/>
      <c r="AZ41" s="579"/>
      <c r="BA41" s="579"/>
      <c r="BB41" s="579"/>
      <c r="BC41" s="490" t="s">
        <v>383</v>
      </c>
      <c r="BD41" s="490" t="s">
        <v>384</v>
      </c>
      <c r="BE41" s="490" t="s">
        <v>385</v>
      </c>
      <c r="BO41" s="1179"/>
      <c r="BP41" s="1180"/>
      <c r="BQ41" s="1180"/>
      <c r="BR41" s="1180"/>
      <c r="BS41" s="1180"/>
      <c r="BT41" s="1180"/>
      <c r="BU41" s="1181"/>
    </row>
    <row r="42" spans="2:73" ht="7.5" customHeight="1" thickTop="1" x14ac:dyDescent="0.2">
      <c r="L42" s="1195" t="s">
        <v>504</v>
      </c>
      <c r="M42" s="1195"/>
      <c r="N42" s="1195"/>
      <c r="O42" s="1195"/>
      <c r="P42" s="1195"/>
      <c r="Q42" s="1195"/>
      <c r="R42" s="1195"/>
      <c r="AP42" s="575"/>
      <c r="AQ42" s="487"/>
      <c r="AR42" s="487"/>
      <c r="AT42" s="577"/>
      <c r="AU42" s="577"/>
      <c r="AV42" s="577"/>
      <c r="AW42" s="487"/>
      <c r="AX42" s="577"/>
      <c r="BO42" s="1182"/>
      <c r="BP42" s="1183"/>
      <c r="BQ42" s="1183"/>
      <c r="BR42" s="1183"/>
      <c r="BS42" s="1183"/>
      <c r="BT42" s="1183"/>
      <c r="BU42" s="1184"/>
    </row>
    <row r="43" spans="2:73" ht="30.75" customHeight="1" x14ac:dyDescent="0.2">
      <c r="T43" s="580" t="s">
        <v>386</v>
      </c>
      <c r="U43" s="543" t="b">
        <v>0</v>
      </c>
      <c r="AI43" s="491">
        <f ca="1">SUMIF(AJ8:$AJ$39,"=" &amp; AJ8,AI9:$AI$39)</f>
        <v>0.1</v>
      </c>
      <c r="AO43" s="581"/>
      <c r="AS43" s="519" t="s">
        <v>387</v>
      </c>
      <c r="AT43" s="582">
        <f>SUMIF(X8:X39,"&gt;0")/SUMIF(W8:W39,"&gt;0")</f>
        <v>0.25</v>
      </c>
      <c r="AU43" s="519" t="s">
        <v>388</v>
      </c>
      <c r="AV43" s="192">
        <f>SUMIF(AU8:AU39,"&gt;0")/SUMIF(AQ8:AQ39,"&gt;0")</f>
        <v>0</v>
      </c>
      <c r="AW43" s="583"/>
      <c r="BE43" s="490" t="b">
        <f>AND(ISBLANK($K30),J30&gt;0)</f>
        <v>0</v>
      </c>
      <c r="BO43" s="490"/>
      <c r="BP43" s="490"/>
      <c r="BQ43" s="492"/>
    </row>
    <row r="44" spans="2:73" ht="30.75" customHeight="1" x14ac:dyDescent="0.2">
      <c r="J44" s="584"/>
      <c r="T44" s="585" t="s">
        <v>389</v>
      </c>
      <c r="U44" s="490" t="b">
        <f>IF(AND(Flight?,OR(AW4,AY4,BA4,AZ4,AR45&lt;0.7,H41="MARG")),TRUE,FALSE)</f>
        <v>1</v>
      </c>
      <c r="AO44" s="586"/>
      <c r="AQ44" s="519" t="s">
        <v>390</v>
      </c>
      <c r="AR44" s="582">
        <f>1-AT44</f>
        <v>0.9</v>
      </c>
      <c r="AS44" s="519" t="s">
        <v>391</v>
      </c>
      <c r="AT44" s="582">
        <f>MIN(AT43,AT6)</f>
        <v>0.1</v>
      </c>
      <c r="AU44" s="519" t="s">
        <v>392</v>
      </c>
      <c r="AV44" s="491">
        <f>MIN(AV43,AV6)</f>
        <v>0</v>
      </c>
      <c r="BO44" s="490"/>
      <c r="BP44" s="490"/>
      <c r="BQ44" s="492"/>
    </row>
    <row r="45" spans="2:73" ht="25.5" x14ac:dyDescent="0.2">
      <c r="T45" s="585" t="s">
        <v>393</v>
      </c>
      <c r="U45" s="490" t="b">
        <f>IF(OR(AX4,AY4,AZ4,BB4,AR45&lt;0.7),TRUE,FALSE)</f>
        <v>1</v>
      </c>
      <c r="AO45" s="587"/>
      <c r="AQ45" s="519" t="s">
        <v>394</v>
      </c>
      <c r="AR45" s="491">
        <f>AR41*(1-AT44)+(AT41*AT44)</f>
        <v>0</v>
      </c>
      <c r="AU45" s="490" t="s">
        <v>324</v>
      </c>
      <c r="AV45" s="491">
        <f>AV41*AV44</f>
        <v>0</v>
      </c>
      <c r="BO45" s="490"/>
      <c r="BP45" s="490"/>
      <c r="BQ45" s="492"/>
    </row>
    <row r="46" spans="2:73" ht="25.5" x14ac:dyDescent="0.2">
      <c r="T46" s="585" t="s">
        <v>395</v>
      </c>
      <c r="U46" s="490" t="b">
        <v>0</v>
      </c>
      <c r="AO46" s="587"/>
      <c r="AQ46" s="519" t="s">
        <v>396</v>
      </c>
      <c r="AR46" s="491">
        <f>MIN(1,IF(NOT(OR(AY4,AZ4)),AR45+AV45,MIN(0.69,AR45+AV45)))</f>
        <v>0</v>
      </c>
      <c r="BO46" s="490"/>
      <c r="BP46" s="490"/>
      <c r="BQ46" s="492"/>
    </row>
    <row r="47" spans="2:73" x14ac:dyDescent="0.2">
      <c r="T47" s="585" t="s">
        <v>397</v>
      </c>
      <c r="U47" s="490" t="b">
        <f>IF(NOT(Flight?),TRUE,NOT(OR(ISBLANK(comments),ISBLANK(hdr_class),ISBLANK(hdr_date),ISBLANK(hdr_stud),ISBLANK(hdr_instr),ISBLANK(hdr_acft),ISBLANK(hdr_time),F41="---")))</f>
        <v>0</v>
      </c>
      <c r="AO47" s="587"/>
      <c r="AR47" s="519"/>
      <c r="AS47" s="491"/>
    </row>
    <row r="48" spans="2:73" x14ac:dyDescent="0.2">
      <c r="T48" s="585" t="s">
        <v>398</v>
      </c>
      <c r="U48" s="490" t="b">
        <f>IF(Flight?,TRUE,NOT(OR(ISBLANK(comments),ISBLANK(hdr_class),ISBLANK(hdr_date),ISBLANK(hdr_stud),ISBLANK(hdr_instr),F41="---")))</f>
        <v>1</v>
      </c>
      <c r="AO48" s="586"/>
      <c r="AP48" s="487" t="s">
        <v>399</v>
      </c>
      <c r="AQ48" s="487"/>
      <c r="AR48" s="487"/>
      <c r="AS48" s="487"/>
      <c r="AT48" s="487"/>
    </row>
    <row r="49" spans="20:56" x14ac:dyDescent="0.2">
      <c r="T49" s="585" t="s">
        <v>400</v>
      </c>
      <c r="U49" s="490" t="b">
        <f>AND(U47:U48)</f>
        <v>0</v>
      </c>
      <c r="AO49" s="586"/>
      <c r="AP49" s="487"/>
      <c r="AQ49" s="487"/>
      <c r="AR49" s="487">
        <v>0</v>
      </c>
      <c r="AS49" s="487">
        <v>1</v>
      </c>
      <c r="AT49" s="487">
        <v>2</v>
      </c>
      <c r="AU49" s="487">
        <v>3</v>
      </c>
      <c r="AV49" s="487">
        <v>4</v>
      </c>
    </row>
    <row r="50" spans="20:56" x14ac:dyDescent="0.2">
      <c r="AO50" s="586"/>
      <c r="AP50" s="487" t="s">
        <v>359</v>
      </c>
      <c r="AQ50" s="487">
        <v>1</v>
      </c>
      <c r="AR50" s="588">
        <v>0.7</v>
      </c>
      <c r="AS50" s="588">
        <v>0.9</v>
      </c>
      <c r="AT50" s="588">
        <v>0.93330000000000002</v>
      </c>
      <c r="AU50" s="588">
        <v>0.9667</v>
      </c>
      <c r="AV50" s="588">
        <v>1</v>
      </c>
    </row>
    <row r="51" spans="20:56" x14ac:dyDescent="0.2">
      <c r="AO51" s="586"/>
      <c r="AP51" s="487" t="s">
        <v>360</v>
      </c>
      <c r="AQ51" s="487">
        <v>2</v>
      </c>
      <c r="AR51" s="588">
        <v>0.7</v>
      </c>
      <c r="AS51" s="588">
        <v>0.8</v>
      </c>
      <c r="AT51" s="588">
        <v>0.9</v>
      </c>
      <c r="AU51" s="588">
        <v>0.95</v>
      </c>
      <c r="AV51" s="588">
        <v>1</v>
      </c>
    </row>
    <row r="52" spans="20:56" x14ac:dyDescent="0.2">
      <c r="AO52" s="586"/>
      <c r="AP52" s="487" t="s">
        <v>361</v>
      </c>
      <c r="AQ52" s="487">
        <v>3</v>
      </c>
      <c r="AR52" s="588">
        <v>0.7</v>
      </c>
      <c r="AS52" s="588">
        <v>0.76670000000000005</v>
      </c>
      <c r="AT52" s="588">
        <v>0.83330000000000004</v>
      </c>
      <c r="AU52" s="588">
        <v>0.9</v>
      </c>
      <c r="AV52" s="588">
        <v>1</v>
      </c>
    </row>
    <row r="53" spans="20:56" x14ac:dyDescent="0.2">
      <c r="AP53" s="589" t="s">
        <v>362</v>
      </c>
      <c r="AQ53" s="487">
        <v>11</v>
      </c>
      <c r="AR53" s="588">
        <v>0.6</v>
      </c>
      <c r="AS53" s="588">
        <v>0.9</v>
      </c>
      <c r="AT53" s="588">
        <v>0.93330000000000002</v>
      </c>
      <c r="AU53" s="588">
        <v>0.9667</v>
      </c>
      <c r="AV53" s="588">
        <v>1</v>
      </c>
    </row>
    <row r="54" spans="20:56" x14ac:dyDescent="0.2">
      <c r="AP54" s="589" t="s">
        <v>363</v>
      </c>
      <c r="AQ54" s="487">
        <v>12</v>
      </c>
      <c r="AR54" s="588">
        <v>0.6</v>
      </c>
      <c r="AS54" s="588">
        <v>0.7</v>
      </c>
      <c r="AT54" s="588">
        <v>0.9</v>
      </c>
      <c r="AU54" s="588">
        <v>0.95</v>
      </c>
      <c r="AV54" s="588">
        <v>1</v>
      </c>
    </row>
    <row r="55" spans="20:56" x14ac:dyDescent="0.2">
      <c r="AP55" s="589" t="s">
        <v>364</v>
      </c>
      <c r="AQ55" s="487">
        <v>13</v>
      </c>
      <c r="AR55" s="588">
        <v>0.6</v>
      </c>
      <c r="AS55" s="588">
        <v>0.7</v>
      </c>
      <c r="AT55" s="588">
        <v>0.8</v>
      </c>
      <c r="AU55" s="588">
        <v>0.9</v>
      </c>
      <c r="AV55" s="588">
        <v>1</v>
      </c>
    </row>
    <row r="56" spans="20:56" x14ac:dyDescent="0.2">
      <c r="AP56" s="589" t="s">
        <v>365</v>
      </c>
      <c r="AQ56" s="487">
        <v>22</v>
      </c>
      <c r="AR56" s="588">
        <v>0.3</v>
      </c>
      <c r="AS56" s="588">
        <v>0.6</v>
      </c>
      <c r="AT56" s="588">
        <v>0.9</v>
      </c>
      <c r="AU56" s="588">
        <v>0.95</v>
      </c>
      <c r="AV56" s="588">
        <v>1</v>
      </c>
    </row>
    <row r="57" spans="20:56" x14ac:dyDescent="0.2">
      <c r="AP57" s="589" t="s">
        <v>366</v>
      </c>
      <c r="AQ57" s="487">
        <v>23</v>
      </c>
      <c r="AR57" s="588">
        <v>0.3</v>
      </c>
      <c r="AS57" s="588">
        <v>0.6</v>
      </c>
      <c r="AT57" s="588">
        <v>0.7</v>
      </c>
      <c r="AU57" s="588">
        <v>0.9</v>
      </c>
      <c r="AV57" s="588">
        <v>1</v>
      </c>
    </row>
    <row r="58" spans="20:56" x14ac:dyDescent="0.2">
      <c r="AP58" s="589" t="s">
        <v>367</v>
      </c>
      <c r="AQ58" s="487">
        <v>33</v>
      </c>
      <c r="AR58" s="588">
        <v>0</v>
      </c>
      <c r="AS58" s="588">
        <v>0.3</v>
      </c>
      <c r="AT58" s="588">
        <v>0.6</v>
      </c>
      <c r="AU58" s="588">
        <v>0.9</v>
      </c>
      <c r="AV58" s="588">
        <v>1</v>
      </c>
      <c r="AW58" s="85"/>
      <c r="AX58" s="88"/>
      <c r="BC58" s="88"/>
      <c r="BD58" s="88"/>
    </row>
    <row r="59" spans="20:56" x14ac:dyDescent="0.2">
      <c r="AW59" s="88"/>
      <c r="AX59" s="88"/>
      <c r="BC59" s="88"/>
      <c r="BD59" s="88"/>
    </row>
    <row r="60" spans="20:56" x14ac:dyDescent="0.2">
      <c r="AP60" s="88"/>
      <c r="AQ60" s="85"/>
      <c r="AR60" s="88"/>
      <c r="AS60" s="88"/>
      <c r="AT60" s="88"/>
      <c r="AU60" s="88"/>
      <c r="AV60" s="88"/>
      <c r="AW60" s="85"/>
      <c r="AX60" s="85"/>
      <c r="BC60" s="88"/>
      <c r="BD60" s="88"/>
    </row>
    <row r="61" spans="20:56" x14ac:dyDescent="0.2">
      <c r="AP61" s="200"/>
      <c r="AQ61" s="85"/>
      <c r="AR61" s="88"/>
      <c r="AS61" s="88"/>
      <c r="AT61" s="88"/>
      <c r="AU61" s="88"/>
      <c r="AV61" s="88"/>
      <c r="AW61" s="85"/>
      <c r="AX61" s="85"/>
      <c r="BC61" s="88"/>
      <c r="BD61" s="88"/>
    </row>
    <row r="62" spans="20:56" x14ac:dyDescent="0.2">
      <c r="AP62" s="85"/>
      <c r="AQ62" s="85"/>
      <c r="AR62" s="88"/>
      <c r="AS62" s="88"/>
      <c r="AT62" s="88"/>
      <c r="AU62" s="88"/>
      <c r="AV62" s="88"/>
      <c r="AW62" s="85"/>
      <c r="AX62" s="85"/>
      <c r="BC62" s="88"/>
      <c r="BD62" s="88"/>
    </row>
    <row r="63" spans="20:56" x14ac:dyDescent="0.2">
      <c r="AP63" s="85"/>
      <c r="AQ63" s="85"/>
      <c r="AR63" s="88"/>
      <c r="AS63" s="88"/>
      <c r="AT63" s="88"/>
      <c r="AU63" s="88"/>
      <c r="AV63" s="88"/>
      <c r="AW63" s="85"/>
      <c r="AX63" s="88"/>
      <c r="BC63" s="88"/>
      <c r="BD63" s="88"/>
    </row>
    <row r="64" spans="20:56" x14ac:dyDescent="0.2">
      <c r="AP64" s="85"/>
      <c r="AQ64" s="85"/>
      <c r="AR64" s="88"/>
      <c r="AS64" s="88"/>
      <c r="AT64" s="88"/>
      <c r="AU64" s="88"/>
      <c r="AV64" s="88"/>
      <c r="AW64" s="85"/>
      <c r="AX64" s="88"/>
      <c r="BC64" s="88"/>
      <c r="BD64" s="88"/>
    </row>
    <row r="65" spans="42:48" x14ac:dyDescent="0.2">
      <c r="AP65" s="85"/>
      <c r="AQ65" s="85"/>
      <c r="AR65" s="88"/>
      <c r="AS65" s="88"/>
      <c r="AT65" s="88"/>
      <c r="AU65" s="88"/>
      <c r="AV65" s="88"/>
    </row>
    <row r="66" spans="42:48" x14ac:dyDescent="0.2">
      <c r="AP66" s="85"/>
      <c r="AQ66" s="85"/>
      <c r="AR66" s="88"/>
      <c r="AS66" s="88"/>
      <c r="AT66" s="88"/>
      <c r="AU66" s="88"/>
      <c r="AV66" s="88"/>
    </row>
  </sheetData>
  <sheetProtection algorithmName="SHA-512" hashValue="gcfW9327INDtxfK0gAtYrKEhp/4lX9vubaooWlOLOVBJHd9cGtc41q4nIcmileBsuXcCHPSYmaHBJBrsUJOzBQ==" saltValue="YyPv3qs71JSUf3IUA+5v6Q==" spinCount="100000" sheet="1" selectLockedCells="1"/>
  <mergeCells count="76">
    <mergeCell ref="Q5:R5"/>
    <mergeCell ref="B6:E6"/>
    <mergeCell ref="B4:G4"/>
    <mergeCell ref="H4:N4"/>
    <mergeCell ref="O4:P4"/>
    <mergeCell ref="Q4:R4"/>
    <mergeCell ref="B5:E5"/>
    <mergeCell ref="F5:G5"/>
    <mergeCell ref="H5:L5"/>
    <mergeCell ref="M5:N5"/>
    <mergeCell ref="O5:P5"/>
    <mergeCell ref="C31:F31"/>
    <mergeCell ref="C32:F32"/>
    <mergeCell ref="BP3:BU4"/>
    <mergeCell ref="F6:G6"/>
    <mergeCell ref="H6:L6"/>
    <mergeCell ref="M6:N6"/>
    <mergeCell ref="O6:P6"/>
    <mergeCell ref="Q6:R6"/>
    <mergeCell ref="B3:G3"/>
    <mergeCell ref="H3:N3"/>
    <mergeCell ref="O3:P3"/>
    <mergeCell ref="Q3:R3"/>
    <mergeCell ref="B7:F7"/>
    <mergeCell ref="L7:R7"/>
    <mergeCell ref="BH4:BK6"/>
    <mergeCell ref="BL4:BN6"/>
    <mergeCell ref="C33:F33"/>
    <mergeCell ref="C34:F34"/>
    <mergeCell ref="BO34:BU37"/>
    <mergeCell ref="C8:F8"/>
    <mergeCell ref="L8:R39"/>
    <mergeCell ref="C9:F9"/>
    <mergeCell ref="C10:F10"/>
    <mergeCell ref="C11:F11"/>
    <mergeCell ref="C12:F12"/>
    <mergeCell ref="C13:F13"/>
    <mergeCell ref="C14:F14"/>
    <mergeCell ref="C15:F15"/>
    <mergeCell ref="C16:F16"/>
    <mergeCell ref="C30:F30"/>
    <mergeCell ref="C17:F17"/>
    <mergeCell ref="C18:F18"/>
    <mergeCell ref="BQ19:BU19"/>
    <mergeCell ref="C20:F20"/>
    <mergeCell ref="C21:F21"/>
    <mergeCell ref="BO21:BO29"/>
    <mergeCell ref="C22:F22"/>
    <mergeCell ref="C23:F23"/>
    <mergeCell ref="C24:F24"/>
    <mergeCell ref="C25:F25"/>
    <mergeCell ref="C26:F26"/>
    <mergeCell ref="C27:F27"/>
    <mergeCell ref="C28:F28"/>
    <mergeCell ref="C29:F29"/>
    <mergeCell ref="C19:F19"/>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s>
  <conditionalFormatting sqref="B8:F39">
    <cfRule type="expression" dxfId="273" priority="8" stopIfTrue="1">
      <formula>IF($Z8=1,TRUE,FALSE)</formula>
    </cfRule>
    <cfRule type="expression" dxfId="272" priority="9">
      <formula>IF($Z8=2,TRUE,FALSE)</formula>
    </cfRule>
  </conditionalFormatting>
  <conditionalFormatting sqref="C8:F39">
    <cfRule type="expression" dxfId="271" priority="1" stopIfTrue="1">
      <formula>IF($AF8=FALSE,TRUE,FALSE)</formula>
    </cfRule>
  </conditionalFormatting>
  <conditionalFormatting sqref="F5:G6 M5:P6">
    <cfRule type="expression" dxfId="270" priority="4" stopIfTrue="1">
      <formula>NOT($AU$4)</formula>
    </cfRule>
  </conditionalFormatting>
  <conditionalFormatting sqref="F6:G6">
    <cfRule type="cellIs" dxfId="269" priority="3" operator="equal">
      <formula>""</formula>
    </cfRule>
  </conditionalFormatting>
  <conditionalFormatting sqref="G8:K39">
    <cfRule type="expression" dxfId="268" priority="6" stopIfTrue="1">
      <formula>IF($Z8=1,TRUE,FALSE)</formula>
    </cfRule>
    <cfRule type="expression" dxfId="267" priority="7" stopIfTrue="1">
      <formula>IF($Z8=2,TRUE,FALSE)</formula>
    </cfRule>
  </conditionalFormatting>
  <conditionalFormatting sqref="H8:H39">
    <cfRule type="expression" dxfId="266" priority="10" stopIfTrue="1">
      <formula>IF($AB8=0,TRUE,FALSE)</formula>
    </cfRule>
  </conditionalFormatting>
  <conditionalFormatting sqref="H40:I41">
    <cfRule type="expression" dxfId="265" priority="2" stopIfTrue="1">
      <formula>IF($H$41="N/A",TRUE,FALSE)</formula>
    </cfRule>
  </conditionalFormatting>
  <conditionalFormatting sqref="H6:P6 O4:R4 B6 L8 L41 O41 Q41">
    <cfRule type="containsBlanks" dxfId="264" priority="5">
      <formula>LEN(TRIM(B4))=0</formula>
    </cfRule>
  </conditionalFormatting>
  <conditionalFormatting sqref="J8:J39">
    <cfRule type="expression" dxfId="263" priority="14">
      <formula>IF($Z8=1,FALSE,OR($BE8,$BD8))</formula>
    </cfRule>
  </conditionalFormatting>
  <conditionalFormatting sqref="J8:K39 C8:F39">
    <cfRule type="expression" dxfId="262" priority="13">
      <formula>IF($Z8=1,FALSE,OR($AW8,$AX8,$AY8,$AZ8))</formula>
    </cfRule>
  </conditionalFormatting>
  <conditionalFormatting sqref="J8:K39">
    <cfRule type="expression" dxfId="261" priority="11" stopIfTrue="1">
      <formula>IF(ISNA($Z8),TRUE,FALSE)</formula>
    </cfRule>
  </conditionalFormatting>
  <conditionalFormatting sqref="K8:K39">
    <cfRule type="expression" dxfId="260" priority="12">
      <formula>IF(OR($Z8=1,$Z8=2),FALSE,OR($BC8,$BE8,$BF8))</formula>
    </cfRule>
  </conditionalFormatting>
  <dataValidations count="6">
    <dataValidation type="list" allowBlank="1" showInputMessage="1" showErrorMessage="1" sqref="F6:G6" xr:uid="{49E3CF5A-A0F1-4957-8F02-B84CF7C9C600}">
      <formula1>"No,Yes"</formula1>
    </dataValidation>
    <dataValidation type="list" allowBlank="1" showInputMessage="1" showErrorMessage="1" sqref="J8:J39" xr:uid="{FC6A3EFE-56F3-46BB-A797-BAE39803CD38}">
      <formula1>"NA,0,1,2,3,4,5,6,7,8,9,10,11,12,13,14,15"</formula1>
    </dataValidation>
    <dataValidation type="list" allowBlank="1" showInputMessage="1" showErrorMessage="1" sqref="K8:K39" xr:uid="{3B48024B-74BC-4632-A96C-592E6A93B4A8}">
      <formula1>"D,0,1,2,3,4"</formula1>
    </dataValidation>
    <dataValidation showInputMessage="1" showErrorMessage="1" sqref="O41:R41" xr:uid="{6EC36294-78DB-4A80-B38F-4A752D9DCA8B}"/>
    <dataValidation type="decimal" allowBlank="1" showInputMessage="1" showErrorMessage="1" sqref="O6:P6" xr:uid="{32727158-B08D-4792-B850-73469F8E6FA5}">
      <formula1>0</formula1>
      <formula2>10</formula2>
    </dataValidation>
    <dataValidation type="date" allowBlank="1" showInputMessage="1" showErrorMessage="1" sqref="Q4:R4" xr:uid="{81496580-A0A0-48B5-BB13-34D9C0447B33}">
      <formula1>41151</formula1>
      <formula2>77433</formula2>
    </dataValidation>
  </dataValidations>
  <hyperlinks>
    <hyperlink ref="BP3" location="PF!A1" display="PF phase Summary Page" xr:uid="{2A8AAB6F-DC8D-43B1-BD73-3CF99C5ECCA1}"/>
    <hyperlink ref="BP3:BU4" location="FQ!A1" display="FQ Summary Page" xr:uid="{8336C5A8-656B-4F9E-94D6-EF93CE9F0C36}"/>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39619"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239620"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239621"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239622"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239623"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588AC-7F03-40ED-90B3-6908897C21F3}">
  <sheetPr codeName="Sheet33">
    <tabColor rgb="FF00B050"/>
    <pageSetUpPr autoPageBreaks="0"/>
  </sheetPr>
  <dimension ref="B1:DR66"/>
  <sheetViews>
    <sheetView showGridLines="0" showRowColHeaders="0" topLeftCell="A2" zoomScaleNormal="100" zoomScaleSheetLayoutView="100" workbookViewId="0">
      <selection activeCell="BP3" sqref="BP3:BU4"/>
    </sheetView>
  </sheetViews>
  <sheetFormatPr defaultColWidth="9.140625" defaultRowHeight="12.75" x14ac:dyDescent="0.2"/>
  <cols>
    <col min="1" max="1" width="1.5703125" style="87" customWidth="1"/>
    <col min="2" max="2" width="3.5703125" style="87" customWidth="1"/>
    <col min="3" max="3" width="5.5703125" style="87" customWidth="1"/>
    <col min="4" max="4" width="9.140625" style="87" customWidth="1"/>
    <col min="5" max="5" width="14" style="87" customWidth="1"/>
    <col min="6" max="6" width="7.85546875" style="87" customWidth="1"/>
    <col min="7" max="11" width="5.140625" style="87" customWidth="1"/>
    <col min="12" max="12" width="21.5703125" style="87" customWidth="1"/>
    <col min="13" max="13" width="6.5703125" style="87" customWidth="1"/>
    <col min="14" max="14" width="12.5703125" style="87" customWidth="1"/>
    <col min="15" max="15" width="7.85546875" style="87" customWidth="1"/>
    <col min="16" max="16" width="2.7109375" style="87" customWidth="1"/>
    <col min="17" max="17" width="4.85546875" style="87" customWidth="1"/>
    <col min="18" max="18" width="7.28515625" style="87" customWidth="1"/>
    <col min="19" max="19" width="1.7109375" style="87" customWidth="1"/>
    <col min="20" max="20" width="19.140625" style="88" hidden="1" customWidth="1"/>
    <col min="21" max="21" width="31.140625" style="88" hidden="1" customWidth="1"/>
    <col min="22" max="22" width="5.140625" style="88" hidden="1" customWidth="1"/>
    <col min="23" max="24" width="6.28515625" style="88" hidden="1" customWidth="1"/>
    <col min="25" max="25" width="8.42578125" style="88" hidden="1" customWidth="1"/>
    <col min="26" max="26" width="7.85546875" style="88" hidden="1" customWidth="1"/>
    <col min="27" max="27" width="10.7109375" style="88" hidden="1" customWidth="1"/>
    <col min="28" max="28" width="8" style="88" hidden="1" customWidth="1"/>
    <col min="29" max="31" width="5.140625" style="88" hidden="1" customWidth="1"/>
    <col min="32" max="34" width="5.85546875" style="88" hidden="1" customWidth="1"/>
    <col min="35" max="35" width="8.5703125" style="89" hidden="1" customWidth="1"/>
    <col min="36" max="36" width="7" style="88" hidden="1" customWidth="1"/>
    <col min="37" max="38" width="5.28515625" style="88" hidden="1" customWidth="1"/>
    <col min="39" max="40" width="7" style="88" hidden="1" customWidth="1"/>
    <col min="41" max="41" width="5.140625" style="88" hidden="1" customWidth="1"/>
    <col min="42" max="42" width="11.28515625" style="88" hidden="1" customWidth="1"/>
    <col min="43" max="43" width="6.42578125" style="88" hidden="1" customWidth="1"/>
    <col min="44" max="44" width="7.28515625" style="88" hidden="1" customWidth="1"/>
    <col min="45" max="45" width="8.85546875" style="88" hidden="1" customWidth="1"/>
    <col min="46" max="46" width="10.7109375" style="88" hidden="1" customWidth="1"/>
    <col min="47" max="47" width="8.85546875" style="88" hidden="1" customWidth="1"/>
    <col min="48" max="48" width="6.28515625" style="88" hidden="1" customWidth="1"/>
    <col min="49" max="49" width="10" style="88" hidden="1" customWidth="1"/>
    <col min="50" max="50" width="7.5703125" style="88" hidden="1" customWidth="1"/>
    <col min="51" max="51" width="7" style="88" hidden="1" customWidth="1"/>
    <col min="52" max="52" width="8.140625" style="88" hidden="1" customWidth="1"/>
    <col min="53" max="53" width="12.5703125" style="88" hidden="1" customWidth="1"/>
    <col min="54" max="54" width="7.7109375" style="88" hidden="1" customWidth="1"/>
    <col min="55" max="55" width="12.7109375" style="88" hidden="1" customWidth="1"/>
    <col min="56" max="56" width="7" style="88" hidden="1" customWidth="1"/>
    <col min="57" max="57" width="15.5703125" style="88" hidden="1" customWidth="1"/>
    <col min="58" max="58" width="9.140625" style="88" hidden="1" customWidth="1"/>
    <col min="59" max="59" width="10" style="88" hidden="1" customWidth="1"/>
    <col min="60" max="60" width="5.28515625" style="88" hidden="1" customWidth="1"/>
    <col min="61" max="61" width="4" style="88" hidden="1" customWidth="1"/>
    <col min="62" max="62" width="4.7109375" style="88" hidden="1" customWidth="1"/>
    <col min="63" max="63" width="5.5703125" style="88" hidden="1" customWidth="1"/>
    <col min="64" max="64" width="5.28515625" style="88" hidden="1" customWidth="1"/>
    <col min="65" max="65" width="4" style="88" hidden="1" customWidth="1"/>
    <col min="66" max="66" width="5.5703125" style="88" hidden="1" customWidth="1"/>
    <col min="67" max="67" width="5.140625" style="90" customWidth="1"/>
    <col min="68" max="73" width="5.140625" style="87" customWidth="1"/>
    <col min="74" max="16384" width="9.140625" style="87"/>
  </cols>
  <sheetData>
    <row r="1" spans="2:122" s="84" customFormat="1" ht="12" hidden="1" x14ac:dyDescent="0.2">
      <c r="T1" s="85"/>
      <c r="U1" s="85"/>
      <c r="V1" s="85"/>
      <c r="W1" s="85"/>
      <c r="X1" s="85"/>
      <c r="Y1" s="85"/>
      <c r="Z1" s="85"/>
      <c r="AA1" s="85"/>
      <c r="AB1" s="85"/>
      <c r="AC1" s="85"/>
      <c r="AD1" s="85"/>
      <c r="AE1" s="85"/>
      <c r="AF1" s="85"/>
      <c r="AG1" s="85"/>
      <c r="AH1" s="85"/>
      <c r="AI1" s="86"/>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row>
    <row r="2" spans="2:122" ht="19.5" thickBot="1" x14ac:dyDescent="0.35">
      <c r="O2" s="1265"/>
      <c r="P2" s="1265"/>
      <c r="Q2" s="1265"/>
      <c r="R2" s="1265"/>
      <c r="S2" s="1265"/>
      <c r="T2" s="1265"/>
      <c r="U2" s="1265"/>
      <c r="V2" s="1265"/>
      <c r="W2" s="1265"/>
      <c r="X2" s="1265"/>
      <c r="Y2" s="1265"/>
      <c r="Z2" s="1265"/>
      <c r="AA2" s="1265"/>
      <c r="AB2" s="1265"/>
      <c r="AC2" s="1265"/>
      <c r="AD2" s="1265"/>
      <c r="AE2" s="1265"/>
      <c r="AF2" s="1265"/>
      <c r="AG2" s="1265"/>
      <c r="AH2" s="1265"/>
      <c r="AI2" s="1265"/>
      <c r="AJ2" s="1265"/>
      <c r="AK2" s="1265"/>
      <c r="AL2" s="1265"/>
      <c r="AM2" s="1265"/>
      <c r="AN2" s="1265"/>
      <c r="AO2" s="1265"/>
      <c r="AP2" s="1265"/>
      <c r="AQ2" s="1265"/>
      <c r="AR2" s="1265"/>
      <c r="AS2" s="1265"/>
      <c r="AT2" s="1265"/>
      <c r="AU2" s="1265"/>
      <c r="AV2" s="1265"/>
      <c r="AW2" s="1265"/>
      <c r="AX2" s="1265"/>
      <c r="AY2" s="1265"/>
      <c r="AZ2" s="1265"/>
      <c r="BA2" s="1265"/>
      <c r="BB2" s="1265"/>
      <c r="BC2" s="1265"/>
      <c r="BD2" s="1265"/>
      <c r="BE2" s="1265"/>
      <c r="BF2" s="1265"/>
      <c r="BG2" s="1265"/>
      <c r="BH2" s="1265"/>
      <c r="BI2" s="1265"/>
      <c r="BJ2" s="1265"/>
      <c r="BK2" s="1265"/>
      <c r="BL2" s="1265"/>
      <c r="BM2" s="1265"/>
      <c r="BN2" s="1265"/>
      <c r="BO2" s="1265"/>
      <c r="BP2" s="1265"/>
      <c r="BQ2" s="1265"/>
    </row>
    <row r="3" spans="2:122" ht="13.5" customHeight="1" thickTop="1" x14ac:dyDescent="0.2">
      <c r="B3" s="967" t="s">
        <v>267</v>
      </c>
      <c r="C3" s="968"/>
      <c r="D3" s="968"/>
      <c r="E3" s="968"/>
      <c r="F3" s="968"/>
      <c r="G3" s="969"/>
      <c r="H3" s="970" t="s">
        <v>775</v>
      </c>
      <c r="I3" s="971"/>
      <c r="J3" s="971"/>
      <c r="K3" s="971"/>
      <c r="L3" s="971"/>
      <c r="M3" s="971"/>
      <c r="N3" s="972"/>
      <c r="O3" s="973" t="s">
        <v>269</v>
      </c>
      <c r="P3" s="974"/>
      <c r="Q3" s="973" t="s">
        <v>270</v>
      </c>
      <c r="R3" s="975"/>
      <c r="S3" s="91"/>
      <c r="T3" s="92"/>
      <c r="U3" s="92"/>
      <c r="V3" s="92"/>
      <c r="W3" s="92"/>
      <c r="X3" s="92"/>
      <c r="Y3" s="92"/>
      <c r="Z3" s="92"/>
      <c r="AA3" s="92"/>
      <c r="AB3" s="92"/>
      <c r="AC3" s="92"/>
      <c r="AD3" s="92"/>
      <c r="AE3" s="92"/>
      <c r="AF3" s="92"/>
      <c r="AG3" s="92"/>
      <c r="AH3" s="92"/>
      <c r="AI3" s="93"/>
      <c r="AJ3" s="92"/>
      <c r="AK3" s="92"/>
      <c r="AL3" s="92"/>
      <c r="AM3" s="92"/>
      <c r="AN3" s="92"/>
      <c r="AO3" s="92"/>
      <c r="AP3" s="92"/>
      <c r="AQ3" s="85"/>
      <c r="AR3" s="85"/>
      <c r="AW3" s="88" t="s">
        <v>271</v>
      </c>
      <c r="AX3" s="88" t="s">
        <v>272</v>
      </c>
      <c r="AY3" s="88" t="s">
        <v>273</v>
      </c>
      <c r="AZ3" s="88" t="s">
        <v>274</v>
      </c>
      <c r="BA3" s="88" t="s">
        <v>275</v>
      </c>
      <c r="BB3" s="88" t="s">
        <v>276</v>
      </c>
      <c r="BP3" s="1032" t="s">
        <v>843</v>
      </c>
      <c r="BQ3" s="1032"/>
      <c r="BR3" s="1032"/>
      <c r="BS3" s="1032"/>
      <c r="BT3" s="1032"/>
      <c r="BU3" s="1032"/>
    </row>
    <row r="4" spans="2:122" s="94" customFormat="1" ht="15.75" customHeight="1" x14ac:dyDescent="0.3">
      <c r="B4" s="994" t="s">
        <v>277</v>
      </c>
      <c r="C4" s="995"/>
      <c r="D4" s="995"/>
      <c r="E4" s="995"/>
      <c r="F4" s="995"/>
      <c r="G4" s="996"/>
      <c r="H4" s="937" t="s">
        <v>753</v>
      </c>
      <c r="I4" s="938"/>
      <c r="J4" s="938"/>
      <c r="K4" s="938"/>
      <c r="L4" s="938"/>
      <c r="M4" s="938"/>
      <c r="N4" s="939"/>
      <c r="O4" s="997"/>
      <c r="P4" s="998"/>
      <c r="Q4" s="999"/>
      <c r="R4" s="1000"/>
      <c r="S4" s="95"/>
      <c r="T4" s="96"/>
      <c r="U4" s="96"/>
      <c r="V4" s="96"/>
      <c r="W4" s="96"/>
      <c r="X4" s="96"/>
      <c r="Y4" s="96"/>
      <c r="Z4" s="96"/>
      <c r="AA4" s="96"/>
      <c r="AB4" s="96"/>
      <c r="AC4" s="96"/>
      <c r="AD4" s="96"/>
      <c r="AE4" s="96"/>
      <c r="AF4" s="96"/>
      <c r="AG4" s="96"/>
      <c r="AH4" s="96"/>
      <c r="AI4" s="97"/>
      <c r="AJ4" s="96"/>
      <c r="AK4" s="96"/>
      <c r="AL4" s="96"/>
      <c r="AM4" s="96"/>
      <c r="AN4" s="96"/>
      <c r="AO4" s="96"/>
      <c r="AP4" s="96"/>
      <c r="AQ4" s="98"/>
      <c r="AR4" s="98"/>
      <c r="AS4" s="99"/>
      <c r="AT4" s="100" t="s">
        <v>278</v>
      </c>
      <c r="AU4" s="101" t="b">
        <v>1</v>
      </c>
      <c r="AV4" s="99">
        <v>5</v>
      </c>
      <c r="AW4" s="99" t="b">
        <f>IF(ISERR(OR(AW8:AW39)),"UNK",IF(AND(graded_aca_events&gt;=1,input_test),FALSE,OR(AW8:AW39)))</f>
        <v>1</v>
      </c>
      <c r="AX4" s="99" t="b">
        <f>IF(ISERR(OR(AX8:AX39)),"UNK",IF(AND(graded_aca_events&gt;=1,input_test),FALSE,OR(AX8:AX39)))</f>
        <v>1</v>
      </c>
      <c r="AY4" s="99" t="b">
        <f>IF(ISERR(OR(AY8:AY39)),"UNK",OR(AY8:AY39))</f>
        <v>0</v>
      </c>
      <c r="AZ4" s="99" t="b">
        <f>IF(ISERR(OR(AZ8:AZ39)),"UNK",OR(AZ8:AZ39))</f>
        <v>0</v>
      </c>
      <c r="BA4" s="99" t="b">
        <f>IF(ISERR(OR(BA8:BA39)),"UNK",OR(BA8:BA39))</f>
        <v>0</v>
      </c>
      <c r="BB4" s="99" t="b">
        <f>IF(ISERR(OR(BB8:BB39)),"UNK",OR(BB8:BB39))</f>
        <v>0</v>
      </c>
      <c r="BC4" s="102" t="b">
        <f>OR(BC8:BC39)</f>
        <v>0</v>
      </c>
      <c r="BD4" s="102" t="b">
        <f>OR(BD8:BD39)</f>
        <v>0</v>
      </c>
      <c r="BE4" s="102" t="b">
        <f>OR(BE8:BE39)</f>
        <v>0</v>
      </c>
      <c r="BF4" s="102"/>
      <c r="BG4" s="99"/>
      <c r="BH4" s="944" t="s">
        <v>279</v>
      </c>
      <c r="BI4" s="944"/>
      <c r="BJ4" s="944"/>
      <c r="BK4" s="944"/>
      <c r="BL4" s="977" t="s">
        <v>280</v>
      </c>
      <c r="BM4" s="977"/>
      <c r="BN4" s="977"/>
      <c r="BO4" s="90"/>
      <c r="BP4" s="1032"/>
      <c r="BQ4" s="1032"/>
      <c r="BR4" s="1032"/>
      <c r="BS4" s="1032"/>
      <c r="BT4" s="1032"/>
      <c r="BU4" s="1032"/>
      <c r="BV4" s="445"/>
      <c r="BW4" s="445"/>
      <c r="BX4" s="445"/>
      <c r="BY4" s="445"/>
      <c r="BZ4" s="445"/>
      <c r="CA4" s="445"/>
      <c r="CB4" s="445"/>
      <c r="CC4" s="445"/>
      <c r="CD4" s="445"/>
      <c r="CE4" s="445"/>
      <c r="CF4" s="445"/>
      <c r="CG4" s="445"/>
      <c r="CH4" s="445"/>
      <c r="CI4" s="445"/>
      <c r="CJ4" s="445"/>
      <c r="CK4" s="445"/>
      <c r="CL4" s="445"/>
      <c r="CM4" s="445"/>
      <c r="CN4" s="445"/>
      <c r="CO4" s="445"/>
      <c r="CP4" s="445"/>
      <c r="CQ4" s="445"/>
      <c r="CR4" s="445"/>
      <c r="CS4" s="445"/>
      <c r="CT4" s="445"/>
      <c r="CU4" s="445"/>
      <c r="CV4" s="445"/>
      <c r="CW4" s="445"/>
      <c r="CX4" s="445"/>
      <c r="CY4" s="445"/>
      <c r="CZ4" s="445"/>
      <c r="DA4" s="445"/>
      <c r="DB4" s="445"/>
      <c r="DC4" s="445"/>
      <c r="DD4" s="445"/>
      <c r="DE4" s="445"/>
      <c r="DF4" s="445"/>
      <c r="DG4" s="445"/>
      <c r="DH4" s="445"/>
      <c r="DI4" s="445"/>
      <c r="DJ4" s="445"/>
      <c r="DK4" s="445"/>
      <c r="DL4" s="445"/>
      <c r="DM4" s="445"/>
      <c r="DN4" s="445"/>
      <c r="DO4" s="445"/>
      <c r="DP4" s="445"/>
      <c r="DQ4" s="445"/>
      <c r="DR4" s="445"/>
    </row>
    <row r="5" spans="2:122" s="91" customFormat="1" ht="7.5" customHeight="1" x14ac:dyDescent="0.25">
      <c r="B5" s="978" t="s">
        <v>281</v>
      </c>
      <c r="C5" s="979"/>
      <c r="D5" s="979"/>
      <c r="E5" s="980"/>
      <c r="F5" s="981" t="s">
        <v>282</v>
      </c>
      <c r="G5" s="980"/>
      <c r="H5" s="981" t="s">
        <v>283</v>
      </c>
      <c r="I5" s="979"/>
      <c r="J5" s="979"/>
      <c r="K5" s="979"/>
      <c r="L5" s="980"/>
      <c r="M5" s="982" t="s">
        <v>284</v>
      </c>
      <c r="N5" s="983"/>
      <c r="O5" s="984" t="s">
        <v>285</v>
      </c>
      <c r="P5" s="985"/>
      <c r="Q5" s="981" t="str">
        <f>IF(AU41=0,"GRADE","GRADE (inc. bonus)")</f>
        <v>GRADE</v>
      </c>
      <c r="R5" s="986"/>
      <c r="T5" s="92"/>
      <c r="U5" s="92"/>
      <c r="V5" s="92"/>
      <c r="W5" s="92"/>
      <c r="X5" s="92"/>
      <c r="Y5" s="92"/>
      <c r="Z5" s="92"/>
      <c r="AA5" s="92"/>
      <c r="AB5" s="92"/>
      <c r="AC5" s="92"/>
      <c r="AD5" s="92"/>
      <c r="AE5" s="92"/>
      <c r="AF5" s="92"/>
      <c r="AG5" s="92"/>
      <c r="AH5" s="92"/>
      <c r="AI5" s="93"/>
      <c r="AJ5" s="92"/>
      <c r="AK5" s="92"/>
      <c r="AL5" s="92"/>
      <c r="AM5" s="92"/>
      <c r="AN5" s="92"/>
      <c r="AO5" s="92"/>
      <c r="AP5" s="92"/>
      <c r="AQ5" s="92"/>
      <c r="AR5" s="92"/>
      <c r="AS5" s="92"/>
      <c r="AT5" s="92"/>
      <c r="AU5" s="92"/>
      <c r="AV5" s="92"/>
      <c r="AW5" s="92"/>
      <c r="AX5" s="92"/>
      <c r="AY5" s="92"/>
      <c r="AZ5" s="92"/>
      <c r="BA5" s="92"/>
      <c r="BB5" s="92"/>
      <c r="BC5" s="92"/>
      <c r="BD5" s="92"/>
      <c r="BE5" s="92"/>
      <c r="BF5" s="92"/>
      <c r="BG5" s="92"/>
      <c r="BH5" s="944"/>
      <c r="BI5" s="944"/>
      <c r="BJ5" s="944"/>
      <c r="BK5" s="944"/>
      <c r="BL5" s="977"/>
      <c r="BM5" s="977"/>
      <c r="BN5" s="977"/>
      <c r="BO5" s="103"/>
    </row>
    <row r="6" spans="2:122" s="94" customFormat="1" ht="15.75" customHeight="1" thickBot="1" x14ac:dyDescent="0.25">
      <c r="B6" s="1001"/>
      <c r="C6" s="1002"/>
      <c r="D6" s="1002"/>
      <c r="E6" s="1003"/>
      <c r="F6" s="1004" t="s">
        <v>286</v>
      </c>
      <c r="G6" s="1005"/>
      <c r="H6" s="1006"/>
      <c r="I6" s="1007"/>
      <c r="J6" s="1007"/>
      <c r="K6" s="1007"/>
      <c r="L6" s="1005"/>
      <c r="M6" s="1008"/>
      <c r="N6" s="1009"/>
      <c r="O6" s="1010"/>
      <c r="P6" s="1011"/>
      <c r="Q6" s="949" t="str">
        <f>IF((graded_aca_events+graded_amn_events)&lt;1,"0",IF(ISERROR(AR46),"",IF(F41&lt;&gt;"COMPLETE","INCOMPLETE",AR46)))</f>
        <v>0</v>
      </c>
      <c r="R6" s="950"/>
      <c r="S6" s="87"/>
      <c r="T6" s="99"/>
      <c r="U6" s="99">
        <v>2</v>
      </c>
      <c r="V6" s="99">
        <v>3</v>
      </c>
      <c r="W6" s="99">
        <v>6</v>
      </c>
      <c r="X6" s="99">
        <v>7</v>
      </c>
      <c r="Y6" s="99">
        <v>11</v>
      </c>
      <c r="Z6" s="99">
        <v>8</v>
      </c>
      <c r="AA6" s="99">
        <v>9</v>
      </c>
      <c r="AB6" s="99">
        <v>10</v>
      </c>
      <c r="AC6" s="99">
        <v>5</v>
      </c>
      <c r="AD6" s="99">
        <v>4</v>
      </c>
      <c r="AE6" s="99">
        <v>12</v>
      </c>
      <c r="AF6" s="99">
        <v>13</v>
      </c>
      <c r="AG6" s="99"/>
      <c r="AH6" s="99"/>
      <c r="AI6" s="104"/>
      <c r="AJ6" s="105"/>
      <c r="AK6" s="105"/>
      <c r="AL6" s="105"/>
      <c r="AM6" s="105" t="b">
        <f>IF(COUNT(AM8:AM39)&gt;0,TRUE,FALSE)</f>
        <v>0</v>
      </c>
      <c r="AN6" s="105" t="b">
        <f>IF(COUNT(AN8:AN39)&gt;0,TRUE,FALSE)</f>
        <v>0</v>
      </c>
      <c r="AO6" s="99"/>
      <c r="AP6" s="99"/>
      <c r="AQ6" s="98"/>
      <c r="AR6" s="98"/>
      <c r="AS6" s="99"/>
      <c r="AT6" s="106">
        <v>0.2</v>
      </c>
      <c r="AU6" s="99"/>
      <c r="AV6" s="107">
        <f>0.01*input_maxb</f>
        <v>0.05</v>
      </c>
      <c r="AW6" s="108" t="s">
        <v>287</v>
      </c>
      <c r="AX6" s="109"/>
      <c r="AY6" s="108" t="s">
        <v>288</v>
      </c>
      <c r="AZ6" s="109"/>
      <c r="BA6" s="110" t="s">
        <v>289</v>
      </c>
      <c r="BB6" s="110"/>
      <c r="BC6" s="108" t="s">
        <v>290</v>
      </c>
      <c r="BD6" s="110"/>
      <c r="BE6" s="111"/>
      <c r="BF6" s="112"/>
      <c r="BG6" s="99" t="s">
        <v>291</v>
      </c>
      <c r="BH6" s="944"/>
      <c r="BI6" s="944"/>
      <c r="BJ6" s="944"/>
      <c r="BK6" s="944"/>
      <c r="BL6" s="977"/>
      <c r="BM6" s="977"/>
      <c r="BN6" s="977"/>
      <c r="BO6" s="90"/>
    </row>
    <row r="7" spans="2:122" ht="27" customHeight="1" thickBot="1" x14ac:dyDescent="0.25">
      <c r="B7" s="951" t="s">
        <v>292</v>
      </c>
      <c r="C7" s="952"/>
      <c r="D7" s="952"/>
      <c r="E7" s="952"/>
      <c r="F7" s="953"/>
      <c r="G7" s="113" t="s">
        <v>293</v>
      </c>
      <c r="H7" s="114" t="s">
        <v>294</v>
      </c>
      <c r="I7" s="115" t="s">
        <v>295</v>
      </c>
      <c r="J7" s="116" t="s">
        <v>296</v>
      </c>
      <c r="K7" s="117" t="s">
        <v>297</v>
      </c>
      <c r="L7" s="954" t="s">
        <v>298</v>
      </c>
      <c r="M7" s="952"/>
      <c r="N7" s="952"/>
      <c r="O7" s="952"/>
      <c r="P7" s="952"/>
      <c r="Q7" s="952"/>
      <c r="R7" s="955"/>
      <c r="T7" s="118" t="s">
        <v>299</v>
      </c>
      <c r="U7" s="118"/>
      <c r="V7" s="118" t="s">
        <v>300</v>
      </c>
      <c r="W7" s="118" t="s">
        <v>301</v>
      </c>
      <c r="X7" s="118" t="s">
        <v>302</v>
      </c>
      <c r="Y7" s="118" t="s">
        <v>303</v>
      </c>
      <c r="Z7" s="118" t="s">
        <v>304</v>
      </c>
      <c r="AA7" s="118" t="s">
        <v>305</v>
      </c>
      <c r="AB7" s="118" t="s">
        <v>306</v>
      </c>
      <c r="AC7" s="118" t="s">
        <v>307</v>
      </c>
      <c r="AD7" s="118" t="s">
        <v>308</v>
      </c>
      <c r="AE7" s="118" t="s">
        <v>309</v>
      </c>
      <c r="AF7" s="118" t="s">
        <v>310</v>
      </c>
      <c r="AG7" s="118" t="s">
        <v>311</v>
      </c>
      <c r="AH7" s="118" t="s">
        <v>312</v>
      </c>
      <c r="AI7" s="119" t="s">
        <v>313</v>
      </c>
      <c r="AJ7" s="120" t="s">
        <v>314</v>
      </c>
      <c r="AK7" s="121" t="s">
        <v>315</v>
      </c>
      <c r="AL7" s="121" t="s">
        <v>316</v>
      </c>
      <c r="AM7" s="121" t="s">
        <v>317</v>
      </c>
      <c r="AN7" s="121" t="s">
        <v>318</v>
      </c>
      <c r="AO7" s="120" t="s">
        <v>319</v>
      </c>
      <c r="AP7" s="120" t="s">
        <v>320</v>
      </c>
      <c r="AQ7" s="122" t="s">
        <v>321</v>
      </c>
      <c r="AR7" s="123" t="s">
        <v>1</v>
      </c>
      <c r="AS7" s="122" t="s">
        <v>322</v>
      </c>
      <c r="AT7" s="123" t="s">
        <v>1</v>
      </c>
      <c r="AU7" s="122" t="s">
        <v>323</v>
      </c>
      <c r="AV7" s="124" t="s">
        <v>324</v>
      </c>
      <c r="AW7" s="125" t="s">
        <v>325</v>
      </c>
      <c r="AX7" s="126" t="s">
        <v>326</v>
      </c>
      <c r="AY7" s="125" t="s">
        <v>327</v>
      </c>
      <c r="AZ7" s="126" t="s">
        <v>328</v>
      </c>
      <c r="BA7" s="127" t="s">
        <v>329</v>
      </c>
      <c r="BB7" s="127" t="s">
        <v>330</v>
      </c>
      <c r="BC7" s="128" t="s">
        <v>331</v>
      </c>
      <c r="BD7" s="129" t="s">
        <v>332</v>
      </c>
      <c r="BE7" s="130" t="s">
        <v>333</v>
      </c>
      <c r="BF7" s="131" t="s">
        <v>334</v>
      </c>
      <c r="BH7" s="88" t="s">
        <v>335</v>
      </c>
      <c r="BI7" s="88" t="s">
        <v>336</v>
      </c>
      <c r="BJ7" s="118" t="s">
        <v>337</v>
      </c>
      <c r="BK7" s="88" t="s">
        <v>338</v>
      </c>
      <c r="BL7" s="88" t="s">
        <v>335</v>
      </c>
      <c r="BM7" s="88" t="s">
        <v>336</v>
      </c>
      <c r="BN7" s="88" t="s">
        <v>338</v>
      </c>
    </row>
    <row r="8" spans="2:122" ht="12.95" customHeight="1" x14ac:dyDescent="0.2">
      <c r="B8" s="132" t="str">
        <f>IF(ISNA(Z8),"",IF(OR(Z8=1,Z8=2),"",1))</f>
        <v/>
      </c>
      <c r="C8" s="956" t="str">
        <f t="shared" ref="C8:C36" si="0">IF(ISNA(Z8),"",CONCATENATE($U8,IF(ISNUMBER(AI8),TEXT(ROUND($AI8,3)," (0.0%)"),""),IF(AU8&gt;0," Bonus","")))</f>
        <v>Airmanship Tasks (20.0%)</v>
      </c>
      <c r="D8" s="956"/>
      <c r="E8" s="956"/>
      <c r="F8" s="957"/>
      <c r="G8" s="133" t="str">
        <f t="shared" ref="G8:G39" si="1">BH8</f>
        <v/>
      </c>
      <c r="H8" s="134" t="str">
        <f t="shared" ref="H8:I39" si="2">BJ8</f>
        <v/>
      </c>
      <c r="I8" s="135" t="str">
        <f t="shared" si="2"/>
        <v/>
      </c>
      <c r="J8" s="136"/>
      <c r="K8" s="137"/>
      <c r="L8" s="1012"/>
      <c r="M8" s="1013"/>
      <c r="N8" s="1013"/>
      <c r="O8" s="1013"/>
      <c r="P8" s="1013"/>
      <c r="Q8" s="1013"/>
      <c r="R8" s="1014"/>
      <c r="T8" s="88">
        <v>1</v>
      </c>
      <c r="U8" s="88" t="s">
        <v>339</v>
      </c>
      <c r="V8" s="453" t="s">
        <v>340</v>
      </c>
      <c r="W8" s="453" t="s">
        <v>340</v>
      </c>
      <c r="X8" s="453" t="s">
        <v>340</v>
      </c>
      <c r="Y8" s="453" t="s">
        <v>340</v>
      </c>
      <c r="Z8" s="453">
        <v>1</v>
      </c>
      <c r="AA8" s="453">
        <v>0</v>
      </c>
      <c r="AB8" s="453">
        <v>0</v>
      </c>
      <c r="AC8" s="453" t="s">
        <v>340</v>
      </c>
      <c r="AD8" s="453" t="s">
        <v>340</v>
      </c>
      <c r="AE8" s="453">
        <v>0</v>
      </c>
      <c r="AF8" s="453" t="s">
        <v>340</v>
      </c>
      <c r="AG8" s="453" t="str">
        <f t="shared" ref="AG8:AG39" si="3">IF(CrewSoloQual="Yes",$AC8,$AD8)</f>
        <v/>
      </c>
      <c r="AH8" s="453" t="str">
        <f t="shared" ref="AH8:AH39" si="4">IF(ISNUMBER(AC8),IF(CrewSoloQual="Yes",$AC8-1,$AD8-1),"")</f>
        <v/>
      </c>
      <c r="AI8" s="138">
        <f>IF(NOT(OR(Z8=1,Z8=2)),IF(AQ8&gt;0,$AR$44*AQ8/SUMIF($AQ$8:$AQ$39,"&gt;0"),IF(AU8&gt;0,$AV$44*AU8/SUMIF($AU$8:$AU$39,"&gt;0"),IF(AS8&gt;0,$AT$44*AS8/SUMIF($AS$8:$AS$39,"&gt;0"),""))),IF(SUMIF(AJ9:$AJ$39,"=" &amp; AJ8,AI9:$AI$39)=0,"",SUMIF(AJ9:$AJ$39,"=" &amp; AJ8,AI9:$AI$39)))</f>
        <v>0.2</v>
      </c>
      <c r="AJ8" s="139">
        <f>0</f>
        <v>0</v>
      </c>
      <c r="AK8" s="453" t="str">
        <f>BI8</f>
        <v/>
      </c>
      <c r="AL8" s="453" t="str">
        <f>IF(ISBLANK(K8),"",K8)</f>
        <v/>
      </c>
      <c r="AM8" s="453" t="str">
        <f>IF(ISNUMBER(AK8),IF(ISNUMBER(AL8),1,""),"")</f>
        <v/>
      </c>
      <c r="AN8" s="453" t="str">
        <f t="shared" ref="AN8:AN36" si="5">IF(ISNUMBER(AH8),IF(AND(AB8=0,ISNUMBER(AC8),ISNUMBER(AL8)),1,""),"")</f>
        <v/>
      </c>
      <c r="AO8" s="453" t="str">
        <f t="shared" ref="AO8:AO39" si="6">IF(AB8=0,IF(CrewSoloQual="No",BI8,BK8),"")</f>
        <v/>
      </c>
      <c r="AP8" s="453" t="str">
        <f t="shared" ref="AP8:AP39" si="7">IF(ISNA(Z8),"",IF(AND(ISNUMBER(B8),G8&gt;=1,H8&lt;&gt;"NG"),IF(K8&lt;BK8,TRUE,FALSE),IF(AND(G8&gt;=1,J8="NA"),TRUE,IF(AND(AM8=1,G8=0,AL8&lt;BI8),TRUE,""))))</f>
        <v/>
      </c>
      <c r="AQ8" s="140">
        <f>IF(ISNA(Z8),0,IF(OR(J8="NA",W8="",AB8=0),0,W8))</f>
        <v>0</v>
      </c>
      <c r="AR8" s="141" t="str">
        <f t="shared" ref="AR8:AR39" si="8">IF(ISNA(Z8),"",IF(AND(NOT(OR(Z8=1,Z8=2,AK8="NG",AB8=0)),IF(ISNUMBER(AL8),AL8&gt;=0,FALSE)),VLOOKUP((10*AD8+AC8),$AQ$50:$AV$58,2+AL8,FALSE),IF(AND(input_test=TRUE,ISNUMBER(AD8),V8&lt;&gt;0),VLOOKUP((10*AD8+AC8),$AQ$50:$AV$58,2,FALSE),"")))</f>
        <v/>
      </c>
      <c r="AS8" s="142">
        <f>IF(ISNA(Z8),0,IF(OR(J8="NA",X8="",AB8=1),0,X8))</f>
        <v>0</v>
      </c>
      <c r="AT8" s="141" t="str">
        <f t="shared" ref="AT8:AT39" si="9">IF(ISNA(Z8),"",IF(AND(NOT(OR(Z8=1,Z8=2,AK8="NG",AB8=1)),IF(ISNUMBER(AL8),AL8&gt;=0,FALSE)),VLOOKUP((10*AH8+AG8),$AQ$50:$AV$58,2+AL8,FALSE),IF(AND(input_test=TRUE,ISNUMBER(AD8),V8&lt;&gt;0),VLOOKUP((10*AH8+AG8),$AQ$50:$AV$58,2,FALSE),"")))</f>
        <v/>
      </c>
      <c r="AU8" s="143">
        <f t="shared" ref="AU8:AU39" si="10">IF(ISNA(Z8),0,IF(OR(J8="NA",Y8=""),0,Y8))</f>
        <v>0</v>
      </c>
      <c r="AV8" s="144" t="str">
        <f t="shared" ref="AV8:AV39" si="11">AR8</f>
        <v/>
      </c>
      <c r="AW8" s="143" t="b">
        <f t="shared" ref="AW8:AW39" si="12">IF(ISNA(Z8),FALSE,IF(OR(AB8=1,G8=0,Z8=1,Z8=2),FALSE,IF(OR(J8="NA",J8&gt;=G8),FALSE,TRUE)))</f>
        <v>0</v>
      </c>
      <c r="AX8" s="145" t="b">
        <f t="shared" ref="AX8:AX39" si="13">IF(ISNA(Z8),FALSE,IF(OR(AB8=0,G8=0,Z8=1,Z8=2,J8="NA"),FALSE,IF(AK8="NG",IF(NOT(ISBLANK(K8)),FALSE,TRUE),IF(J8&gt;=G8,FALSE,TRUE))))</f>
        <v>0</v>
      </c>
      <c r="AY8" s="143" t="b">
        <f t="shared" ref="AY8:AY39" si="14">IF(ISNA(Z8),FALSE,IF(OR(AB8=1,G8&lt;1,Z8=1,Z8=2,AE8=0,ISBLANK(K8)),FALSE,IF(OR(J8="NA",K8&gt;=BI8),FALSE,TRUE)))</f>
        <v>0</v>
      </c>
      <c r="AZ8" s="145" t="b">
        <f t="shared" ref="AZ8:AZ39" si="15">IF(ISNA(Z8),FALSE,IF(OR(AB8=0,G8=0,Z8=1,Z8=2,AE8=0,BI8="NG",K8="",ISBLANK(K8)),FALSE,IF(OR(J8="NA",K8&gt;=AK8),FALSE,TRUE)))</f>
        <v>0</v>
      </c>
      <c r="BA8" s="453" t="b">
        <f t="shared" ref="BA8:BA39" si="16">IF(ISNA(Z8),FALSE,IF(OR(AB8=1,G8&lt;1,Z8=1,Z8=2,AE8=0),FALSE,IF(J8="NA",TRUE,FALSE)))</f>
        <v>0</v>
      </c>
      <c r="BB8" s="453" t="b">
        <f t="shared" ref="BB8:BB39" si="17">IF(ISNA(Z8),FALSE,IF(OR(AB8=0,G8=0,Z8=1,Z8=2),FALSE,IF(J8="NA",TRUE,FALSE)))</f>
        <v>0</v>
      </c>
      <c r="BC8" s="143" t="b">
        <f t="shared" ref="BC8:BC39" si="18">IF(OR(ISNA($Z8),ISNUMBER($Z8),NOT(ISNUMBER($J8)),K8="D"),FALSE,IF(AND(NOT(ISNUMBER($K8)),J8&gt;0),TRUE,FALSE))</f>
        <v>0</v>
      </c>
      <c r="BD8" s="146" t="b">
        <f>IF(OR(ISNA($Z8),ISNUMBER($Z8),NOT(ISNUMBER(K8))),FALSE,OR(NOT(ISNUMBER(J8)),J8=0,AND(J8=0,K8&lt;&gt;0)))</f>
        <v>0</v>
      </c>
      <c r="BE8" s="145" t="b">
        <f t="shared" ref="BE8:BE21" si="19">IF(OR(ISNA($Z8),K8&lt;&gt;"D"),FALSE,IF(OR(AND(H8="NG",J8=0),AND(H8&lt;&gt;"NG",NOT(OR(J8="NA",J8=0)))),TRUE,FALSE))</f>
        <v>0</v>
      </c>
      <c r="BF8" s="147" t="b">
        <f t="shared" ref="BF8:BF30" si="20">IF(OR(ISNA($Z8),H8&lt;&gt;"NG"),FALSE,IF(AND(J8="NA",K8&lt;&gt;""),TRUE,FALSE))</f>
        <v>0</v>
      </c>
      <c r="BG8" s="453" t="b">
        <f t="shared" ref="BG8:BG21" si="21">IF(ISNA($Z8),"NA",IF(OR(AZ8,AY8,AX8,AW8,AP8,BA8,BB8),TRUE,FALSE))</f>
        <v>0</v>
      </c>
      <c r="BH8" s="148" t="str">
        <f>IF(ISNA($Z8),"",IF(OR($Z8=1,$Z8=2),"",$V8))</f>
        <v/>
      </c>
      <c r="BI8" s="453" t="str">
        <f t="shared" ref="BI8:BI39" si="22">IF(ISNA($Z8),"",IF(OR($Z8=1,$Z8=2,$G8=""),"",IF(AB8=0,AH8,$AD8)))</f>
        <v/>
      </c>
      <c r="BJ8" s="453" t="str">
        <f t="shared" ref="BJ8:BJ39" si="23">IF(ISNA(AE8),"",IF(OR(Z8=1,Z8=2),"",IF(OR(AE8=0,AD8="NG"),TEXT(BI8,"0"),CONCATENATE(TEXT(BI8,"0"),"*"))))</f>
        <v/>
      </c>
      <c r="BK8" s="453" t="str">
        <f t="shared" ref="BK8:BK39" si="24">IF(ISNA($Z8),"",IF(OR($Z8=1,$Z8=2,$G8=""),"",IF(AB8=0,AG8,$AC8)))</f>
        <v/>
      </c>
      <c r="BL8" s="148" t="str">
        <f>IF(ISBLANK(BH8),"",IF(BH8=0,"",BH8))</f>
        <v/>
      </c>
      <c r="BM8" s="453" t="str">
        <f t="shared" ref="BM8:BM39" si="25">IF($BH8=0,"",IF($BI8="NG","D",$BI8))</f>
        <v/>
      </c>
      <c r="BN8" s="453" t="str">
        <f t="shared" ref="BN8:BN39" si="26">IF(ISNA(U8),"",IF($BH8=0,"",IF($BI8="NG","D",BK8)))</f>
        <v/>
      </c>
      <c r="BO8" s="149" t="s">
        <v>341</v>
      </c>
      <c r="BP8" s="150"/>
    </row>
    <row r="9" spans="2:122" s="94" customFormat="1" ht="12.95" customHeight="1" x14ac:dyDescent="0.2">
      <c r="B9" s="151">
        <f>IF(ISNA(Z9),"",IF(OR(Z9=1,Z9=2),"    ",MAX($B$8:B8)+1))</f>
        <v>1</v>
      </c>
      <c r="C9" s="904" t="str">
        <f t="shared" si="0"/>
        <v>Basic Aircraft Procedures (4.0%)</v>
      </c>
      <c r="D9" s="904"/>
      <c r="E9" s="904"/>
      <c r="F9" s="905"/>
      <c r="G9" s="133">
        <f t="shared" si="1"/>
        <v>1</v>
      </c>
      <c r="H9" s="134" t="str">
        <f t="shared" si="2"/>
        <v>2*</v>
      </c>
      <c r="I9" s="152">
        <f t="shared" si="2"/>
        <v>3</v>
      </c>
      <c r="J9" s="153"/>
      <c r="K9" s="154"/>
      <c r="L9" s="1015"/>
      <c r="M9" s="1016"/>
      <c r="N9" s="1016"/>
      <c r="O9" s="1016"/>
      <c r="P9" s="1016"/>
      <c r="Q9" s="1016"/>
      <c r="R9" s="1017"/>
      <c r="T9" s="99">
        <v>2</v>
      </c>
      <c r="U9" s="88" t="s">
        <v>342</v>
      </c>
      <c r="V9" s="453">
        <v>1</v>
      </c>
      <c r="W9" s="453" t="s">
        <v>340</v>
      </c>
      <c r="X9" s="453">
        <v>1</v>
      </c>
      <c r="Y9" s="453" t="s">
        <v>340</v>
      </c>
      <c r="Z9" s="146" t="s">
        <v>340</v>
      </c>
      <c r="AA9" s="146">
        <v>1</v>
      </c>
      <c r="AB9" s="146">
        <v>0</v>
      </c>
      <c r="AC9" s="453">
        <v>3</v>
      </c>
      <c r="AD9" s="453">
        <v>2</v>
      </c>
      <c r="AE9" s="453">
        <v>1</v>
      </c>
      <c r="AF9" s="453" t="b">
        <v>1</v>
      </c>
      <c r="AG9" s="453">
        <f t="shared" si="3"/>
        <v>3</v>
      </c>
      <c r="AH9" s="453">
        <f t="shared" si="4"/>
        <v>2</v>
      </c>
      <c r="AI9" s="138">
        <f>IF(NOT(OR(Z9=1,Z9=2)),IF(AQ9&gt;0,$AR$44*AQ9/SUMIF($AQ$8:$AQ$39,"&gt;0"),IF(AU9&gt;0,$AV$44*AU9/SUMIF($AU$8:$AU$39,"&gt;0"),IF(AS9&gt;0,$AT$44*AS9/SUMIF($AS$8:$AS$39,"&gt;0"),""))),IF(SUMIF(AJ10:$AJ$39,"=" &amp; AJ9,AI10:$AI$39)=0,"",SUMIF(AJ10:$AJ$39,"=" &amp; AJ9,AI10:$AI$39)))</f>
        <v>0.04</v>
      </c>
      <c r="AJ9" s="139">
        <f>IF(OR(Z9=1,Z9=2,AA9&lt;AA8),AJ8+1,AJ8)</f>
        <v>0</v>
      </c>
      <c r="AK9" s="453">
        <f t="shared" ref="AK9:AK39" si="27">BI9</f>
        <v>2</v>
      </c>
      <c r="AL9" s="146" t="str">
        <f t="shared" ref="AL9:AL39" si="28">IF(ISBLANK(K9),"",K9)</f>
        <v/>
      </c>
      <c r="AM9" s="146" t="str">
        <f>IF(ISNUMBER(AK9),IF(ISNUMBER(AL9),1,""),"")</f>
        <v/>
      </c>
      <c r="AN9" s="146" t="str">
        <f t="shared" si="5"/>
        <v/>
      </c>
      <c r="AO9" s="146">
        <f t="shared" si="6"/>
        <v>3</v>
      </c>
      <c r="AP9" s="453" t="b">
        <f>IF(ISNA(Z9),"",IF(AND(ISNUMBER(B9),G9&gt;=1,H9&lt;&gt;"NG"),IF(K9&lt;BK9,TRUE,FALSE),IF(AND(G9&gt;=1,J9="NA"),TRUE,IF(AND(AM9=1,G9=0,AL9&lt;BI9),TRUE,""))))</f>
        <v>1</v>
      </c>
      <c r="AQ9" s="140">
        <f t="shared" ref="AQ9:AQ39" si="29">IF(ISNA(Z9),0,IF(OR(J9="NA",W9="",AB9=0),0,W9))</f>
        <v>0</v>
      </c>
      <c r="AR9" s="141" t="str">
        <f>IF(ISNA(Z9),"",IF(AND(NOT(OR(Z9=1,Z9=2,AK9="NG",AB9=0)),IF(ISNUMBER(AL9),AL9&gt;=0,FALSE)),VLOOKUP((10*AD9+AC9),$AQ$50:$AV$58,2+AL9,FALSE),IF(AND(input_test=TRUE,ISNUMBER(AD9),V9&lt;&gt;0),VLOOKUP((10*AD9+AC9),$AQ$50:$AV$58,2,FALSE),"")))</f>
        <v/>
      </c>
      <c r="AS9" s="142">
        <f t="shared" ref="AS9:AS39" si="30">IF(ISNA(Z9),0,IF(OR(J9="NA",X9="",AB9=1),0,X9))</f>
        <v>1</v>
      </c>
      <c r="AT9" s="141" t="str">
        <f>IF(ISNA(Z9),"",IF(AND(NOT(OR(Z9=1,Z9=2,AK9="NG",AB9=1)),IF(ISNUMBER(AL9),AL9&gt;=0,FALSE)),VLOOKUP((10*AH9+AG9),$AQ$50:$AV$58,2+AL9,FALSE),IF(AND(input_test=TRUE,ISNUMBER(AD9),V9&lt;&gt;0),VLOOKUP((10*AH9+AG9),$AQ$50:$AV$58,2,FALSE),"")))</f>
        <v/>
      </c>
      <c r="AU9" s="143">
        <f t="shared" si="10"/>
        <v>0</v>
      </c>
      <c r="AV9" s="144" t="str">
        <f t="shared" si="11"/>
        <v/>
      </c>
      <c r="AW9" s="143" t="b">
        <f t="shared" si="12"/>
        <v>1</v>
      </c>
      <c r="AX9" s="145" t="b">
        <f t="shared" si="13"/>
        <v>0</v>
      </c>
      <c r="AY9" s="143" t="b">
        <f t="shared" si="14"/>
        <v>0</v>
      </c>
      <c r="AZ9" s="145" t="b">
        <f t="shared" si="15"/>
        <v>0</v>
      </c>
      <c r="BA9" s="453" t="b">
        <f t="shared" si="16"/>
        <v>0</v>
      </c>
      <c r="BB9" s="453" t="b">
        <f t="shared" si="17"/>
        <v>0</v>
      </c>
      <c r="BC9" s="143" t="b">
        <f t="shared" si="18"/>
        <v>0</v>
      </c>
      <c r="BD9" s="146" t="b">
        <f t="shared" ref="BD9:BD39" si="31">IF(OR(ISNA($Z9),ISNUMBER($Z9),NOT(ISNUMBER(K9))),FALSE,OR(NOT(ISNUMBER(J9)),J9=0,AND(J9=0,K9&lt;&gt;0)))</f>
        <v>0</v>
      </c>
      <c r="BE9" s="145" t="b">
        <f t="shared" si="19"/>
        <v>0</v>
      </c>
      <c r="BF9" s="147" t="b">
        <f t="shared" si="20"/>
        <v>0</v>
      </c>
      <c r="BG9" s="453" t="b">
        <f t="shared" si="21"/>
        <v>1</v>
      </c>
      <c r="BH9" s="453">
        <f t="shared" ref="BH9:BH39" si="32">IF(ISNA($Z9),"",IF(OR($Z9=1,$Z9=2),"",$V9))</f>
        <v>1</v>
      </c>
      <c r="BI9" s="453">
        <f t="shared" si="22"/>
        <v>2</v>
      </c>
      <c r="BJ9" s="453" t="str">
        <f t="shared" si="23"/>
        <v>2*</v>
      </c>
      <c r="BK9" s="453">
        <f t="shared" si="24"/>
        <v>3</v>
      </c>
      <c r="BL9" s="148">
        <f t="shared" ref="BL9:BL39" si="33">IF(ISBLANK(BH9),"",IF(BH9=0,"",BH9))</f>
        <v>1</v>
      </c>
      <c r="BM9" s="453">
        <f t="shared" si="25"/>
        <v>2</v>
      </c>
      <c r="BN9" s="453">
        <f t="shared" si="26"/>
        <v>3</v>
      </c>
      <c r="BO9" s="155" t="s">
        <v>343</v>
      </c>
      <c r="BP9" s="156" t="s">
        <v>344</v>
      </c>
    </row>
    <row r="10" spans="2:122" s="94" customFormat="1" ht="12.95" customHeight="1" x14ac:dyDescent="0.2">
      <c r="B10" s="151">
        <f>IF(ISNA(Z10),"",IF(OR(Z10=1,Z10=2),"    ",MAX($B$8:B9)+1))</f>
        <v>2</v>
      </c>
      <c r="C10" s="904" t="str">
        <f t="shared" si="0"/>
        <v>Basic Aircraft Handling (4.0%)</v>
      </c>
      <c r="D10" s="904"/>
      <c r="E10" s="904"/>
      <c r="F10" s="905"/>
      <c r="G10" s="133">
        <f t="shared" si="1"/>
        <v>1</v>
      </c>
      <c r="H10" s="134" t="str">
        <f t="shared" si="2"/>
        <v>2*</v>
      </c>
      <c r="I10" s="152">
        <f t="shared" si="2"/>
        <v>3</v>
      </c>
      <c r="J10" s="157"/>
      <c r="K10" s="154"/>
      <c r="L10" s="1015"/>
      <c r="M10" s="1016"/>
      <c r="N10" s="1016"/>
      <c r="O10" s="1016"/>
      <c r="P10" s="1016"/>
      <c r="Q10" s="1016"/>
      <c r="R10" s="1017"/>
      <c r="T10" s="99">
        <v>3</v>
      </c>
      <c r="U10" s="88" t="s">
        <v>551</v>
      </c>
      <c r="V10" s="453">
        <v>1</v>
      </c>
      <c r="W10" s="453" t="s">
        <v>340</v>
      </c>
      <c r="X10" s="453">
        <v>1</v>
      </c>
      <c r="Y10" s="453" t="s">
        <v>340</v>
      </c>
      <c r="Z10" s="146" t="s">
        <v>340</v>
      </c>
      <c r="AA10" s="146">
        <v>1</v>
      </c>
      <c r="AB10" s="146">
        <v>0</v>
      </c>
      <c r="AC10" s="453">
        <v>3</v>
      </c>
      <c r="AD10" s="453">
        <v>2</v>
      </c>
      <c r="AE10" s="453">
        <v>1</v>
      </c>
      <c r="AF10" s="453" t="b">
        <v>1</v>
      </c>
      <c r="AG10" s="453">
        <f t="shared" si="3"/>
        <v>3</v>
      </c>
      <c r="AH10" s="453">
        <f t="shared" si="4"/>
        <v>2</v>
      </c>
      <c r="AI10" s="138">
        <f>IF(NOT(OR(Z10=1,Z10=2)),IF(AQ10&gt;0,$AR$44*AQ10/SUMIF($AQ$8:$AQ$39,"&gt;0"),IF(AU10&gt;0,$AV$44*AU10/SUMIF($AU$8:$AU$39,"&gt;0"),IF(AS10&gt;0,$AT$44*AS10/SUMIF($AS$8:$AS$39,"&gt;0"),""))),IF(SUMIF(AJ11:$AJ$39,"=" &amp; AJ10,AI11:$AI$39)=0,"",SUMIF(AJ11:$AJ$39,"=" &amp; AJ10,AI11:$AI$39)))</f>
        <v>0.04</v>
      </c>
      <c r="AJ10" s="139">
        <f t="shared" ref="AJ10:AJ39" si="34">IF(OR(Z10=1,Z10=2,AA10&lt;AA9),AJ9+1,AJ9)</f>
        <v>0</v>
      </c>
      <c r="AK10" s="453">
        <f t="shared" si="27"/>
        <v>2</v>
      </c>
      <c r="AL10" s="146" t="str">
        <f t="shared" si="28"/>
        <v/>
      </c>
      <c r="AM10" s="146" t="str">
        <f t="shared" ref="AM10:AM39" si="35">IF(ISNUMBER(AK10),IF(ISNUMBER(AL10),1,""),"")</f>
        <v/>
      </c>
      <c r="AN10" s="146" t="str">
        <f t="shared" si="5"/>
        <v/>
      </c>
      <c r="AO10" s="146">
        <f t="shared" si="6"/>
        <v>3</v>
      </c>
      <c r="AP10" s="453" t="b">
        <f t="shared" si="7"/>
        <v>1</v>
      </c>
      <c r="AQ10" s="140">
        <f t="shared" si="29"/>
        <v>0</v>
      </c>
      <c r="AR10" s="141" t="str">
        <f t="shared" si="8"/>
        <v/>
      </c>
      <c r="AS10" s="142">
        <f t="shared" si="30"/>
        <v>1</v>
      </c>
      <c r="AT10" s="141" t="str">
        <f t="shared" si="9"/>
        <v/>
      </c>
      <c r="AU10" s="143">
        <f t="shared" si="10"/>
        <v>0</v>
      </c>
      <c r="AV10" s="144" t="str">
        <f t="shared" si="11"/>
        <v/>
      </c>
      <c r="AW10" s="143" t="b">
        <f t="shared" si="12"/>
        <v>1</v>
      </c>
      <c r="AX10" s="145" t="b">
        <f t="shared" si="13"/>
        <v>0</v>
      </c>
      <c r="AY10" s="143" t="b">
        <f t="shared" si="14"/>
        <v>0</v>
      </c>
      <c r="AZ10" s="145" t="b">
        <f t="shared" si="15"/>
        <v>0</v>
      </c>
      <c r="BA10" s="453" t="b">
        <f t="shared" si="16"/>
        <v>0</v>
      </c>
      <c r="BB10" s="453" t="b">
        <f t="shared" si="17"/>
        <v>0</v>
      </c>
      <c r="BC10" s="143" t="b">
        <f t="shared" si="18"/>
        <v>0</v>
      </c>
      <c r="BD10" s="146" t="b">
        <f t="shared" si="31"/>
        <v>0</v>
      </c>
      <c r="BE10" s="145" t="b">
        <f t="shared" si="19"/>
        <v>0</v>
      </c>
      <c r="BF10" s="147" t="b">
        <f t="shared" si="20"/>
        <v>0</v>
      </c>
      <c r="BG10" s="453" t="b">
        <f t="shared" si="21"/>
        <v>1</v>
      </c>
      <c r="BH10" s="453">
        <f t="shared" si="32"/>
        <v>1</v>
      </c>
      <c r="BI10" s="453">
        <f t="shared" si="22"/>
        <v>2</v>
      </c>
      <c r="BJ10" s="453" t="str">
        <f t="shared" si="23"/>
        <v>2*</v>
      </c>
      <c r="BK10" s="453">
        <f t="shared" si="24"/>
        <v>3</v>
      </c>
      <c r="BL10" s="148">
        <f t="shared" si="33"/>
        <v>1</v>
      </c>
      <c r="BM10" s="453">
        <f t="shared" si="25"/>
        <v>2</v>
      </c>
      <c r="BN10" s="453">
        <f t="shared" si="26"/>
        <v>3</v>
      </c>
      <c r="BO10" s="155">
        <v>0</v>
      </c>
      <c r="BP10" s="156" t="s">
        <v>346</v>
      </c>
    </row>
    <row r="11" spans="2:122" s="94" customFormat="1" ht="12.95" customHeight="1" x14ac:dyDescent="0.2">
      <c r="B11" s="151">
        <f>IF(ISNA(Z11),"",IF(OR(Z11=1,Z11=2),"    ",MAX($B$8:B10)+1))</f>
        <v>3</v>
      </c>
      <c r="C11" s="904" t="str">
        <f t="shared" si="0"/>
        <v>Local Area Proc./Orientation/Comm (4.0%)</v>
      </c>
      <c r="D11" s="904"/>
      <c r="E11" s="904"/>
      <c r="F11" s="905"/>
      <c r="G11" s="133">
        <f t="shared" si="1"/>
        <v>1</v>
      </c>
      <c r="H11" s="134" t="str">
        <f t="shared" si="2"/>
        <v>2*</v>
      </c>
      <c r="I11" s="152">
        <f t="shared" si="2"/>
        <v>3</v>
      </c>
      <c r="J11" s="157"/>
      <c r="K11" s="154"/>
      <c r="L11" s="1015"/>
      <c r="M11" s="1016"/>
      <c r="N11" s="1016"/>
      <c r="O11" s="1016"/>
      <c r="P11" s="1016"/>
      <c r="Q11" s="1016"/>
      <c r="R11" s="1017"/>
      <c r="T11" s="99">
        <v>4</v>
      </c>
      <c r="U11" s="88" t="s">
        <v>345</v>
      </c>
      <c r="V11" s="453">
        <v>1</v>
      </c>
      <c r="W11" s="453" t="s">
        <v>340</v>
      </c>
      <c r="X11" s="453">
        <v>1</v>
      </c>
      <c r="Y11" s="453" t="s">
        <v>340</v>
      </c>
      <c r="Z11" s="146" t="s">
        <v>340</v>
      </c>
      <c r="AA11" s="146">
        <v>1</v>
      </c>
      <c r="AB11" s="146">
        <v>0</v>
      </c>
      <c r="AC11" s="453">
        <v>3</v>
      </c>
      <c r="AD11" s="453">
        <v>2</v>
      </c>
      <c r="AE11" s="453">
        <v>1</v>
      </c>
      <c r="AF11" s="453" t="b">
        <v>1</v>
      </c>
      <c r="AG11" s="453">
        <f t="shared" si="3"/>
        <v>3</v>
      </c>
      <c r="AH11" s="453">
        <f t="shared" si="4"/>
        <v>2</v>
      </c>
      <c r="AI11" s="138">
        <f>IF(NOT(OR(Z11=1,Z11=2)),IF(AQ11&gt;0,$AR$44*AQ11/SUMIF($AQ$8:$AQ$39,"&gt;0"),IF(AU11&gt;0,$AV$44*AU11/SUMIF($AU$8:$AU$39,"&gt;0"),IF(AS11&gt;0,$AT$44*AS11/SUMIF($AS$8:$AS$39,"&gt;0"),""))),IF(SUMIF(AJ12:$AJ$39,"=" &amp; AJ11,AI12:$AI$39)=0,"",SUMIF(AJ12:$AJ$39,"=" &amp; AJ11,AI12:$AI$39)))</f>
        <v>0.04</v>
      </c>
      <c r="AJ11" s="139">
        <f t="shared" si="34"/>
        <v>0</v>
      </c>
      <c r="AK11" s="453">
        <f t="shared" si="27"/>
        <v>2</v>
      </c>
      <c r="AL11" s="146" t="str">
        <f t="shared" si="28"/>
        <v/>
      </c>
      <c r="AM11" s="146" t="str">
        <f t="shared" si="35"/>
        <v/>
      </c>
      <c r="AN11" s="146" t="str">
        <f t="shared" si="5"/>
        <v/>
      </c>
      <c r="AO11" s="146">
        <f t="shared" si="6"/>
        <v>3</v>
      </c>
      <c r="AP11" s="453" t="b">
        <f t="shared" si="7"/>
        <v>1</v>
      </c>
      <c r="AQ11" s="140">
        <f t="shared" si="29"/>
        <v>0</v>
      </c>
      <c r="AR11" s="141" t="str">
        <f t="shared" si="8"/>
        <v/>
      </c>
      <c r="AS11" s="142">
        <f t="shared" si="30"/>
        <v>1</v>
      </c>
      <c r="AT11" s="141" t="str">
        <f t="shared" si="9"/>
        <v/>
      </c>
      <c r="AU11" s="143">
        <f t="shared" si="10"/>
        <v>0</v>
      </c>
      <c r="AV11" s="144" t="str">
        <f t="shared" si="11"/>
        <v/>
      </c>
      <c r="AW11" s="143" t="b">
        <f t="shared" si="12"/>
        <v>1</v>
      </c>
      <c r="AX11" s="145" t="b">
        <f t="shared" si="13"/>
        <v>0</v>
      </c>
      <c r="AY11" s="143" t="b">
        <f t="shared" si="14"/>
        <v>0</v>
      </c>
      <c r="AZ11" s="145" t="b">
        <f t="shared" si="15"/>
        <v>0</v>
      </c>
      <c r="BA11" s="453" t="b">
        <f t="shared" si="16"/>
        <v>0</v>
      </c>
      <c r="BB11" s="453" t="b">
        <f t="shared" si="17"/>
        <v>0</v>
      </c>
      <c r="BC11" s="143" t="b">
        <f t="shared" si="18"/>
        <v>0</v>
      </c>
      <c r="BD11" s="146" t="b">
        <f t="shared" si="31"/>
        <v>0</v>
      </c>
      <c r="BE11" s="145" t="b">
        <f t="shared" si="19"/>
        <v>0</v>
      </c>
      <c r="BF11" s="147" t="b">
        <f t="shared" si="20"/>
        <v>0</v>
      </c>
      <c r="BG11" s="453" t="b">
        <f t="shared" si="21"/>
        <v>1</v>
      </c>
      <c r="BH11" s="453">
        <f t="shared" si="32"/>
        <v>1</v>
      </c>
      <c r="BI11" s="453">
        <f t="shared" si="22"/>
        <v>2</v>
      </c>
      <c r="BJ11" s="453" t="str">
        <f t="shared" si="23"/>
        <v>2*</v>
      </c>
      <c r="BK11" s="453">
        <f t="shared" si="24"/>
        <v>3</v>
      </c>
      <c r="BL11" s="148">
        <f t="shared" si="33"/>
        <v>1</v>
      </c>
      <c r="BM11" s="453">
        <f t="shared" si="25"/>
        <v>2</v>
      </c>
      <c r="BN11" s="453">
        <f t="shared" si="26"/>
        <v>3</v>
      </c>
      <c r="BO11" s="155">
        <v>1</v>
      </c>
      <c r="BP11" s="156" t="s">
        <v>348</v>
      </c>
    </row>
    <row r="12" spans="2:122" s="94" customFormat="1" ht="12.95" customHeight="1" x14ac:dyDescent="0.2">
      <c r="B12" s="151">
        <f>IF(ISNA(Z12),"",IF(OR(Z12=1,Z12=2),"    ",MAX($B$8:B11)+1))</f>
        <v>4</v>
      </c>
      <c r="C12" s="904" t="str">
        <f t="shared" si="0"/>
        <v>Situational Awareness/Judgement (4.0%)</v>
      </c>
      <c r="D12" s="904"/>
      <c r="E12" s="904"/>
      <c r="F12" s="905"/>
      <c r="G12" s="133">
        <f t="shared" si="1"/>
        <v>1</v>
      </c>
      <c r="H12" s="134" t="str">
        <f t="shared" si="2"/>
        <v>2*</v>
      </c>
      <c r="I12" s="152">
        <f t="shared" si="2"/>
        <v>3</v>
      </c>
      <c r="J12" s="157"/>
      <c r="K12" s="154"/>
      <c r="L12" s="1015"/>
      <c r="M12" s="1016"/>
      <c r="N12" s="1016"/>
      <c r="O12" s="1016"/>
      <c r="P12" s="1016"/>
      <c r="Q12" s="1016"/>
      <c r="R12" s="1017"/>
      <c r="T12" s="99">
        <v>5</v>
      </c>
      <c r="U12" s="88" t="s">
        <v>347</v>
      </c>
      <c r="V12" s="453">
        <v>1</v>
      </c>
      <c r="W12" s="453" t="s">
        <v>340</v>
      </c>
      <c r="X12" s="453">
        <v>1</v>
      </c>
      <c r="Y12" s="453" t="s">
        <v>340</v>
      </c>
      <c r="Z12" s="146" t="s">
        <v>340</v>
      </c>
      <c r="AA12" s="146">
        <v>1</v>
      </c>
      <c r="AB12" s="146">
        <v>0</v>
      </c>
      <c r="AC12" s="453">
        <v>3</v>
      </c>
      <c r="AD12" s="453">
        <v>2</v>
      </c>
      <c r="AE12" s="453">
        <v>1</v>
      </c>
      <c r="AF12" s="453" t="b">
        <v>1</v>
      </c>
      <c r="AG12" s="453">
        <f t="shared" si="3"/>
        <v>3</v>
      </c>
      <c r="AH12" s="453">
        <f t="shared" si="4"/>
        <v>2</v>
      </c>
      <c r="AI12" s="138">
        <f>IF(NOT(OR(Z12=1,Z12=2)),IF(AQ12&gt;0,$AR$44*AQ12/SUMIF($AQ$8:$AQ$39,"&gt;0"),IF(AU12&gt;0,$AV$44*AU12/SUMIF($AU$8:$AU$39,"&gt;0"),IF(AS12&gt;0,$AT$44*AS12/SUMIF($AS$8:$AS$39,"&gt;0"),""))),IF(SUMIF(AJ13:$AJ$39,"=" &amp; AJ12,AI13:$AI$39)=0,"",SUMIF(AJ13:$AJ$39,"=" &amp; AJ12,AI13:$AI$39)))</f>
        <v>0.04</v>
      </c>
      <c r="AJ12" s="139">
        <f t="shared" si="34"/>
        <v>0</v>
      </c>
      <c r="AK12" s="453">
        <f t="shared" si="27"/>
        <v>2</v>
      </c>
      <c r="AL12" s="146" t="str">
        <f t="shared" si="28"/>
        <v/>
      </c>
      <c r="AM12" s="146" t="str">
        <f t="shared" si="35"/>
        <v/>
      </c>
      <c r="AN12" s="146" t="str">
        <f t="shared" si="5"/>
        <v/>
      </c>
      <c r="AO12" s="146">
        <f t="shared" si="6"/>
        <v>3</v>
      </c>
      <c r="AP12" s="453" t="b">
        <f t="shared" si="7"/>
        <v>1</v>
      </c>
      <c r="AQ12" s="140">
        <f t="shared" si="29"/>
        <v>0</v>
      </c>
      <c r="AR12" s="141" t="str">
        <f t="shared" si="8"/>
        <v/>
      </c>
      <c r="AS12" s="142">
        <f t="shared" si="30"/>
        <v>1</v>
      </c>
      <c r="AT12" s="141" t="str">
        <f t="shared" si="9"/>
        <v/>
      </c>
      <c r="AU12" s="143">
        <f t="shared" si="10"/>
        <v>0</v>
      </c>
      <c r="AV12" s="144" t="str">
        <f t="shared" si="11"/>
        <v/>
      </c>
      <c r="AW12" s="143" t="b">
        <f t="shared" si="12"/>
        <v>1</v>
      </c>
      <c r="AX12" s="145" t="b">
        <f t="shared" si="13"/>
        <v>0</v>
      </c>
      <c r="AY12" s="143" t="b">
        <f t="shared" si="14"/>
        <v>0</v>
      </c>
      <c r="AZ12" s="145" t="b">
        <f t="shared" si="15"/>
        <v>0</v>
      </c>
      <c r="BA12" s="453" t="b">
        <f t="shared" si="16"/>
        <v>0</v>
      </c>
      <c r="BB12" s="453" t="b">
        <f t="shared" si="17"/>
        <v>0</v>
      </c>
      <c r="BC12" s="143" t="b">
        <f t="shared" si="18"/>
        <v>0</v>
      </c>
      <c r="BD12" s="146" t="b">
        <f t="shared" si="31"/>
        <v>0</v>
      </c>
      <c r="BE12" s="145" t="b">
        <f t="shared" si="19"/>
        <v>0</v>
      </c>
      <c r="BF12" s="147" t="b">
        <f t="shared" si="20"/>
        <v>0</v>
      </c>
      <c r="BG12" s="453" t="b">
        <f t="shared" si="21"/>
        <v>1</v>
      </c>
      <c r="BH12" s="453">
        <f t="shared" si="32"/>
        <v>1</v>
      </c>
      <c r="BI12" s="453">
        <f t="shared" si="22"/>
        <v>2</v>
      </c>
      <c r="BJ12" s="453" t="str">
        <f t="shared" si="23"/>
        <v>2*</v>
      </c>
      <c r="BK12" s="453">
        <f t="shared" si="24"/>
        <v>3</v>
      </c>
      <c r="BL12" s="148">
        <f t="shared" si="33"/>
        <v>1</v>
      </c>
      <c r="BM12" s="453">
        <f t="shared" si="25"/>
        <v>2</v>
      </c>
      <c r="BN12" s="453">
        <f t="shared" si="26"/>
        <v>3</v>
      </c>
      <c r="BO12" s="155">
        <v>2</v>
      </c>
      <c r="BP12" s="156" t="s">
        <v>350</v>
      </c>
    </row>
    <row r="13" spans="2:122" s="94" customFormat="1" ht="12.95" customHeight="1" x14ac:dyDescent="0.2">
      <c r="B13" s="151">
        <f>IF(ISNA(Z13),"",IF(OR(Z13=1,Z13=2),"    ",MAX($B$8:B12)+1))</f>
        <v>5</v>
      </c>
      <c r="C13" s="904" t="str">
        <f t="shared" si="0"/>
        <v>Clearing/Visual Lookout (4.0%)</v>
      </c>
      <c r="D13" s="904"/>
      <c r="E13" s="904"/>
      <c r="F13" s="905"/>
      <c r="G13" s="133">
        <f t="shared" si="1"/>
        <v>1</v>
      </c>
      <c r="H13" s="134" t="str">
        <f t="shared" si="2"/>
        <v>2*</v>
      </c>
      <c r="I13" s="152">
        <f t="shared" si="2"/>
        <v>3</v>
      </c>
      <c r="J13" s="157"/>
      <c r="K13" s="154"/>
      <c r="L13" s="1015"/>
      <c r="M13" s="1016"/>
      <c r="N13" s="1016"/>
      <c r="O13" s="1016"/>
      <c r="P13" s="1016"/>
      <c r="Q13" s="1016"/>
      <c r="R13" s="1017"/>
      <c r="T13" s="99">
        <v>6</v>
      </c>
      <c r="U13" s="88" t="s">
        <v>349</v>
      </c>
      <c r="V13" s="453">
        <v>1</v>
      </c>
      <c r="W13" s="453" t="s">
        <v>340</v>
      </c>
      <c r="X13" s="453">
        <v>1</v>
      </c>
      <c r="Y13" s="453" t="s">
        <v>340</v>
      </c>
      <c r="Z13" s="146" t="s">
        <v>340</v>
      </c>
      <c r="AA13" s="146">
        <v>1</v>
      </c>
      <c r="AB13" s="146">
        <v>0</v>
      </c>
      <c r="AC13" s="453">
        <v>3</v>
      </c>
      <c r="AD13" s="453">
        <v>2</v>
      </c>
      <c r="AE13" s="453">
        <v>1</v>
      </c>
      <c r="AF13" s="453" t="b">
        <v>1</v>
      </c>
      <c r="AG13" s="453">
        <f t="shared" si="3"/>
        <v>3</v>
      </c>
      <c r="AH13" s="453">
        <f t="shared" si="4"/>
        <v>2</v>
      </c>
      <c r="AI13" s="138">
        <f>IF(NOT(OR(Z13=1,Z13=2)),IF(AQ13&gt;0,$AR$44*AQ13/SUMIF($AQ$8:$AQ$39,"&gt;0"),IF(AU13&gt;0,$AV$44*AU13/SUMIF($AU$8:$AU$39,"&gt;0"),IF(AS13&gt;0,$AT$44*AS13/SUMIF($AS$8:$AS$39,"&gt;0"),""))),IF(SUMIF(AJ14:$AJ$39,"=" &amp; AJ13,AI14:$AI$39)=0,"",SUMIF(AJ14:$AJ$39,"=" &amp; AJ13,AI14:$AI$39)))</f>
        <v>0.04</v>
      </c>
      <c r="AJ13" s="139">
        <f t="shared" si="34"/>
        <v>0</v>
      </c>
      <c r="AK13" s="453">
        <f t="shared" si="27"/>
        <v>2</v>
      </c>
      <c r="AL13" s="146" t="str">
        <f t="shared" si="28"/>
        <v/>
      </c>
      <c r="AM13" s="146" t="str">
        <f t="shared" si="35"/>
        <v/>
      </c>
      <c r="AN13" s="146" t="str">
        <f t="shared" si="5"/>
        <v/>
      </c>
      <c r="AO13" s="146">
        <f t="shared" si="6"/>
        <v>3</v>
      </c>
      <c r="AP13" s="453" t="b">
        <f t="shared" si="7"/>
        <v>1</v>
      </c>
      <c r="AQ13" s="140">
        <f t="shared" si="29"/>
        <v>0</v>
      </c>
      <c r="AR13" s="141" t="str">
        <f t="shared" si="8"/>
        <v/>
      </c>
      <c r="AS13" s="142">
        <f t="shared" si="30"/>
        <v>1</v>
      </c>
      <c r="AT13" s="141" t="str">
        <f t="shared" si="9"/>
        <v/>
      </c>
      <c r="AU13" s="143">
        <f t="shared" si="10"/>
        <v>0</v>
      </c>
      <c r="AV13" s="144" t="str">
        <f t="shared" si="11"/>
        <v/>
      </c>
      <c r="AW13" s="143" t="b">
        <f t="shared" si="12"/>
        <v>1</v>
      </c>
      <c r="AX13" s="145" t="b">
        <f t="shared" si="13"/>
        <v>0</v>
      </c>
      <c r="AY13" s="143" t="b">
        <f t="shared" si="14"/>
        <v>0</v>
      </c>
      <c r="AZ13" s="145" t="b">
        <f t="shared" si="15"/>
        <v>0</v>
      </c>
      <c r="BA13" s="453" t="b">
        <f t="shared" si="16"/>
        <v>0</v>
      </c>
      <c r="BB13" s="453" t="b">
        <f t="shared" si="17"/>
        <v>0</v>
      </c>
      <c r="BC13" s="143" t="b">
        <f t="shared" si="18"/>
        <v>0</v>
      </c>
      <c r="BD13" s="146" t="b">
        <f t="shared" si="31"/>
        <v>0</v>
      </c>
      <c r="BE13" s="145" t="b">
        <f t="shared" si="19"/>
        <v>0</v>
      </c>
      <c r="BF13" s="147" t="b">
        <f t="shared" si="20"/>
        <v>0</v>
      </c>
      <c r="BG13" s="453" t="b">
        <f t="shared" si="21"/>
        <v>1</v>
      </c>
      <c r="BH13" s="453">
        <f t="shared" si="32"/>
        <v>1</v>
      </c>
      <c r="BI13" s="453">
        <f t="shared" si="22"/>
        <v>2</v>
      </c>
      <c r="BJ13" s="453" t="str">
        <f t="shared" si="23"/>
        <v>2*</v>
      </c>
      <c r="BK13" s="453">
        <f t="shared" si="24"/>
        <v>3</v>
      </c>
      <c r="BL13" s="148">
        <f t="shared" si="33"/>
        <v>1</v>
      </c>
      <c r="BM13" s="453">
        <f t="shared" si="25"/>
        <v>2</v>
      </c>
      <c r="BN13" s="453">
        <f t="shared" si="26"/>
        <v>3</v>
      </c>
      <c r="BO13" s="155">
        <v>3</v>
      </c>
      <c r="BP13" s="156" t="s">
        <v>352</v>
      </c>
    </row>
    <row r="14" spans="2:122" s="94" customFormat="1" ht="12.95" customHeight="1" x14ac:dyDescent="0.2">
      <c r="B14" s="151" t="str">
        <f>IF(ISNA(Z14),"",IF(OR(Z14=1,Z14=2),"    ",MAX($B$8:B13)+1))</f>
        <v xml:space="preserve">    </v>
      </c>
      <c r="C14" s="904" t="str">
        <f t="shared" si="0"/>
        <v>Academic Tasks</v>
      </c>
      <c r="D14" s="904"/>
      <c r="E14" s="904"/>
      <c r="F14" s="905"/>
      <c r="G14" s="133" t="str">
        <f t="shared" si="1"/>
        <v/>
      </c>
      <c r="H14" s="134" t="str">
        <f t="shared" si="2"/>
        <v/>
      </c>
      <c r="I14" s="152" t="str">
        <f t="shared" si="2"/>
        <v/>
      </c>
      <c r="J14" s="158"/>
      <c r="K14" s="159"/>
      <c r="L14" s="1015"/>
      <c r="M14" s="1016"/>
      <c r="N14" s="1016"/>
      <c r="O14" s="1016"/>
      <c r="P14" s="1016"/>
      <c r="Q14" s="1016"/>
      <c r="R14" s="1017"/>
      <c r="T14" s="99">
        <v>7</v>
      </c>
      <c r="U14" s="88" t="s">
        <v>351</v>
      </c>
      <c r="V14" s="453" t="s">
        <v>340</v>
      </c>
      <c r="W14" s="453" t="s">
        <v>340</v>
      </c>
      <c r="X14" s="453" t="s">
        <v>340</v>
      </c>
      <c r="Y14" s="453" t="s">
        <v>340</v>
      </c>
      <c r="Z14" s="146">
        <v>1</v>
      </c>
      <c r="AA14" s="146">
        <v>0</v>
      </c>
      <c r="AB14" s="146">
        <v>1</v>
      </c>
      <c r="AC14" s="453" t="s">
        <v>340</v>
      </c>
      <c r="AD14" s="453" t="s">
        <v>340</v>
      </c>
      <c r="AE14" s="453">
        <v>0</v>
      </c>
      <c r="AF14" s="453" t="s">
        <v>340</v>
      </c>
      <c r="AG14" s="453" t="str">
        <f t="shared" si="3"/>
        <v/>
      </c>
      <c r="AH14" s="453" t="str">
        <f t="shared" si="4"/>
        <v/>
      </c>
      <c r="AI14" s="138" t="str">
        <f>IF(NOT(OR(Z14=1,Z14=2)),IF(AQ14&gt;0,$AR$44*AQ14/SUMIF($AQ$8:$AQ$39,"&gt;0"),IF(AU14&gt;0,$AV$44*AU14/SUMIF($AU$8:$AU$39,"&gt;0"),IF(AS14&gt;0,$AT$44*AS14/SUMIF($AS$8:$AS$39,"&gt;0"),""))),IF(SUMIF(AJ15:$AJ$39,"=" &amp; AJ14,AI15:$AI$39)=0,"",SUMIF(AJ15:$AJ$39,"=" &amp; AJ14,AI15:$AI$39)))</f>
        <v/>
      </c>
      <c r="AJ14" s="139">
        <f t="shared" si="34"/>
        <v>1</v>
      </c>
      <c r="AK14" s="453" t="str">
        <f t="shared" si="27"/>
        <v/>
      </c>
      <c r="AL14" s="146" t="str">
        <f t="shared" si="28"/>
        <v/>
      </c>
      <c r="AM14" s="146" t="str">
        <f t="shared" si="35"/>
        <v/>
      </c>
      <c r="AN14" s="146" t="str">
        <f t="shared" si="5"/>
        <v/>
      </c>
      <c r="AO14" s="146" t="str">
        <f t="shared" si="6"/>
        <v/>
      </c>
      <c r="AP14" s="453" t="str">
        <f t="shared" si="7"/>
        <v/>
      </c>
      <c r="AQ14" s="140">
        <f t="shared" si="29"/>
        <v>0</v>
      </c>
      <c r="AR14" s="141" t="str">
        <f t="shared" si="8"/>
        <v/>
      </c>
      <c r="AS14" s="142">
        <f t="shared" si="30"/>
        <v>0</v>
      </c>
      <c r="AT14" s="141" t="str">
        <f t="shared" si="9"/>
        <v/>
      </c>
      <c r="AU14" s="143">
        <f t="shared" si="10"/>
        <v>0</v>
      </c>
      <c r="AV14" s="144" t="str">
        <f t="shared" si="11"/>
        <v/>
      </c>
      <c r="AW14" s="143" t="b">
        <f t="shared" si="12"/>
        <v>0</v>
      </c>
      <c r="AX14" s="145" t="b">
        <f t="shared" si="13"/>
        <v>0</v>
      </c>
      <c r="AY14" s="143" t="b">
        <f t="shared" si="14"/>
        <v>0</v>
      </c>
      <c r="AZ14" s="145" t="b">
        <f t="shared" si="15"/>
        <v>0</v>
      </c>
      <c r="BA14" s="453" t="b">
        <f t="shared" si="16"/>
        <v>0</v>
      </c>
      <c r="BB14" s="453" t="b">
        <f t="shared" si="17"/>
        <v>0</v>
      </c>
      <c r="BC14" s="143" t="b">
        <f t="shared" si="18"/>
        <v>0</v>
      </c>
      <c r="BD14" s="146" t="b">
        <f t="shared" si="31"/>
        <v>0</v>
      </c>
      <c r="BE14" s="145" t="b">
        <f t="shared" si="19"/>
        <v>0</v>
      </c>
      <c r="BF14" s="147" t="b">
        <f t="shared" si="20"/>
        <v>0</v>
      </c>
      <c r="BG14" s="453" t="b">
        <f t="shared" si="21"/>
        <v>0</v>
      </c>
      <c r="BH14" s="453" t="str">
        <f t="shared" si="32"/>
        <v/>
      </c>
      <c r="BI14" s="453" t="str">
        <f t="shared" si="22"/>
        <v/>
      </c>
      <c r="BJ14" s="453" t="str">
        <f t="shared" si="23"/>
        <v/>
      </c>
      <c r="BK14" s="453" t="str">
        <f t="shared" si="24"/>
        <v/>
      </c>
      <c r="BL14" s="148" t="str">
        <f t="shared" si="33"/>
        <v/>
      </c>
      <c r="BM14" s="453" t="str">
        <f t="shared" si="25"/>
        <v/>
      </c>
      <c r="BN14" s="453" t="str">
        <f t="shared" si="26"/>
        <v/>
      </c>
      <c r="BO14" s="155">
        <v>4</v>
      </c>
      <c r="BP14" s="156" t="s">
        <v>354</v>
      </c>
    </row>
    <row r="15" spans="2:122" s="94" customFormat="1" ht="12.95" customHeight="1" x14ac:dyDescent="0.2">
      <c r="B15" s="151" t="str">
        <f>IF(ISNA(Z15),"",IF(OR(Z15=1,Z15=2),"    ",MAX($B$8:B14)+1))</f>
        <v xml:space="preserve">    </v>
      </c>
      <c r="C15" s="904" t="str">
        <f t="shared" si="0"/>
        <v>Test Conduct (27.2%)</v>
      </c>
      <c r="D15" s="904"/>
      <c r="E15" s="904"/>
      <c r="F15" s="905"/>
      <c r="G15" s="133" t="str">
        <f t="shared" si="1"/>
        <v/>
      </c>
      <c r="H15" s="134" t="str">
        <f t="shared" si="2"/>
        <v/>
      </c>
      <c r="I15" s="152" t="str">
        <f t="shared" si="2"/>
        <v/>
      </c>
      <c r="J15" s="158"/>
      <c r="K15" s="159"/>
      <c r="L15" s="1015"/>
      <c r="M15" s="1016"/>
      <c r="N15" s="1016"/>
      <c r="O15" s="1016"/>
      <c r="P15" s="1016"/>
      <c r="Q15" s="1016"/>
      <c r="R15" s="1017"/>
      <c r="T15" s="99">
        <v>8</v>
      </c>
      <c r="U15" s="88" t="s">
        <v>353</v>
      </c>
      <c r="V15" s="453" t="s">
        <v>340</v>
      </c>
      <c r="W15" s="453" t="s">
        <v>340</v>
      </c>
      <c r="X15" s="453" t="s">
        <v>340</v>
      </c>
      <c r="Y15" s="453" t="s">
        <v>340</v>
      </c>
      <c r="Z15" s="146">
        <v>2</v>
      </c>
      <c r="AA15" s="146">
        <v>1</v>
      </c>
      <c r="AB15" s="146">
        <v>1</v>
      </c>
      <c r="AC15" s="453" t="s">
        <v>340</v>
      </c>
      <c r="AD15" s="453" t="s">
        <v>340</v>
      </c>
      <c r="AE15" s="453" t="s">
        <v>340</v>
      </c>
      <c r="AF15" s="453" t="s">
        <v>340</v>
      </c>
      <c r="AG15" s="453" t="str">
        <f t="shared" si="3"/>
        <v/>
      </c>
      <c r="AH15" s="453" t="str">
        <f t="shared" si="4"/>
        <v/>
      </c>
      <c r="AI15" s="138">
        <f>IF(NOT(OR(Z15=1,Z15=2)),IF(AQ15&gt;0,$AR$44*AQ15/SUMIF($AQ$8:$AQ$39,"&gt;0"),IF(AU15&gt;0,$AV$44*AU15/SUMIF($AU$8:$AU$39,"&gt;0"),IF(AS15&gt;0,$AT$44*AS15/SUMIF($AS$8:$AS$39,"&gt;0"),""))),IF(SUMIF(AJ16:$AJ$39,"=" &amp; AJ15,AI16:$AI$39)=0,"",SUMIF(AJ16:$AJ$39,"=" &amp; AJ15,AI16:$AI$39)))</f>
        <v>0.2723404255319149</v>
      </c>
      <c r="AJ15" s="139">
        <f t="shared" si="34"/>
        <v>2</v>
      </c>
      <c r="AK15" s="453" t="str">
        <f t="shared" si="27"/>
        <v/>
      </c>
      <c r="AL15" s="146" t="str">
        <f t="shared" si="28"/>
        <v/>
      </c>
      <c r="AM15" s="146" t="str">
        <f t="shared" si="35"/>
        <v/>
      </c>
      <c r="AN15" s="146" t="str">
        <f t="shared" si="5"/>
        <v/>
      </c>
      <c r="AO15" s="146" t="str">
        <f t="shared" si="6"/>
        <v/>
      </c>
      <c r="AP15" s="453" t="str">
        <f t="shared" si="7"/>
        <v/>
      </c>
      <c r="AQ15" s="140">
        <f t="shared" si="29"/>
        <v>0</v>
      </c>
      <c r="AR15" s="141" t="str">
        <f t="shared" si="8"/>
        <v/>
      </c>
      <c r="AS15" s="142">
        <f t="shared" si="30"/>
        <v>0</v>
      </c>
      <c r="AT15" s="141" t="str">
        <f t="shared" si="9"/>
        <v/>
      </c>
      <c r="AU15" s="143">
        <f t="shared" si="10"/>
        <v>0</v>
      </c>
      <c r="AV15" s="144" t="str">
        <f t="shared" si="11"/>
        <v/>
      </c>
      <c r="AW15" s="143" t="b">
        <f t="shared" si="12"/>
        <v>0</v>
      </c>
      <c r="AX15" s="145" t="b">
        <f t="shared" si="13"/>
        <v>0</v>
      </c>
      <c r="AY15" s="143" t="b">
        <f t="shared" si="14"/>
        <v>0</v>
      </c>
      <c r="AZ15" s="145" t="b">
        <f t="shared" si="15"/>
        <v>0</v>
      </c>
      <c r="BA15" s="453" t="b">
        <f t="shared" si="16"/>
        <v>0</v>
      </c>
      <c r="BB15" s="453" t="b">
        <f t="shared" si="17"/>
        <v>0</v>
      </c>
      <c r="BC15" s="143" t="b">
        <f t="shared" si="18"/>
        <v>0</v>
      </c>
      <c r="BD15" s="146" t="b">
        <f t="shared" si="31"/>
        <v>0</v>
      </c>
      <c r="BE15" s="145" t="b">
        <f t="shared" si="19"/>
        <v>0</v>
      </c>
      <c r="BF15" s="147" t="b">
        <f t="shared" si="20"/>
        <v>0</v>
      </c>
      <c r="BG15" s="453" t="b">
        <f t="shared" si="21"/>
        <v>0</v>
      </c>
      <c r="BH15" s="453" t="str">
        <f t="shared" si="32"/>
        <v/>
      </c>
      <c r="BI15" s="453" t="str">
        <f t="shared" si="22"/>
        <v/>
      </c>
      <c r="BJ15" s="453" t="str">
        <f t="shared" si="23"/>
        <v/>
      </c>
      <c r="BK15" s="453" t="str">
        <f t="shared" si="24"/>
        <v/>
      </c>
      <c r="BL15" s="148" t="str">
        <f t="shared" si="33"/>
        <v/>
      </c>
      <c r="BM15" s="453" t="str">
        <f t="shared" si="25"/>
        <v/>
      </c>
      <c r="BN15" s="453" t="str">
        <f t="shared" si="26"/>
        <v/>
      </c>
      <c r="BO15" s="90"/>
    </row>
    <row r="16" spans="2:122" s="94" customFormat="1" ht="12.95" customHeight="1" x14ac:dyDescent="0.2">
      <c r="B16" s="151">
        <f>IF(ISNA(Z16),"",IF(OR(Z16=1,Z16=2),"    ",MAX($B$8:B15)+1))</f>
        <v>6</v>
      </c>
      <c r="C16" s="904" t="str">
        <f t="shared" si="0"/>
        <v xml:space="preserve">      - Mission Preparation (6.8%)</v>
      </c>
      <c r="D16" s="904"/>
      <c r="E16" s="904"/>
      <c r="F16" s="905"/>
      <c r="G16" s="133">
        <f t="shared" si="1"/>
        <v>1</v>
      </c>
      <c r="H16" s="134" t="str">
        <f t="shared" si="2"/>
        <v>2*</v>
      </c>
      <c r="I16" s="152">
        <f t="shared" si="2"/>
        <v>3</v>
      </c>
      <c r="J16" s="157"/>
      <c r="K16" s="154"/>
      <c r="L16" s="1015"/>
      <c r="M16" s="1016"/>
      <c r="N16" s="1016"/>
      <c r="O16" s="1016"/>
      <c r="P16" s="1016"/>
      <c r="Q16" s="1016"/>
      <c r="R16" s="1017"/>
      <c r="T16" s="99">
        <v>9</v>
      </c>
      <c r="U16" s="88" t="s">
        <v>498</v>
      </c>
      <c r="V16" s="453">
        <v>1</v>
      </c>
      <c r="W16" s="453">
        <v>2</v>
      </c>
      <c r="X16" s="453" t="s">
        <v>340</v>
      </c>
      <c r="Y16" s="453" t="s">
        <v>340</v>
      </c>
      <c r="Z16" s="146" t="s">
        <v>340</v>
      </c>
      <c r="AA16" s="146">
        <v>2</v>
      </c>
      <c r="AB16" s="146">
        <v>1</v>
      </c>
      <c r="AC16" s="453">
        <v>3</v>
      </c>
      <c r="AD16" s="453">
        <v>2</v>
      </c>
      <c r="AE16" s="453">
        <v>1</v>
      </c>
      <c r="AF16" s="453" t="b">
        <v>1</v>
      </c>
      <c r="AG16" s="453">
        <f t="shared" si="3"/>
        <v>3</v>
      </c>
      <c r="AH16" s="453">
        <f t="shared" si="4"/>
        <v>2</v>
      </c>
      <c r="AI16" s="138">
        <f>IF(NOT(OR(Z16=1,Z16=2)),IF(AQ16&gt;0,$AR$44*AQ16/SUMIF($AQ$8:$AQ$39,"&gt;0"),IF(AU16&gt;0,$AV$44*AU16/SUMIF($AU$8:$AU$39,"&gt;0"),IF(AS16&gt;0,$AT$44*AS16/SUMIF($AS$8:$AS$39,"&gt;0"),""))),IF(SUMIF(AJ17:$AJ$39,"=" &amp; AJ16,AI17:$AI$39)=0,"",SUMIF(AJ17:$AJ$39,"=" &amp; AJ16,AI17:$AI$39)))</f>
        <v>6.8085106382978725E-2</v>
      </c>
      <c r="AJ16" s="139">
        <f t="shared" si="34"/>
        <v>2</v>
      </c>
      <c r="AK16" s="453">
        <f t="shared" si="27"/>
        <v>2</v>
      </c>
      <c r="AL16" s="146" t="str">
        <f t="shared" si="28"/>
        <v/>
      </c>
      <c r="AM16" s="146" t="str">
        <f t="shared" si="35"/>
        <v/>
      </c>
      <c r="AN16" s="146" t="str">
        <f t="shared" si="5"/>
        <v/>
      </c>
      <c r="AO16" s="146" t="str">
        <f t="shared" si="6"/>
        <v/>
      </c>
      <c r="AP16" s="453" t="b">
        <f t="shared" si="7"/>
        <v>1</v>
      </c>
      <c r="AQ16" s="140">
        <f t="shared" si="29"/>
        <v>2</v>
      </c>
      <c r="AR16" s="141" t="str">
        <f t="shared" si="8"/>
        <v/>
      </c>
      <c r="AS16" s="142">
        <f t="shared" si="30"/>
        <v>0</v>
      </c>
      <c r="AT16" s="141" t="str">
        <f t="shared" si="9"/>
        <v/>
      </c>
      <c r="AU16" s="143">
        <f t="shared" si="10"/>
        <v>0</v>
      </c>
      <c r="AV16" s="144" t="str">
        <f t="shared" si="11"/>
        <v/>
      </c>
      <c r="AW16" s="143" t="b">
        <f t="shared" si="12"/>
        <v>0</v>
      </c>
      <c r="AX16" s="145" t="b">
        <f t="shared" si="13"/>
        <v>1</v>
      </c>
      <c r="AY16" s="143" t="b">
        <f t="shared" si="14"/>
        <v>0</v>
      </c>
      <c r="AZ16" s="145" t="b">
        <f t="shared" si="15"/>
        <v>0</v>
      </c>
      <c r="BA16" s="453" t="b">
        <f t="shared" si="16"/>
        <v>0</v>
      </c>
      <c r="BB16" s="453" t="b">
        <f t="shared" si="17"/>
        <v>0</v>
      </c>
      <c r="BC16" s="143" t="b">
        <f t="shared" si="18"/>
        <v>0</v>
      </c>
      <c r="BD16" s="146" t="b">
        <f t="shared" si="31"/>
        <v>0</v>
      </c>
      <c r="BE16" s="145" t="b">
        <f t="shared" si="19"/>
        <v>0</v>
      </c>
      <c r="BF16" s="147" t="b">
        <f t="shared" si="20"/>
        <v>0</v>
      </c>
      <c r="BG16" s="453" t="b">
        <f t="shared" si="21"/>
        <v>1</v>
      </c>
      <c r="BH16" s="453">
        <f t="shared" si="32"/>
        <v>1</v>
      </c>
      <c r="BI16" s="453">
        <f t="shared" si="22"/>
        <v>2</v>
      </c>
      <c r="BJ16" s="453" t="str">
        <f t="shared" si="23"/>
        <v>2*</v>
      </c>
      <c r="BK16" s="453">
        <f t="shared" si="24"/>
        <v>3</v>
      </c>
      <c r="BL16" s="148">
        <f t="shared" si="33"/>
        <v>1</v>
      </c>
      <c r="BM16" s="453">
        <f t="shared" si="25"/>
        <v>2</v>
      </c>
      <c r="BN16" s="453">
        <f t="shared" si="26"/>
        <v>3</v>
      </c>
      <c r="BO16" s="155"/>
      <c r="BP16" s="160"/>
    </row>
    <row r="17" spans="2:73" s="94" customFormat="1" ht="12.95" customHeight="1" x14ac:dyDescent="0.2">
      <c r="B17" s="151">
        <f>IF(ISNA(Z17),"",IF(OR(Z17=1,Z17=2),"    ",MAX($B$8:B16)+1))</f>
        <v>7</v>
      </c>
      <c r="C17" s="904" t="str">
        <f t="shared" si="0"/>
        <v xml:space="preserve">      - SA/Adaptation (6.8%)</v>
      </c>
      <c r="D17" s="904"/>
      <c r="E17" s="904"/>
      <c r="F17" s="905"/>
      <c r="G17" s="133">
        <f t="shared" si="1"/>
        <v>1</v>
      </c>
      <c r="H17" s="134" t="str">
        <f t="shared" si="2"/>
        <v>2*</v>
      </c>
      <c r="I17" s="152">
        <f t="shared" si="2"/>
        <v>3</v>
      </c>
      <c r="J17" s="157"/>
      <c r="K17" s="154"/>
      <c r="L17" s="1015"/>
      <c r="M17" s="1016"/>
      <c r="N17" s="1016"/>
      <c r="O17" s="1016"/>
      <c r="P17" s="1016"/>
      <c r="Q17" s="1016"/>
      <c r="R17" s="1017"/>
      <c r="T17" s="99">
        <v>10</v>
      </c>
      <c r="U17" s="88" t="s">
        <v>552</v>
      </c>
      <c r="V17" s="453">
        <v>1</v>
      </c>
      <c r="W17" s="453">
        <v>2</v>
      </c>
      <c r="X17" s="453" t="s">
        <v>340</v>
      </c>
      <c r="Y17" s="453" t="s">
        <v>340</v>
      </c>
      <c r="Z17" s="146" t="s">
        <v>340</v>
      </c>
      <c r="AA17" s="146">
        <v>2</v>
      </c>
      <c r="AB17" s="146">
        <v>1</v>
      </c>
      <c r="AC17" s="453">
        <v>3</v>
      </c>
      <c r="AD17" s="453">
        <v>2</v>
      </c>
      <c r="AE17" s="453">
        <v>1</v>
      </c>
      <c r="AF17" s="453" t="b">
        <v>1</v>
      </c>
      <c r="AG17" s="453">
        <f t="shared" si="3"/>
        <v>3</v>
      </c>
      <c r="AH17" s="453">
        <f t="shared" si="4"/>
        <v>2</v>
      </c>
      <c r="AI17" s="138">
        <f>IF(NOT(OR(Z17=1,Z17=2)),IF(AQ17&gt;0,$AR$44*AQ17/SUMIF($AQ$8:$AQ$39,"&gt;0"),IF(AU17&gt;0,$AV$44*AU17/SUMIF($AU$8:$AU$39,"&gt;0"),IF(AS17&gt;0,$AT$44*AS17/SUMIF($AS$8:$AS$39,"&gt;0"),""))),IF(SUMIF(AJ18:$AJ$39,"=" &amp; AJ17,AI18:$AI$39)=0,"",SUMIF(AJ18:$AJ$39,"=" &amp; AJ17,AI18:$AI$39)))</f>
        <v>6.8085106382978725E-2</v>
      </c>
      <c r="AJ17" s="139">
        <f t="shared" si="34"/>
        <v>2</v>
      </c>
      <c r="AK17" s="453">
        <f t="shared" si="27"/>
        <v>2</v>
      </c>
      <c r="AL17" s="146" t="str">
        <f t="shared" si="28"/>
        <v/>
      </c>
      <c r="AM17" s="146" t="str">
        <f t="shared" si="35"/>
        <v/>
      </c>
      <c r="AN17" s="146" t="str">
        <f t="shared" si="5"/>
        <v/>
      </c>
      <c r="AO17" s="146" t="str">
        <f t="shared" si="6"/>
        <v/>
      </c>
      <c r="AP17" s="453" t="b">
        <f t="shared" si="7"/>
        <v>1</v>
      </c>
      <c r="AQ17" s="140">
        <f t="shared" si="29"/>
        <v>2</v>
      </c>
      <c r="AR17" s="141" t="str">
        <f t="shared" si="8"/>
        <v/>
      </c>
      <c r="AS17" s="142">
        <f t="shared" si="30"/>
        <v>0</v>
      </c>
      <c r="AT17" s="141" t="str">
        <f t="shared" si="9"/>
        <v/>
      </c>
      <c r="AU17" s="143">
        <f t="shared" si="10"/>
        <v>0</v>
      </c>
      <c r="AV17" s="144" t="str">
        <f t="shared" si="11"/>
        <v/>
      </c>
      <c r="AW17" s="143" t="b">
        <f t="shared" si="12"/>
        <v>0</v>
      </c>
      <c r="AX17" s="145" t="b">
        <f t="shared" si="13"/>
        <v>1</v>
      </c>
      <c r="AY17" s="143" t="b">
        <f t="shared" si="14"/>
        <v>0</v>
      </c>
      <c r="AZ17" s="145" t="b">
        <f t="shared" si="15"/>
        <v>0</v>
      </c>
      <c r="BA17" s="453" t="b">
        <f t="shared" si="16"/>
        <v>0</v>
      </c>
      <c r="BB17" s="453" t="b">
        <f t="shared" si="17"/>
        <v>0</v>
      </c>
      <c r="BC17" s="143" t="b">
        <f t="shared" si="18"/>
        <v>0</v>
      </c>
      <c r="BD17" s="146" t="b">
        <f t="shared" si="31"/>
        <v>0</v>
      </c>
      <c r="BE17" s="145" t="b">
        <f t="shared" si="19"/>
        <v>0</v>
      </c>
      <c r="BF17" s="147" t="b">
        <f t="shared" si="20"/>
        <v>0</v>
      </c>
      <c r="BG17" s="453" t="b">
        <f t="shared" si="21"/>
        <v>1</v>
      </c>
      <c r="BH17" s="453">
        <f t="shared" si="32"/>
        <v>1</v>
      </c>
      <c r="BI17" s="453">
        <f t="shared" si="22"/>
        <v>2</v>
      </c>
      <c r="BJ17" s="453" t="str">
        <f t="shared" si="23"/>
        <v>2*</v>
      </c>
      <c r="BK17" s="453">
        <f t="shared" si="24"/>
        <v>3</v>
      </c>
      <c r="BL17" s="148">
        <f t="shared" si="33"/>
        <v>1</v>
      </c>
      <c r="BM17" s="453">
        <f t="shared" si="25"/>
        <v>2</v>
      </c>
      <c r="BN17" s="453">
        <f t="shared" si="26"/>
        <v>3</v>
      </c>
      <c r="BO17" s="90"/>
    </row>
    <row r="18" spans="2:73" s="94" customFormat="1" ht="12.95" customHeight="1" x14ac:dyDescent="0.2">
      <c r="B18" s="151">
        <f>IF(ISNA(Z18),"",IF(OR(Z18=1,Z18=2),"    ",MAX($B$8:B17)+1))</f>
        <v>8</v>
      </c>
      <c r="C18" s="904" t="str">
        <f t="shared" si="0"/>
        <v xml:space="preserve">      - Communication (6.8%)</v>
      </c>
      <c r="D18" s="904"/>
      <c r="E18" s="904"/>
      <c r="F18" s="905"/>
      <c r="G18" s="133">
        <f t="shared" si="1"/>
        <v>1</v>
      </c>
      <c r="H18" s="134" t="str">
        <f t="shared" si="2"/>
        <v>2*</v>
      </c>
      <c r="I18" s="152">
        <f t="shared" si="2"/>
        <v>3</v>
      </c>
      <c r="J18" s="157"/>
      <c r="K18" s="154"/>
      <c r="L18" s="1015"/>
      <c r="M18" s="1016"/>
      <c r="N18" s="1016"/>
      <c r="O18" s="1016"/>
      <c r="P18" s="1016"/>
      <c r="Q18" s="1016"/>
      <c r="R18" s="1017"/>
      <c r="T18" s="99">
        <v>11</v>
      </c>
      <c r="U18" s="88" t="s">
        <v>500</v>
      </c>
      <c r="V18" s="453">
        <v>1</v>
      </c>
      <c r="W18" s="453">
        <v>2</v>
      </c>
      <c r="X18" s="453" t="s">
        <v>340</v>
      </c>
      <c r="Y18" s="453" t="s">
        <v>340</v>
      </c>
      <c r="Z18" s="146" t="s">
        <v>340</v>
      </c>
      <c r="AA18" s="146">
        <v>2</v>
      </c>
      <c r="AB18" s="146">
        <v>1</v>
      </c>
      <c r="AC18" s="453">
        <v>3</v>
      </c>
      <c r="AD18" s="453">
        <v>2</v>
      </c>
      <c r="AE18" s="453">
        <v>1</v>
      </c>
      <c r="AF18" s="453" t="b">
        <v>1</v>
      </c>
      <c r="AG18" s="453">
        <f t="shared" si="3"/>
        <v>3</v>
      </c>
      <c r="AH18" s="453">
        <f t="shared" si="4"/>
        <v>2</v>
      </c>
      <c r="AI18" s="138">
        <f>IF(NOT(OR(Z18=1,Z18=2)),IF(AQ18&gt;0,$AR$44*AQ18/SUMIF($AQ$8:$AQ$39,"&gt;0"),IF(AU18&gt;0,$AV$44*AU18/SUMIF($AU$8:$AU$39,"&gt;0"),IF(AS18&gt;0,$AT$44*AS18/SUMIF($AS$8:$AS$39,"&gt;0"),""))),IF(SUMIF(AJ19:$AJ$39,"=" &amp; AJ18,AI19:$AI$39)=0,"",SUMIF(AJ19:$AJ$39,"=" &amp; AJ18,AI19:$AI$39)))</f>
        <v>6.8085106382978725E-2</v>
      </c>
      <c r="AJ18" s="139">
        <f t="shared" si="34"/>
        <v>2</v>
      </c>
      <c r="AK18" s="453">
        <f t="shared" si="27"/>
        <v>2</v>
      </c>
      <c r="AL18" s="146" t="str">
        <f t="shared" si="28"/>
        <v/>
      </c>
      <c r="AM18" s="146" t="str">
        <f t="shared" si="35"/>
        <v/>
      </c>
      <c r="AN18" s="146" t="str">
        <f t="shared" si="5"/>
        <v/>
      </c>
      <c r="AO18" s="146" t="str">
        <f t="shared" si="6"/>
        <v/>
      </c>
      <c r="AP18" s="453" t="b">
        <f t="shared" si="7"/>
        <v>1</v>
      </c>
      <c r="AQ18" s="140">
        <f t="shared" si="29"/>
        <v>2</v>
      </c>
      <c r="AR18" s="141" t="str">
        <f t="shared" si="8"/>
        <v/>
      </c>
      <c r="AS18" s="142">
        <f t="shared" si="30"/>
        <v>0</v>
      </c>
      <c r="AT18" s="141" t="str">
        <f t="shared" si="9"/>
        <v/>
      </c>
      <c r="AU18" s="143">
        <f t="shared" si="10"/>
        <v>0</v>
      </c>
      <c r="AV18" s="144" t="str">
        <f t="shared" si="11"/>
        <v/>
      </c>
      <c r="AW18" s="143" t="b">
        <f t="shared" si="12"/>
        <v>0</v>
      </c>
      <c r="AX18" s="145" t="b">
        <f t="shared" si="13"/>
        <v>1</v>
      </c>
      <c r="AY18" s="143" t="b">
        <f t="shared" si="14"/>
        <v>0</v>
      </c>
      <c r="AZ18" s="145" t="b">
        <f t="shared" si="15"/>
        <v>0</v>
      </c>
      <c r="BA18" s="453" t="b">
        <f t="shared" si="16"/>
        <v>0</v>
      </c>
      <c r="BB18" s="453" t="b">
        <f t="shared" si="17"/>
        <v>0</v>
      </c>
      <c r="BC18" s="143" t="b">
        <f t="shared" si="18"/>
        <v>0</v>
      </c>
      <c r="BD18" s="146" t="b">
        <f t="shared" si="31"/>
        <v>0</v>
      </c>
      <c r="BE18" s="145" t="b">
        <f t="shared" si="19"/>
        <v>0</v>
      </c>
      <c r="BF18" s="147" t="b">
        <f t="shared" si="20"/>
        <v>0</v>
      </c>
      <c r="BG18" s="453" t="b">
        <f t="shared" si="21"/>
        <v>1</v>
      </c>
      <c r="BH18" s="453">
        <f t="shared" si="32"/>
        <v>1</v>
      </c>
      <c r="BI18" s="453">
        <f t="shared" si="22"/>
        <v>2</v>
      </c>
      <c r="BJ18" s="453" t="str">
        <f t="shared" si="23"/>
        <v>2*</v>
      </c>
      <c r="BK18" s="453">
        <f t="shared" si="24"/>
        <v>3</v>
      </c>
      <c r="BL18" s="148">
        <f t="shared" si="33"/>
        <v>1</v>
      </c>
      <c r="BM18" s="453">
        <f t="shared" si="25"/>
        <v>2</v>
      </c>
      <c r="BN18" s="453">
        <f t="shared" si="26"/>
        <v>3</v>
      </c>
      <c r="BO18" s="300"/>
      <c r="BP18" s="160" t="s">
        <v>355</v>
      </c>
      <c r="BQ18" s="161"/>
      <c r="BR18" s="161"/>
      <c r="BS18" s="161"/>
      <c r="BT18" s="161"/>
      <c r="BU18" s="161"/>
    </row>
    <row r="19" spans="2:73" s="94" customFormat="1" ht="12.95" customHeight="1" x14ac:dyDescent="0.2">
      <c r="B19" s="151">
        <f>IF(ISNA(Z19),"",IF(OR(Z19=1,Z19=2),"    ",MAX($B$8:B18)+1))</f>
        <v>9</v>
      </c>
      <c r="C19" s="904" t="str">
        <f t="shared" si="0"/>
        <v xml:space="preserve">      - Teamwork (6.8%)</v>
      </c>
      <c r="D19" s="904"/>
      <c r="E19" s="904"/>
      <c r="F19" s="905"/>
      <c r="G19" s="133">
        <f t="shared" si="1"/>
        <v>1</v>
      </c>
      <c r="H19" s="134" t="str">
        <f t="shared" si="2"/>
        <v>2*</v>
      </c>
      <c r="I19" s="152">
        <f t="shared" si="2"/>
        <v>3</v>
      </c>
      <c r="J19" s="157"/>
      <c r="K19" s="154"/>
      <c r="L19" s="1015"/>
      <c r="M19" s="1016"/>
      <c r="N19" s="1016"/>
      <c r="O19" s="1016"/>
      <c r="P19" s="1016"/>
      <c r="Q19" s="1016"/>
      <c r="R19" s="1017"/>
      <c r="T19" s="99">
        <v>12</v>
      </c>
      <c r="U19" s="88" t="s">
        <v>501</v>
      </c>
      <c r="V19" s="453">
        <v>1</v>
      </c>
      <c r="W19" s="453">
        <v>2</v>
      </c>
      <c r="X19" s="453" t="s">
        <v>340</v>
      </c>
      <c r="Y19" s="453" t="s">
        <v>340</v>
      </c>
      <c r="Z19" s="146" t="s">
        <v>340</v>
      </c>
      <c r="AA19" s="146">
        <v>2</v>
      </c>
      <c r="AB19" s="146">
        <v>1</v>
      </c>
      <c r="AC19" s="453">
        <v>3</v>
      </c>
      <c r="AD19" s="453">
        <v>2</v>
      </c>
      <c r="AE19" s="453">
        <v>1</v>
      </c>
      <c r="AF19" s="453" t="b">
        <v>1</v>
      </c>
      <c r="AG19" s="453">
        <f t="shared" si="3"/>
        <v>3</v>
      </c>
      <c r="AH19" s="453">
        <f t="shared" si="4"/>
        <v>2</v>
      </c>
      <c r="AI19" s="138">
        <f>IF(NOT(OR(Z19=1,Z19=2)),IF(AQ19&gt;0,$AR$44*AQ19/SUMIF($AQ$8:$AQ$39,"&gt;0"),IF(AU19&gt;0,$AV$44*AU19/SUMIF($AU$8:$AU$39,"&gt;0"),IF(AS19&gt;0,$AT$44*AS19/SUMIF($AS$8:$AS$39,"&gt;0"),""))),IF(SUMIF(AJ20:$AJ$39,"=" &amp; AJ19,AI20:$AI$39)=0,"",SUMIF(AJ20:$AJ$39,"=" &amp; AJ19,AI20:$AI$39)))</f>
        <v>6.8085106382978725E-2</v>
      </c>
      <c r="AJ19" s="139">
        <f t="shared" si="34"/>
        <v>2</v>
      </c>
      <c r="AK19" s="453">
        <f t="shared" si="27"/>
        <v>2</v>
      </c>
      <c r="AL19" s="146" t="str">
        <f t="shared" si="28"/>
        <v/>
      </c>
      <c r="AM19" s="146" t="str">
        <f t="shared" si="35"/>
        <v/>
      </c>
      <c r="AN19" s="146" t="str">
        <f t="shared" si="5"/>
        <v/>
      </c>
      <c r="AO19" s="146" t="str">
        <f t="shared" si="6"/>
        <v/>
      </c>
      <c r="AP19" s="453" t="b">
        <f t="shared" si="7"/>
        <v>1</v>
      </c>
      <c r="AQ19" s="140">
        <f t="shared" si="29"/>
        <v>2</v>
      </c>
      <c r="AR19" s="141" t="str">
        <f t="shared" si="8"/>
        <v/>
      </c>
      <c r="AS19" s="142">
        <f t="shared" si="30"/>
        <v>0</v>
      </c>
      <c r="AT19" s="141" t="str">
        <f t="shared" si="9"/>
        <v/>
      </c>
      <c r="AU19" s="143">
        <f t="shared" si="10"/>
        <v>0</v>
      </c>
      <c r="AV19" s="144" t="str">
        <f t="shared" si="11"/>
        <v/>
      </c>
      <c r="AW19" s="143" t="b">
        <f t="shared" si="12"/>
        <v>0</v>
      </c>
      <c r="AX19" s="145" t="b">
        <f t="shared" si="13"/>
        <v>1</v>
      </c>
      <c r="AY19" s="143" t="b">
        <f t="shared" si="14"/>
        <v>0</v>
      </c>
      <c r="AZ19" s="145" t="b">
        <f t="shared" si="15"/>
        <v>0</v>
      </c>
      <c r="BA19" s="453" t="b">
        <f t="shared" si="16"/>
        <v>0</v>
      </c>
      <c r="BB19" s="453" t="b">
        <f t="shared" si="17"/>
        <v>0</v>
      </c>
      <c r="BC19" s="143" t="b">
        <f t="shared" si="18"/>
        <v>0</v>
      </c>
      <c r="BD19" s="146" t="b">
        <f t="shared" si="31"/>
        <v>0</v>
      </c>
      <c r="BE19" s="145" t="b">
        <f t="shared" si="19"/>
        <v>0</v>
      </c>
      <c r="BF19" s="147" t="b">
        <f t="shared" si="20"/>
        <v>0</v>
      </c>
      <c r="BG19" s="453" t="b">
        <f t="shared" si="21"/>
        <v>1</v>
      </c>
      <c r="BH19" s="453">
        <f t="shared" si="32"/>
        <v>1</v>
      </c>
      <c r="BI19" s="453">
        <f t="shared" si="22"/>
        <v>2</v>
      </c>
      <c r="BJ19" s="453" t="str">
        <f t="shared" si="23"/>
        <v>2*</v>
      </c>
      <c r="BK19" s="453">
        <f t="shared" si="24"/>
        <v>3</v>
      </c>
      <c r="BL19" s="148">
        <f t="shared" si="33"/>
        <v>1</v>
      </c>
      <c r="BM19" s="453">
        <f t="shared" si="25"/>
        <v>2</v>
      </c>
      <c r="BN19" s="453">
        <f t="shared" si="26"/>
        <v>3</v>
      </c>
      <c r="BO19" s="300"/>
      <c r="BP19" s="150"/>
      <c r="BQ19" s="935" t="s">
        <v>356</v>
      </c>
      <c r="BR19" s="935"/>
      <c r="BS19" s="935"/>
      <c r="BT19" s="935"/>
      <c r="BU19" s="935"/>
    </row>
    <row r="20" spans="2:73" s="94" customFormat="1" ht="12.95" customHeight="1" x14ac:dyDescent="0.2">
      <c r="B20" s="151" t="str">
        <f>IF(ISNA(Z20),"",IF(OR(Z20=1,Z20=2),"    ",MAX($B$8:B19)+1))</f>
        <v xml:space="preserve">    </v>
      </c>
      <c r="C20" s="904" t="str">
        <f t="shared" si="0"/>
        <v>Overall FTT Execution (25.5%)</v>
      </c>
      <c r="D20" s="904"/>
      <c r="E20" s="904"/>
      <c r="F20" s="905"/>
      <c r="G20" s="133" t="str">
        <f t="shared" si="1"/>
        <v/>
      </c>
      <c r="H20" s="134" t="str">
        <f t="shared" si="2"/>
        <v/>
      </c>
      <c r="I20" s="152" t="str">
        <f t="shared" si="2"/>
        <v/>
      </c>
      <c r="J20" s="158"/>
      <c r="K20" s="159"/>
      <c r="L20" s="1015"/>
      <c r="M20" s="1016"/>
      <c r="N20" s="1016"/>
      <c r="O20" s="1016"/>
      <c r="P20" s="1016"/>
      <c r="Q20" s="1016"/>
      <c r="R20" s="1017"/>
      <c r="T20" s="99">
        <v>13</v>
      </c>
      <c r="U20" s="88" t="s">
        <v>776</v>
      </c>
      <c r="V20" s="453" t="s">
        <v>340</v>
      </c>
      <c r="W20" s="453" t="s">
        <v>340</v>
      </c>
      <c r="X20" s="453" t="s">
        <v>340</v>
      </c>
      <c r="Y20" s="453" t="s">
        <v>340</v>
      </c>
      <c r="Z20" s="146">
        <v>2</v>
      </c>
      <c r="AA20" s="146">
        <v>1</v>
      </c>
      <c r="AB20" s="146">
        <v>1</v>
      </c>
      <c r="AC20" s="453" t="s">
        <v>340</v>
      </c>
      <c r="AD20" s="453" t="s">
        <v>340</v>
      </c>
      <c r="AE20" s="453" t="s">
        <v>340</v>
      </c>
      <c r="AF20" s="453" t="s">
        <v>340</v>
      </c>
      <c r="AG20" s="453" t="str">
        <f t="shared" si="3"/>
        <v/>
      </c>
      <c r="AH20" s="453" t="str">
        <f t="shared" si="4"/>
        <v/>
      </c>
      <c r="AI20" s="138">
        <f>IF(NOT(OR(Z20=1,Z20=2)),IF(AQ20&gt;0,$AR$44*AQ20/SUMIF($AQ$8:$AQ$39,"&gt;0"),IF(AU20&gt;0,$AV$44*AU20/SUMIF($AU$8:$AU$39,"&gt;0"),IF(AS20&gt;0,$AT$44*AS20/SUMIF($AS$8:$AS$39,"&gt;0"),""))),IF(SUMIF(AJ21:$AJ$39,"=" &amp; AJ20,AI21:$AI$39)=0,"",SUMIF(AJ21:$AJ$39,"=" &amp; AJ20,AI21:$AI$39)))</f>
        <v>0.25531914893617019</v>
      </c>
      <c r="AJ20" s="139">
        <f t="shared" si="34"/>
        <v>3</v>
      </c>
      <c r="AK20" s="453" t="str">
        <f t="shared" si="27"/>
        <v/>
      </c>
      <c r="AL20" s="146" t="str">
        <f t="shared" si="28"/>
        <v/>
      </c>
      <c r="AM20" s="146" t="str">
        <f t="shared" si="35"/>
        <v/>
      </c>
      <c r="AN20" s="146" t="str">
        <f t="shared" si="5"/>
        <v/>
      </c>
      <c r="AO20" s="146" t="str">
        <f t="shared" si="6"/>
        <v/>
      </c>
      <c r="AP20" s="453" t="str">
        <f t="shared" si="7"/>
        <v/>
      </c>
      <c r="AQ20" s="140">
        <f t="shared" si="29"/>
        <v>0</v>
      </c>
      <c r="AR20" s="141" t="str">
        <f t="shared" si="8"/>
        <v/>
      </c>
      <c r="AS20" s="142">
        <f t="shared" si="30"/>
        <v>0</v>
      </c>
      <c r="AT20" s="141" t="str">
        <f t="shared" si="9"/>
        <v/>
      </c>
      <c r="AU20" s="143">
        <f t="shared" si="10"/>
        <v>0</v>
      </c>
      <c r="AV20" s="144" t="str">
        <f t="shared" si="11"/>
        <v/>
      </c>
      <c r="AW20" s="143" t="b">
        <f t="shared" si="12"/>
        <v>0</v>
      </c>
      <c r="AX20" s="145" t="b">
        <f t="shared" si="13"/>
        <v>0</v>
      </c>
      <c r="AY20" s="143" t="b">
        <f t="shared" si="14"/>
        <v>0</v>
      </c>
      <c r="AZ20" s="145" t="b">
        <f t="shared" si="15"/>
        <v>0</v>
      </c>
      <c r="BA20" s="453" t="b">
        <f t="shared" si="16"/>
        <v>0</v>
      </c>
      <c r="BB20" s="453" t="b">
        <f t="shared" si="17"/>
        <v>0</v>
      </c>
      <c r="BC20" s="143" t="b">
        <f t="shared" si="18"/>
        <v>0</v>
      </c>
      <c r="BD20" s="146" t="b">
        <f t="shared" si="31"/>
        <v>0</v>
      </c>
      <c r="BE20" s="145" t="b">
        <f t="shared" si="19"/>
        <v>0</v>
      </c>
      <c r="BF20" s="147" t="b">
        <f t="shared" si="20"/>
        <v>0</v>
      </c>
      <c r="BG20" s="453" t="b">
        <f t="shared" si="21"/>
        <v>0</v>
      </c>
      <c r="BH20" s="453" t="str">
        <f t="shared" si="32"/>
        <v/>
      </c>
      <c r="BI20" s="453" t="str">
        <f t="shared" si="22"/>
        <v/>
      </c>
      <c r="BJ20" s="453" t="str">
        <f t="shared" si="23"/>
        <v/>
      </c>
      <c r="BK20" s="453" t="str">
        <f t="shared" si="24"/>
        <v/>
      </c>
      <c r="BL20" s="148" t="str">
        <f t="shared" si="33"/>
        <v/>
      </c>
      <c r="BM20" s="453" t="str">
        <f t="shared" si="25"/>
        <v/>
      </c>
      <c r="BN20" s="453" t="str">
        <f t="shared" si="26"/>
        <v/>
      </c>
      <c r="BO20" s="300"/>
      <c r="BP20" s="300"/>
      <c r="BQ20" s="300">
        <v>0</v>
      </c>
      <c r="BR20" s="300">
        <v>1</v>
      </c>
      <c r="BS20" s="300">
        <v>2</v>
      </c>
      <c r="BT20" s="300">
        <v>3</v>
      </c>
      <c r="BU20" s="300">
        <v>4</v>
      </c>
    </row>
    <row r="21" spans="2:73" s="94" customFormat="1" ht="12.95" customHeight="1" x14ac:dyDescent="0.2">
      <c r="B21" s="151">
        <f>IF(ISNA(Z21),"",IF(OR(Z21=1,Z21=2),"    ",MAX($B$8:B20)+1))</f>
        <v>10</v>
      </c>
      <c r="C21" s="904" t="str">
        <f t="shared" si="0"/>
        <v xml:space="preserve">      - Ground Block (1.7%)</v>
      </c>
      <c r="D21" s="904"/>
      <c r="E21" s="904"/>
      <c r="F21" s="905"/>
      <c r="G21" s="133">
        <f t="shared" si="1"/>
        <v>1</v>
      </c>
      <c r="H21" s="134" t="str">
        <f t="shared" si="2"/>
        <v>2*</v>
      </c>
      <c r="I21" s="152">
        <f t="shared" si="2"/>
        <v>3</v>
      </c>
      <c r="J21" s="157"/>
      <c r="K21" s="154"/>
      <c r="L21" s="1015"/>
      <c r="M21" s="1016"/>
      <c r="N21" s="1016"/>
      <c r="O21" s="1016"/>
      <c r="P21" s="1016"/>
      <c r="Q21" s="1016"/>
      <c r="R21" s="1017"/>
      <c r="T21" s="99">
        <v>14</v>
      </c>
      <c r="U21" s="88" t="s">
        <v>463</v>
      </c>
      <c r="V21" s="453">
        <v>1</v>
      </c>
      <c r="W21" s="453">
        <v>0.5</v>
      </c>
      <c r="X21" s="453" t="s">
        <v>340</v>
      </c>
      <c r="Y21" s="453" t="s">
        <v>340</v>
      </c>
      <c r="Z21" s="146" t="s">
        <v>340</v>
      </c>
      <c r="AA21" s="146">
        <v>2</v>
      </c>
      <c r="AB21" s="146">
        <v>1</v>
      </c>
      <c r="AC21" s="453">
        <v>3</v>
      </c>
      <c r="AD21" s="453">
        <v>2</v>
      </c>
      <c r="AE21" s="453">
        <v>1</v>
      </c>
      <c r="AF21" s="453" t="b">
        <v>1</v>
      </c>
      <c r="AG21" s="453">
        <f t="shared" si="3"/>
        <v>3</v>
      </c>
      <c r="AH21" s="453">
        <f t="shared" si="4"/>
        <v>2</v>
      </c>
      <c r="AI21" s="138">
        <f>IF(NOT(OR(Z21=1,Z21=2)),IF(AQ21&gt;0,$AR$44*AQ21/SUMIF($AQ$8:$AQ$39,"&gt;0"),IF(AU21&gt;0,$AV$44*AU21/SUMIF($AU$8:$AU$39,"&gt;0"),IF(AS21&gt;0,$AT$44*AS21/SUMIF($AS$8:$AS$39,"&gt;0"),""))),IF(SUMIF(AJ22:$AJ$39,"=" &amp; AJ21,AI22:$AI$39)=0,"",SUMIF(AJ22:$AJ$39,"=" &amp; AJ21,AI22:$AI$39)))</f>
        <v>1.7021276595744681E-2</v>
      </c>
      <c r="AJ21" s="139">
        <f t="shared" si="34"/>
        <v>3</v>
      </c>
      <c r="AK21" s="453">
        <f t="shared" si="27"/>
        <v>2</v>
      </c>
      <c r="AL21" s="146" t="str">
        <f t="shared" si="28"/>
        <v/>
      </c>
      <c r="AM21" s="146" t="str">
        <f t="shared" si="35"/>
        <v/>
      </c>
      <c r="AN21" s="146" t="str">
        <f t="shared" si="5"/>
        <v/>
      </c>
      <c r="AO21" s="146" t="str">
        <f t="shared" si="6"/>
        <v/>
      </c>
      <c r="AP21" s="453" t="b">
        <f t="shared" si="7"/>
        <v>1</v>
      </c>
      <c r="AQ21" s="140">
        <f t="shared" si="29"/>
        <v>0.5</v>
      </c>
      <c r="AR21" s="141" t="str">
        <f t="shared" si="8"/>
        <v/>
      </c>
      <c r="AS21" s="142">
        <f t="shared" si="30"/>
        <v>0</v>
      </c>
      <c r="AT21" s="141" t="str">
        <f t="shared" si="9"/>
        <v/>
      </c>
      <c r="AU21" s="143">
        <f t="shared" si="10"/>
        <v>0</v>
      </c>
      <c r="AV21" s="144" t="str">
        <f t="shared" si="11"/>
        <v/>
      </c>
      <c r="AW21" s="143" t="b">
        <f t="shared" si="12"/>
        <v>0</v>
      </c>
      <c r="AX21" s="145" t="b">
        <f t="shared" si="13"/>
        <v>1</v>
      </c>
      <c r="AY21" s="143" t="b">
        <f t="shared" si="14"/>
        <v>0</v>
      </c>
      <c r="AZ21" s="145" t="b">
        <f t="shared" si="15"/>
        <v>0</v>
      </c>
      <c r="BA21" s="453" t="b">
        <f t="shared" si="16"/>
        <v>0</v>
      </c>
      <c r="BB21" s="453" t="b">
        <f t="shared" si="17"/>
        <v>0</v>
      </c>
      <c r="BC21" s="143" t="b">
        <f t="shared" si="18"/>
        <v>0</v>
      </c>
      <c r="BD21" s="146" t="b">
        <f t="shared" si="31"/>
        <v>0</v>
      </c>
      <c r="BE21" s="145" t="b">
        <f t="shared" si="19"/>
        <v>0</v>
      </c>
      <c r="BF21" s="147" t="b">
        <f t="shared" si="20"/>
        <v>0</v>
      </c>
      <c r="BG21" s="453" t="b">
        <f t="shared" si="21"/>
        <v>1</v>
      </c>
      <c r="BH21" s="453">
        <f t="shared" si="32"/>
        <v>1</v>
      </c>
      <c r="BI21" s="453">
        <f t="shared" si="22"/>
        <v>2</v>
      </c>
      <c r="BJ21" s="453" t="str">
        <f t="shared" si="23"/>
        <v>2*</v>
      </c>
      <c r="BK21" s="453">
        <f t="shared" si="24"/>
        <v>3</v>
      </c>
      <c r="BL21" s="148">
        <f t="shared" si="33"/>
        <v>1</v>
      </c>
      <c r="BM21" s="453">
        <f t="shared" si="25"/>
        <v>2</v>
      </c>
      <c r="BN21" s="453">
        <f t="shared" si="26"/>
        <v>3</v>
      </c>
      <c r="BO21" s="936" t="s">
        <v>358</v>
      </c>
      <c r="BP21" s="300" t="s">
        <v>359</v>
      </c>
      <c r="BQ21" s="162">
        <f t="shared" ref="BQ21:BU29" si="36">AR50</f>
        <v>0.7</v>
      </c>
      <c r="BR21" s="163">
        <f t="shared" si="36"/>
        <v>0.9</v>
      </c>
      <c r="BS21" s="163">
        <f t="shared" si="36"/>
        <v>0.93330000000000002</v>
      </c>
      <c r="BT21" s="163">
        <f t="shared" si="36"/>
        <v>0.9667</v>
      </c>
      <c r="BU21" s="164">
        <f t="shared" si="36"/>
        <v>1</v>
      </c>
    </row>
    <row r="22" spans="2:73" s="94" customFormat="1" ht="12.95" customHeight="1" x14ac:dyDescent="0.2">
      <c r="B22" s="151">
        <f>IF(ISNA(Z22),"",IF(OR(Z22=1,Z22=2),"    ",MAX($B$8:B21)+1))</f>
        <v>11</v>
      </c>
      <c r="C22" s="904" t="str">
        <f t="shared" si="0"/>
        <v xml:space="preserve">      - Taxi FTTs (3.4%)</v>
      </c>
      <c r="D22" s="904"/>
      <c r="E22" s="904"/>
      <c r="F22" s="905"/>
      <c r="G22" s="133">
        <f t="shared" si="1"/>
        <v>1</v>
      </c>
      <c r="H22" s="134" t="str">
        <f t="shared" si="2"/>
        <v>2*</v>
      </c>
      <c r="I22" s="152">
        <f t="shared" si="2"/>
        <v>3</v>
      </c>
      <c r="J22" s="157"/>
      <c r="K22" s="154"/>
      <c r="L22" s="1015"/>
      <c r="M22" s="1016"/>
      <c r="N22" s="1016"/>
      <c r="O22" s="1016"/>
      <c r="P22" s="1016"/>
      <c r="Q22" s="1016"/>
      <c r="R22" s="1017"/>
      <c r="T22" s="99">
        <v>15</v>
      </c>
      <c r="U22" s="88" t="s">
        <v>553</v>
      </c>
      <c r="V22" s="453">
        <v>1</v>
      </c>
      <c r="W22" s="453">
        <v>1</v>
      </c>
      <c r="X22" s="453" t="s">
        <v>340</v>
      </c>
      <c r="Y22" s="453" t="s">
        <v>340</v>
      </c>
      <c r="Z22" s="146" t="s">
        <v>340</v>
      </c>
      <c r="AA22" s="146">
        <v>2</v>
      </c>
      <c r="AB22" s="146">
        <v>1</v>
      </c>
      <c r="AC22" s="453">
        <v>3</v>
      </c>
      <c r="AD22" s="453">
        <v>2</v>
      </c>
      <c r="AE22" s="453">
        <v>1</v>
      </c>
      <c r="AF22" s="453" t="b">
        <v>1</v>
      </c>
      <c r="AG22" s="453">
        <f t="shared" si="3"/>
        <v>3</v>
      </c>
      <c r="AH22" s="453">
        <f t="shared" si="4"/>
        <v>2</v>
      </c>
      <c r="AI22" s="138">
        <f>IF(NOT(OR(Z22=1,Z22=2)),IF(AQ22&gt;0,$AR$44*AQ22/SUMIF($AQ$8:$AQ$39,"&gt;0"),IF(AU22&gt;0,$AV$44*AU22/SUMIF($AU$8:$AU$39,"&gt;0"),IF(AS22&gt;0,$AT$44*AS22/SUMIF($AS$8:$AS$39,"&gt;0"),""))),IF(SUMIF(AJ23:$AJ$39,"=" &amp; AJ22,AI23:$AI$39)=0,"",SUMIF(AJ23:$AJ$39,"=" &amp; AJ22,AI23:$AI$39)))</f>
        <v>3.4042553191489362E-2</v>
      </c>
      <c r="AJ22" s="139">
        <f t="shared" si="34"/>
        <v>3</v>
      </c>
      <c r="AK22" s="453">
        <f t="shared" si="27"/>
        <v>2</v>
      </c>
      <c r="AL22" s="146" t="str">
        <f t="shared" si="28"/>
        <v/>
      </c>
      <c r="AM22" s="146" t="str">
        <f t="shared" si="35"/>
        <v/>
      </c>
      <c r="AN22" s="146" t="str">
        <f t="shared" si="5"/>
        <v/>
      </c>
      <c r="AO22" s="146" t="str">
        <f t="shared" si="6"/>
        <v/>
      </c>
      <c r="AP22" s="453" t="b">
        <f t="shared" si="7"/>
        <v>1</v>
      </c>
      <c r="AQ22" s="140">
        <f t="shared" si="29"/>
        <v>1</v>
      </c>
      <c r="AR22" s="141" t="str">
        <f t="shared" si="8"/>
        <v/>
      </c>
      <c r="AS22" s="142">
        <f t="shared" si="30"/>
        <v>0</v>
      </c>
      <c r="AT22" s="141" t="str">
        <f t="shared" si="9"/>
        <v/>
      </c>
      <c r="AU22" s="143">
        <f t="shared" si="10"/>
        <v>0</v>
      </c>
      <c r="AV22" s="144" t="str">
        <f t="shared" si="11"/>
        <v/>
      </c>
      <c r="AW22" s="143" t="b">
        <f t="shared" si="12"/>
        <v>0</v>
      </c>
      <c r="AX22" s="145" t="b">
        <f t="shared" si="13"/>
        <v>1</v>
      </c>
      <c r="AY22" s="143" t="b">
        <f t="shared" si="14"/>
        <v>0</v>
      </c>
      <c r="AZ22" s="145" t="b">
        <f t="shared" si="15"/>
        <v>0</v>
      </c>
      <c r="BA22" s="453" t="b">
        <f t="shared" si="16"/>
        <v>0</v>
      </c>
      <c r="BB22" s="453" t="b">
        <f t="shared" si="17"/>
        <v>0</v>
      </c>
      <c r="BC22" s="143" t="b">
        <f t="shared" si="18"/>
        <v>0</v>
      </c>
      <c r="BD22" s="146" t="b">
        <f t="shared" si="31"/>
        <v>0</v>
      </c>
      <c r="BE22" s="145" t="b">
        <f>IF(OR(ISNA($Z22),K22&lt;&gt;"D"),FALSE,IF(OR(AND(H22="NG",J22=0),AND(H22&lt;&gt;"NG",NOT(OR(J22="NA",J22=0)))),TRUE,FALSE))</f>
        <v>0</v>
      </c>
      <c r="BF22" s="147" t="b">
        <f t="shared" si="20"/>
        <v>0</v>
      </c>
      <c r="BG22" s="453" t="b">
        <f>IF(ISNA($Z22),"NA",IF(OR(AZ22,AY22,AX22,AW22,AP22,BA22,BB22),TRUE,FALSE))</f>
        <v>1</v>
      </c>
      <c r="BH22" s="453">
        <f t="shared" si="32"/>
        <v>1</v>
      </c>
      <c r="BI22" s="453">
        <f t="shared" si="22"/>
        <v>2</v>
      </c>
      <c r="BJ22" s="453" t="str">
        <f t="shared" si="23"/>
        <v>2*</v>
      </c>
      <c r="BK22" s="453">
        <f t="shared" si="24"/>
        <v>3</v>
      </c>
      <c r="BL22" s="148">
        <f t="shared" si="33"/>
        <v>1</v>
      </c>
      <c r="BM22" s="453">
        <f t="shared" si="25"/>
        <v>2</v>
      </c>
      <c r="BN22" s="453">
        <f t="shared" si="26"/>
        <v>3</v>
      </c>
      <c r="BO22" s="936"/>
      <c r="BP22" s="300" t="s">
        <v>360</v>
      </c>
      <c r="BQ22" s="165">
        <f t="shared" si="36"/>
        <v>0.7</v>
      </c>
      <c r="BR22" s="166">
        <f t="shared" si="36"/>
        <v>0.8</v>
      </c>
      <c r="BS22" s="166">
        <f t="shared" si="36"/>
        <v>0.9</v>
      </c>
      <c r="BT22" s="166">
        <f t="shared" si="36"/>
        <v>0.95</v>
      </c>
      <c r="BU22" s="167">
        <f t="shared" si="36"/>
        <v>1</v>
      </c>
    </row>
    <row r="23" spans="2:73" s="94" customFormat="1" ht="12.95" customHeight="1" x14ac:dyDescent="0.2">
      <c r="B23" s="151">
        <f>IF(ISNA(Z23),"",IF(OR(Z23=1,Z23=2),"    ",MAX($B$8:B22)+1))</f>
        <v>12</v>
      </c>
      <c r="C23" s="904" t="str">
        <f t="shared" si="0"/>
        <v xml:space="preserve">      - Fixed Gunsight FTTs (6.8%)</v>
      </c>
      <c r="D23" s="904"/>
      <c r="E23" s="904"/>
      <c r="F23" s="905"/>
      <c r="G23" s="133">
        <f t="shared" si="1"/>
        <v>1</v>
      </c>
      <c r="H23" s="134" t="str">
        <f t="shared" si="2"/>
        <v>2*</v>
      </c>
      <c r="I23" s="152">
        <f t="shared" si="2"/>
        <v>3</v>
      </c>
      <c r="J23" s="157"/>
      <c r="K23" s="154"/>
      <c r="L23" s="1015"/>
      <c r="M23" s="1016"/>
      <c r="N23" s="1016"/>
      <c r="O23" s="1016"/>
      <c r="P23" s="1016"/>
      <c r="Q23" s="1016"/>
      <c r="R23" s="1017"/>
      <c r="T23" s="99">
        <v>16</v>
      </c>
      <c r="U23" s="88" t="s">
        <v>777</v>
      </c>
      <c r="V23" s="453">
        <v>1</v>
      </c>
      <c r="W23" s="453">
        <v>2</v>
      </c>
      <c r="X23" s="453" t="s">
        <v>340</v>
      </c>
      <c r="Y23" s="453" t="s">
        <v>340</v>
      </c>
      <c r="Z23" s="146" t="s">
        <v>340</v>
      </c>
      <c r="AA23" s="146">
        <v>2</v>
      </c>
      <c r="AB23" s="146">
        <v>1</v>
      </c>
      <c r="AC23" s="453">
        <v>3</v>
      </c>
      <c r="AD23" s="453">
        <v>2</v>
      </c>
      <c r="AE23" s="453">
        <v>1</v>
      </c>
      <c r="AF23" s="453" t="b">
        <v>1</v>
      </c>
      <c r="AG23" s="453">
        <f t="shared" si="3"/>
        <v>3</v>
      </c>
      <c r="AH23" s="453">
        <f t="shared" si="4"/>
        <v>2</v>
      </c>
      <c r="AI23" s="138">
        <f>IF(NOT(OR(Z23=1,Z23=2)),IF(AQ23&gt;0,$AR$44*AQ23/SUMIF($AQ$8:$AQ$39,"&gt;0"),IF(AU23&gt;0,$AV$44*AU23/SUMIF($AU$8:$AU$39,"&gt;0"),IF(AS23&gt;0,$AT$44*AS23/SUMIF($AS$8:$AS$39,"&gt;0"),""))),IF(SUMIF(AJ24:$AJ$39,"=" &amp; AJ23,AI24:$AI$39)=0,"",SUMIF(AJ24:$AJ$39,"=" &amp; AJ23,AI24:$AI$39)))</f>
        <v>6.8085106382978725E-2</v>
      </c>
      <c r="AJ23" s="139">
        <f t="shared" si="34"/>
        <v>3</v>
      </c>
      <c r="AK23" s="453">
        <f t="shared" si="27"/>
        <v>2</v>
      </c>
      <c r="AL23" s="146" t="str">
        <f t="shared" si="28"/>
        <v/>
      </c>
      <c r="AM23" s="146" t="str">
        <f t="shared" si="35"/>
        <v/>
      </c>
      <c r="AN23" s="146" t="str">
        <f t="shared" si="5"/>
        <v/>
      </c>
      <c r="AO23" s="146" t="str">
        <f t="shared" si="6"/>
        <v/>
      </c>
      <c r="AP23" s="453" t="b">
        <f t="shared" si="7"/>
        <v>1</v>
      </c>
      <c r="AQ23" s="140">
        <f t="shared" si="29"/>
        <v>2</v>
      </c>
      <c r="AR23" s="141" t="str">
        <f t="shared" si="8"/>
        <v/>
      </c>
      <c r="AS23" s="142">
        <f t="shared" si="30"/>
        <v>0</v>
      </c>
      <c r="AT23" s="141" t="str">
        <f t="shared" si="9"/>
        <v/>
      </c>
      <c r="AU23" s="143">
        <f t="shared" si="10"/>
        <v>0</v>
      </c>
      <c r="AV23" s="144" t="str">
        <f t="shared" si="11"/>
        <v/>
      </c>
      <c r="AW23" s="143" t="b">
        <f t="shared" si="12"/>
        <v>0</v>
      </c>
      <c r="AX23" s="145" t="b">
        <f t="shared" si="13"/>
        <v>1</v>
      </c>
      <c r="AY23" s="143" t="b">
        <f t="shared" si="14"/>
        <v>0</v>
      </c>
      <c r="AZ23" s="145" t="b">
        <f t="shared" si="15"/>
        <v>0</v>
      </c>
      <c r="BA23" s="453" t="b">
        <f t="shared" si="16"/>
        <v>0</v>
      </c>
      <c r="BB23" s="453" t="b">
        <f t="shared" si="17"/>
        <v>0</v>
      </c>
      <c r="BC23" s="143" t="b">
        <f t="shared" si="18"/>
        <v>0</v>
      </c>
      <c r="BD23" s="146" t="b">
        <f t="shared" si="31"/>
        <v>0</v>
      </c>
      <c r="BE23" s="145" t="b">
        <f t="shared" ref="BE23:BE39" si="37">IF(OR(ISNA($Z23),K23&lt;&gt;"D"),FALSE,IF(OR(AND(H23="NG",J23=0),AND(H23&lt;&gt;"NG",NOT(OR(J23="NA",J23=0)))),TRUE,FALSE))</f>
        <v>0</v>
      </c>
      <c r="BF23" s="147" t="b">
        <f t="shared" si="20"/>
        <v>0</v>
      </c>
      <c r="BG23" s="453" t="b">
        <f t="shared" ref="BG23:BG39" si="38">IF(ISNA($Z23),"NA",IF(OR(AZ23,AY23,AX23,AW23,AP23,BA23,BB23),TRUE,FALSE))</f>
        <v>1</v>
      </c>
      <c r="BH23" s="453">
        <f t="shared" si="32"/>
        <v>1</v>
      </c>
      <c r="BI23" s="453">
        <f t="shared" si="22"/>
        <v>2</v>
      </c>
      <c r="BJ23" s="453" t="str">
        <f t="shared" si="23"/>
        <v>2*</v>
      </c>
      <c r="BK23" s="453">
        <f t="shared" si="24"/>
        <v>3</v>
      </c>
      <c r="BL23" s="148">
        <f t="shared" si="33"/>
        <v>1</v>
      </c>
      <c r="BM23" s="453">
        <f t="shared" si="25"/>
        <v>2</v>
      </c>
      <c r="BN23" s="453">
        <f t="shared" si="26"/>
        <v>3</v>
      </c>
      <c r="BO23" s="936"/>
      <c r="BP23" s="300" t="s">
        <v>361</v>
      </c>
      <c r="BQ23" s="165">
        <f t="shared" si="36"/>
        <v>0.7</v>
      </c>
      <c r="BR23" s="166">
        <f t="shared" si="36"/>
        <v>0.76670000000000005</v>
      </c>
      <c r="BS23" s="166">
        <f t="shared" si="36"/>
        <v>0.83330000000000004</v>
      </c>
      <c r="BT23" s="166">
        <f t="shared" si="36"/>
        <v>0.9</v>
      </c>
      <c r="BU23" s="167">
        <f t="shared" si="36"/>
        <v>1</v>
      </c>
    </row>
    <row r="24" spans="2:73" s="94" customFormat="1" ht="12.95" customHeight="1" x14ac:dyDescent="0.2">
      <c r="B24" s="151">
        <f>IF(ISNA(Z24),"",IF(OR(Z24=1,Z24=2),"    ",MAX($B$8:B23)+1))</f>
        <v>13</v>
      </c>
      <c r="C24" s="904" t="str">
        <f t="shared" si="0"/>
        <v xml:space="preserve">      - Route Form. FTTs (CR) (3.4%)</v>
      </c>
      <c r="D24" s="904"/>
      <c r="E24" s="904"/>
      <c r="F24" s="905"/>
      <c r="G24" s="133">
        <f t="shared" si="1"/>
        <v>1</v>
      </c>
      <c r="H24" s="134" t="str">
        <f t="shared" si="2"/>
        <v>2*</v>
      </c>
      <c r="I24" s="152">
        <f t="shared" si="2"/>
        <v>3</v>
      </c>
      <c r="J24" s="157"/>
      <c r="K24" s="154"/>
      <c r="L24" s="1015"/>
      <c r="M24" s="1016"/>
      <c r="N24" s="1016"/>
      <c r="O24" s="1016"/>
      <c r="P24" s="1016"/>
      <c r="Q24" s="1016"/>
      <c r="R24" s="1017"/>
      <c r="T24" s="99">
        <v>17</v>
      </c>
      <c r="U24" s="88" t="s">
        <v>554</v>
      </c>
      <c r="V24" s="453">
        <v>1</v>
      </c>
      <c r="W24" s="453">
        <v>1</v>
      </c>
      <c r="X24" s="453" t="s">
        <v>340</v>
      </c>
      <c r="Y24" s="453" t="s">
        <v>340</v>
      </c>
      <c r="Z24" s="146" t="s">
        <v>340</v>
      </c>
      <c r="AA24" s="146">
        <v>2</v>
      </c>
      <c r="AB24" s="146">
        <v>1</v>
      </c>
      <c r="AC24" s="453">
        <v>3</v>
      </c>
      <c r="AD24" s="453">
        <v>2</v>
      </c>
      <c r="AE24" s="453">
        <v>1</v>
      </c>
      <c r="AF24" s="453" t="b">
        <v>1</v>
      </c>
      <c r="AG24" s="453">
        <f t="shared" si="3"/>
        <v>3</v>
      </c>
      <c r="AH24" s="453">
        <f t="shared" si="4"/>
        <v>2</v>
      </c>
      <c r="AI24" s="138">
        <f>IF(NOT(OR(Z24=1,Z24=2)),IF(AQ24&gt;0,$AR$44*AQ24/SUMIF($AQ$8:$AQ$39,"&gt;0"),IF(AU24&gt;0,$AV$44*AU24/SUMIF($AU$8:$AU$39,"&gt;0"),IF(AS24&gt;0,$AT$44*AS24/SUMIF($AS$8:$AS$39,"&gt;0"),""))),IF(SUMIF(AJ25:$AJ$39,"=" &amp; AJ24,AI25:$AI$39)=0,"",SUMIF(AJ25:$AJ$39,"=" &amp; AJ24,AI25:$AI$39)))</f>
        <v>3.4042553191489362E-2</v>
      </c>
      <c r="AJ24" s="139">
        <f t="shared" si="34"/>
        <v>3</v>
      </c>
      <c r="AK24" s="453">
        <f t="shared" si="27"/>
        <v>2</v>
      </c>
      <c r="AL24" s="146" t="str">
        <f t="shared" si="28"/>
        <v/>
      </c>
      <c r="AM24" s="146" t="str">
        <f t="shared" si="35"/>
        <v/>
      </c>
      <c r="AN24" s="146" t="str">
        <f t="shared" si="5"/>
        <v/>
      </c>
      <c r="AO24" s="146" t="str">
        <f t="shared" si="6"/>
        <v/>
      </c>
      <c r="AP24" s="453" t="b">
        <f t="shared" si="7"/>
        <v>1</v>
      </c>
      <c r="AQ24" s="140">
        <f t="shared" si="29"/>
        <v>1</v>
      </c>
      <c r="AR24" s="141" t="str">
        <f t="shared" si="8"/>
        <v/>
      </c>
      <c r="AS24" s="142">
        <f t="shared" si="30"/>
        <v>0</v>
      </c>
      <c r="AT24" s="141" t="str">
        <f t="shared" si="9"/>
        <v/>
      </c>
      <c r="AU24" s="143">
        <f t="shared" si="10"/>
        <v>0</v>
      </c>
      <c r="AV24" s="144" t="str">
        <f t="shared" si="11"/>
        <v/>
      </c>
      <c r="AW24" s="143" t="b">
        <f t="shared" si="12"/>
        <v>0</v>
      </c>
      <c r="AX24" s="145" t="b">
        <f t="shared" si="13"/>
        <v>1</v>
      </c>
      <c r="AY24" s="143" t="b">
        <f t="shared" si="14"/>
        <v>0</v>
      </c>
      <c r="AZ24" s="145" t="b">
        <f t="shared" si="15"/>
        <v>0</v>
      </c>
      <c r="BA24" s="453" t="b">
        <f t="shared" si="16"/>
        <v>0</v>
      </c>
      <c r="BB24" s="453" t="b">
        <f t="shared" si="17"/>
        <v>0</v>
      </c>
      <c r="BC24" s="143" t="b">
        <f t="shared" si="18"/>
        <v>0</v>
      </c>
      <c r="BD24" s="146" t="b">
        <f t="shared" si="31"/>
        <v>0</v>
      </c>
      <c r="BE24" s="145" t="b">
        <f t="shared" si="37"/>
        <v>0</v>
      </c>
      <c r="BF24" s="147" t="b">
        <f t="shared" si="20"/>
        <v>0</v>
      </c>
      <c r="BG24" s="453" t="b">
        <f t="shared" si="38"/>
        <v>1</v>
      </c>
      <c r="BH24" s="453">
        <f t="shared" si="32"/>
        <v>1</v>
      </c>
      <c r="BI24" s="453">
        <f t="shared" si="22"/>
        <v>2</v>
      </c>
      <c r="BJ24" s="453" t="str">
        <f t="shared" si="23"/>
        <v>2*</v>
      </c>
      <c r="BK24" s="453">
        <f t="shared" si="24"/>
        <v>3</v>
      </c>
      <c r="BL24" s="148">
        <f t="shared" si="33"/>
        <v>1</v>
      </c>
      <c r="BM24" s="453">
        <f t="shared" si="25"/>
        <v>2</v>
      </c>
      <c r="BN24" s="453">
        <f t="shared" si="26"/>
        <v>3</v>
      </c>
      <c r="BO24" s="936"/>
      <c r="BP24" s="300" t="s">
        <v>362</v>
      </c>
      <c r="BQ24" s="165">
        <f t="shared" si="36"/>
        <v>0.6</v>
      </c>
      <c r="BR24" s="166">
        <f t="shared" si="36"/>
        <v>0.9</v>
      </c>
      <c r="BS24" s="166">
        <f t="shared" si="36"/>
        <v>0.93330000000000002</v>
      </c>
      <c r="BT24" s="166">
        <f t="shared" si="36"/>
        <v>0.9667</v>
      </c>
      <c r="BU24" s="167">
        <f t="shared" si="36"/>
        <v>1</v>
      </c>
    </row>
    <row r="25" spans="2:73" s="94" customFormat="1" ht="12.95" customHeight="1" x14ac:dyDescent="0.2">
      <c r="B25" s="151">
        <f>IF(ISNA(Z25),"",IF(OR(Z25=1,Z25=2),"    ",MAX($B$8:B24)+1))</f>
        <v>14</v>
      </c>
      <c r="C25" s="904" t="str">
        <f t="shared" si="0"/>
        <v xml:space="preserve">      - Route Form. FTTs (PA) (3.4%)</v>
      </c>
      <c r="D25" s="904"/>
      <c r="E25" s="904"/>
      <c r="F25" s="905"/>
      <c r="G25" s="133">
        <f t="shared" si="1"/>
        <v>1</v>
      </c>
      <c r="H25" s="134" t="str">
        <f t="shared" si="2"/>
        <v>2*</v>
      </c>
      <c r="I25" s="152">
        <f t="shared" si="2"/>
        <v>3</v>
      </c>
      <c r="J25" s="157"/>
      <c r="K25" s="154"/>
      <c r="L25" s="1015"/>
      <c r="M25" s="1016"/>
      <c r="N25" s="1016"/>
      <c r="O25" s="1016"/>
      <c r="P25" s="1016"/>
      <c r="Q25" s="1016"/>
      <c r="R25" s="1017"/>
      <c r="T25" s="99">
        <v>18</v>
      </c>
      <c r="U25" s="88" t="s">
        <v>555</v>
      </c>
      <c r="V25" s="453">
        <v>1</v>
      </c>
      <c r="W25" s="453">
        <v>1</v>
      </c>
      <c r="X25" s="453" t="s">
        <v>340</v>
      </c>
      <c r="Y25" s="453" t="s">
        <v>340</v>
      </c>
      <c r="Z25" s="146" t="s">
        <v>340</v>
      </c>
      <c r="AA25" s="146">
        <v>2</v>
      </c>
      <c r="AB25" s="146">
        <v>1</v>
      </c>
      <c r="AC25" s="453">
        <v>3</v>
      </c>
      <c r="AD25" s="453">
        <v>2</v>
      </c>
      <c r="AE25" s="453">
        <v>1</v>
      </c>
      <c r="AF25" s="453" t="b">
        <v>1</v>
      </c>
      <c r="AG25" s="453">
        <f t="shared" si="3"/>
        <v>3</v>
      </c>
      <c r="AH25" s="453">
        <f t="shared" si="4"/>
        <v>2</v>
      </c>
      <c r="AI25" s="138">
        <f>IF(NOT(OR(Z25=1,Z25=2)),IF(AQ25&gt;0,$AR$44*AQ25/SUMIF($AQ$8:$AQ$39,"&gt;0"),IF(AU25&gt;0,$AV$44*AU25/SUMIF($AU$8:$AU$39,"&gt;0"),IF(AS25&gt;0,$AT$44*AS25/SUMIF($AS$8:$AS$39,"&gt;0"),""))),IF(SUMIF(AJ26:$AJ$39,"=" &amp; AJ25,AI26:$AI$39)=0,"",SUMIF(AJ26:$AJ$39,"=" &amp; AJ25,AI26:$AI$39)))</f>
        <v>3.4042553191489362E-2</v>
      </c>
      <c r="AJ25" s="139">
        <f t="shared" si="34"/>
        <v>3</v>
      </c>
      <c r="AK25" s="453">
        <f t="shared" si="27"/>
        <v>2</v>
      </c>
      <c r="AL25" s="146" t="str">
        <f t="shared" si="28"/>
        <v/>
      </c>
      <c r="AM25" s="146" t="str">
        <f t="shared" si="35"/>
        <v/>
      </c>
      <c r="AN25" s="146" t="str">
        <f t="shared" si="5"/>
        <v/>
      </c>
      <c r="AO25" s="146" t="str">
        <f t="shared" si="6"/>
        <v/>
      </c>
      <c r="AP25" s="453" t="b">
        <f t="shared" si="7"/>
        <v>1</v>
      </c>
      <c r="AQ25" s="140">
        <f t="shared" si="29"/>
        <v>1</v>
      </c>
      <c r="AR25" s="141" t="str">
        <f t="shared" si="8"/>
        <v/>
      </c>
      <c r="AS25" s="142">
        <f t="shared" si="30"/>
        <v>0</v>
      </c>
      <c r="AT25" s="141" t="str">
        <f t="shared" si="9"/>
        <v/>
      </c>
      <c r="AU25" s="143">
        <f t="shared" si="10"/>
        <v>0</v>
      </c>
      <c r="AV25" s="144" t="str">
        <f t="shared" si="11"/>
        <v/>
      </c>
      <c r="AW25" s="143" t="b">
        <f t="shared" si="12"/>
        <v>0</v>
      </c>
      <c r="AX25" s="145" t="b">
        <f t="shared" si="13"/>
        <v>1</v>
      </c>
      <c r="AY25" s="143" t="b">
        <f t="shared" si="14"/>
        <v>0</v>
      </c>
      <c r="AZ25" s="145" t="b">
        <f t="shared" si="15"/>
        <v>0</v>
      </c>
      <c r="BA25" s="453" t="b">
        <f t="shared" si="16"/>
        <v>0</v>
      </c>
      <c r="BB25" s="453" t="b">
        <f t="shared" si="17"/>
        <v>0</v>
      </c>
      <c r="BC25" s="143" t="b">
        <f t="shared" si="18"/>
        <v>0</v>
      </c>
      <c r="BD25" s="146" t="b">
        <f t="shared" si="31"/>
        <v>0</v>
      </c>
      <c r="BE25" s="145" t="b">
        <f t="shared" si="37"/>
        <v>0</v>
      </c>
      <c r="BF25" s="147" t="b">
        <f t="shared" si="20"/>
        <v>0</v>
      </c>
      <c r="BG25" s="453" t="b">
        <f t="shared" si="38"/>
        <v>1</v>
      </c>
      <c r="BH25" s="453">
        <f t="shared" si="32"/>
        <v>1</v>
      </c>
      <c r="BI25" s="453">
        <f t="shared" si="22"/>
        <v>2</v>
      </c>
      <c r="BJ25" s="453" t="str">
        <f t="shared" si="23"/>
        <v>2*</v>
      </c>
      <c r="BK25" s="453">
        <f t="shared" si="24"/>
        <v>3</v>
      </c>
      <c r="BL25" s="148">
        <f t="shared" si="33"/>
        <v>1</v>
      </c>
      <c r="BM25" s="453">
        <f t="shared" si="25"/>
        <v>2</v>
      </c>
      <c r="BN25" s="453">
        <f t="shared" si="26"/>
        <v>3</v>
      </c>
      <c r="BO25" s="936"/>
      <c r="BP25" s="300" t="s">
        <v>363</v>
      </c>
      <c r="BQ25" s="165">
        <f t="shared" si="36"/>
        <v>0.6</v>
      </c>
      <c r="BR25" s="166">
        <f t="shared" si="36"/>
        <v>0.7</v>
      </c>
      <c r="BS25" s="166">
        <f t="shared" si="36"/>
        <v>0.9</v>
      </c>
      <c r="BT25" s="166">
        <f t="shared" si="36"/>
        <v>0.95</v>
      </c>
      <c r="BU25" s="167">
        <f t="shared" si="36"/>
        <v>1</v>
      </c>
    </row>
    <row r="26" spans="2:73" s="94" customFormat="1" ht="12.95" customHeight="1" x14ac:dyDescent="0.2">
      <c r="B26" s="151">
        <f>IF(ISNA(Z26),"",IF(OR(Z26=1,Z26=2),"    ",MAX($B$8:B25)+1))</f>
        <v>15</v>
      </c>
      <c r="C26" s="904" t="str">
        <f t="shared" si="0"/>
        <v xml:space="preserve">      - Offset Landing Buildup (1.7%)</v>
      </c>
      <c r="D26" s="904"/>
      <c r="E26" s="904"/>
      <c r="F26" s="905"/>
      <c r="G26" s="133">
        <f t="shared" si="1"/>
        <v>1</v>
      </c>
      <c r="H26" s="134" t="str">
        <f t="shared" si="2"/>
        <v>1</v>
      </c>
      <c r="I26" s="152">
        <f t="shared" si="2"/>
        <v>3</v>
      </c>
      <c r="J26" s="157"/>
      <c r="K26" s="154"/>
      <c r="L26" s="1015"/>
      <c r="M26" s="1016"/>
      <c r="N26" s="1016"/>
      <c r="O26" s="1016"/>
      <c r="P26" s="1016"/>
      <c r="Q26" s="1016"/>
      <c r="R26" s="1017"/>
      <c r="T26" s="99">
        <v>19</v>
      </c>
      <c r="U26" s="88" t="s">
        <v>556</v>
      </c>
      <c r="V26" s="453">
        <v>1</v>
      </c>
      <c r="W26" s="453">
        <v>0.5</v>
      </c>
      <c r="X26" s="453" t="s">
        <v>340</v>
      </c>
      <c r="Y26" s="453" t="s">
        <v>340</v>
      </c>
      <c r="Z26" s="146" t="s">
        <v>340</v>
      </c>
      <c r="AA26" s="146">
        <v>2</v>
      </c>
      <c r="AB26" s="146">
        <v>1</v>
      </c>
      <c r="AC26" s="453">
        <v>3</v>
      </c>
      <c r="AD26" s="453">
        <v>1</v>
      </c>
      <c r="AE26" s="453">
        <v>0</v>
      </c>
      <c r="AF26" s="453" t="b">
        <v>1</v>
      </c>
      <c r="AG26" s="453">
        <f t="shared" si="3"/>
        <v>3</v>
      </c>
      <c r="AH26" s="453">
        <f t="shared" si="4"/>
        <v>2</v>
      </c>
      <c r="AI26" s="138">
        <f>IF(NOT(OR(Z26=1,Z26=2)),IF(AQ26&gt;0,$AR$44*AQ26/SUMIF($AQ$8:$AQ$39,"&gt;0"),IF(AU26&gt;0,$AV$44*AU26/SUMIF($AU$8:$AU$39,"&gt;0"),IF(AS26&gt;0,$AT$44*AS26/SUMIF($AS$8:$AS$39,"&gt;0"),""))),IF(SUMIF(AJ27:$AJ$39,"=" &amp; AJ26,AI27:$AI$39)=0,"",SUMIF(AJ27:$AJ$39,"=" &amp; AJ26,AI27:$AI$39)))</f>
        <v>1.7021276595744681E-2</v>
      </c>
      <c r="AJ26" s="139">
        <f t="shared" si="34"/>
        <v>3</v>
      </c>
      <c r="AK26" s="453">
        <f t="shared" si="27"/>
        <v>1</v>
      </c>
      <c r="AL26" s="146" t="str">
        <f t="shared" si="28"/>
        <v/>
      </c>
      <c r="AM26" s="146" t="str">
        <f t="shared" si="35"/>
        <v/>
      </c>
      <c r="AN26" s="146" t="str">
        <f t="shared" si="5"/>
        <v/>
      </c>
      <c r="AO26" s="146" t="str">
        <f t="shared" si="6"/>
        <v/>
      </c>
      <c r="AP26" s="453" t="b">
        <f t="shared" si="7"/>
        <v>1</v>
      </c>
      <c r="AQ26" s="140">
        <f t="shared" si="29"/>
        <v>0.5</v>
      </c>
      <c r="AR26" s="141" t="str">
        <f t="shared" si="8"/>
        <v/>
      </c>
      <c r="AS26" s="142">
        <f t="shared" si="30"/>
        <v>0</v>
      </c>
      <c r="AT26" s="141" t="str">
        <f t="shared" si="9"/>
        <v/>
      </c>
      <c r="AU26" s="143">
        <f t="shared" si="10"/>
        <v>0</v>
      </c>
      <c r="AV26" s="144" t="str">
        <f t="shared" si="11"/>
        <v/>
      </c>
      <c r="AW26" s="143" t="b">
        <f t="shared" si="12"/>
        <v>0</v>
      </c>
      <c r="AX26" s="145" t="b">
        <f t="shared" si="13"/>
        <v>1</v>
      </c>
      <c r="AY26" s="143" t="b">
        <f t="shared" si="14"/>
        <v>0</v>
      </c>
      <c r="AZ26" s="145" t="b">
        <f t="shared" si="15"/>
        <v>0</v>
      </c>
      <c r="BA26" s="453" t="b">
        <f t="shared" si="16"/>
        <v>0</v>
      </c>
      <c r="BB26" s="453" t="b">
        <f t="shared" si="17"/>
        <v>0</v>
      </c>
      <c r="BC26" s="143" t="b">
        <f t="shared" si="18"/>
        <v>0</v>
      </c>
      <c r="BD26" s="146" t="b">
        <f t="shared" si="31"/>
        <v>0</v>
      </c>
      <c r="BE26" s="145" t="b">
        <f t="shared" si="37"/>
        <v>0</v>
      </c>
      <c r="BF26" s="147" t="b">
        <f t="shared" si="20"/>
        <v>0</v>
      </c>
      <c r="BG26" s="453" t="b">
        <f t="shared" si="38"/>
        <v>1</v>
      </c>
      <c r="BH26" s="453">
        <f t="shared" si="32"/>
        <v>1</v>
      </c>
      <c r="BI26" s="453">
        <f t="shared" si="22"/>
        <v>1</v>
      </c>
      <c r="BJ26" s="453" t="str">
        <f t="shared" si="23"/>
        <v>1</v>
      </c>
      <c r="BK26" s="453">
        <f t="shared" si="24"/>
        <v>3</v>
      </c>
      <c r="BL26" s="148">
        <f t="shared" si="33"/>
        <v>1</v>
      </c>
      <c r="BM26" s="453">
        <f t="shared" si="25"/>
        <v>1</v>
      </c>
      <c r="BN26" s="453">
        <f t="shared" si="26"/>
        <v>3</v>
      </c>
      <c r="BO26" s="936"/>
      <c r="BP26" s="300" t="s">
        <v>364</v>
      </c>
      <c r="BQ26" s="165">
        <f t="shared" si="36"/>
        <v>0.6</v>
      </c>
      <c r="BR26" s="166">
        <f t="shared" si="36"/>
        <v>0.7</v>
      </c>
      <c r="BS26" s="166">
        <f t="shared" si="36"/>
        <v>0.8</v>
      </c>
      <c r="BT26" s="166">
        <f t="shared" si="36"/>
        <v>0.9</v>
      </c>
      <c r="BU26" s="167">
        <f t="shared" si="36"/>
        <v>1</v>
      </c>
    </row>
    <row r="27" spans="2:73" s="94" customFormat="1" ht="12.95" customHeight="1" x14ac:dyDescent="0.2">
      <c r="B27" s="151">
        <f>IF(ISNA(Z27),"",IF(OR(Z27=1,Z27=2),"    ",MAX($B$8:B26)+1))</f>
        <v>16</v>
      </c>
      <c r="C27" s="904" t="str">
        <f t="shared" si="0"/>
        <v xml:space="preserve">      - Yaw Pointing FTTs (1.7%)</v>
      </c>
      <c r="D27" s="904"/>
      <c r="E27" s="904"/>
      <c r="F27" s="905"/>
      <c r="G27" s="133">
        <f t="shared" si="1"/>
        <v>1</v>
      </c>
      <c r="H27" s="134" t="str">
        <f t="shared" si="2"/>
        <v>2</v>
      </c>
      <c r="I27" s="152">
        <f t="shared" si="2"/>
        <v>3</v>
      </c>
      <c r="J27" s="157"/>
      <c r="K27" s="154"/>
      <c r="L27" s="1015"/>
      <c r="M27" s="1016"/>
      <c r="N27" s="1016"/>
      <c r="O27" s="1016"/>
      <c r="P27" s="1016"/>
      <c r="Q27" s="1016"/>
      <c r="R27" s="1017"/>
      <c r="T27" s="99">
        <v>20</v>
      </c>
      <c r="U27" s="88" t="s">
        <v>778</v>
      </c>
      <c r="V27" s="453">
        <v>1</v>
      </c>
      <c r="W27" s="453">
        <v>0.5</v>
      </c>
      <c r="X27" s="453" t="s">
        <v>340</v>
      </c>
      <c r="Y27" s="453" t="s">
        <v>340</v>
      </c>
      <c r="Z27" s="146" t="s">
        <v>340</v>
      </c>
      <c r="AA27" s="146">
        <v>2</v>
      </c>
      <c r="AB27" s="146">
        <v>1</v>
      </c>
      <c r="AC27" s="453">
        <v>3</v>
      </c>
      <c r="AD27" s="453">
        <v>2</v>
      </c>
      <c r="AE27" s="453">
        <v>0</v>
      </c>
      <c r="AF27" s="453" t="b">
        <v>1</v>
      </c>
      <c r="AG27" s="453">
        <f t="shared" si="3"/>
        <v>3</v>
      </c>
      <c r="AH27" s="453">
        <f t="shared" si="4"/>
        <v>2</v>
      </c>
      <c r="AI27" s="138">
        <f>IF(NOT(OR(Z27=1,Z27=2)),IF(AQ27&gt;0,$AR$44*AQ27/SUMIF($AQ$8:$AQ$39,"&gt;0"),IF(AU27&gt;0,$AV$44*AU27/SUMIF($AU$8:$AU$39,"&gt;0"),IF(AS27&gt;0,$AT$44*AS27/SUMIF($AS$8:$AS$39,"&gt;0"),""))),IF(SUMIF(AJ28:$AJ$39,"=" &amp; AJ27,AI28:$AI$39)=0,"",SUMIF(AJ28:$AJ$39,"=" &amp; AJ27,AI28:$AI$39)))</f>
        <v>1.7021276595744681E-2</v>
      </c>
      <c r="AJ27" s="139">
        <f t="shared" si="34"/>
        <v>3</v>
      </c>
      <c r="AK27" s="453">
        <f t="shared" si="27"/>
        <v>2</v>
      </c>
      <c r="AL27" s="146" t="str">
        <f t="shared" si="28"/>
        <v/>
      </c>
      <c r="AM27" s="146" t="str">
        <f t="shared" si="35"/>
        <v/>
      </c>
      <c r="AN27" s="146" t="str">
        <f t="shared" si="5"/>
        <v/>
      </c>
      <c r="AO27" s="146" t="str">
        <f t="shared" si="6"/>
        <v/>
      </c>
      <c r="AP27" s="453" t="b">
        <f t="shared" si="7"/>
        <v>1</v>
      </c>
      <c r="AQ27" s="140">
        <f t="shared" si="29"/>
        <v>0.5</v>
      </c>
      <c r="AR27" s="141" t="str">
        <f t="shared" si="8"/>
        <v/>
      </c>
      <c r="AS27" s="142">
        <f t="shared" si="30"/>
        <v>0</v>
      </c>
      <c r="AT27" s="141" t="str">
        <f t="shared" si="9"/>
        <v/>
      </c>
      <c r="AU27" s="143">
        <f t="shared" si="10"/>
        <v>0</v>
      </c>
      <c r="AV27" s="144" t="str">
        <f t="shared" si="11"/>
        <v/>
      </c>
      <c r="AW27" s="143" t="b">
        <f t="shared" si="12"/>
        <v>0</v>
      </c>
      <c r="AX27" s="145" t="b">
        <f t="shared" si="13"/>
        <v>1</v>
      </c>
      <c r="AY27" s="143" t="b">
        <f t="shared" si="14"/>
        <v>0</v>
      </c>
      <c r="AZ27" s="145" t="b">
        <f t="shared" si="15"/>
        <v>0</v>
      </c>
      <c r="BA27" s="453" t="b">
        <f t="shared" si="16"/>
        <v>0</v>
      </c>
      <c r="BB27" s="453" t="b">
        <f t="shared" si="17"/>
        <v>0</v>
      </c>
      <c r="BC27" s="143" t="b">
        <f t="shared" si="18"/>
        <v>0</v>
      </c>
      <c r="BD27" s="146" t="b">
        <f t="shared" si="31"/>
        <v>0</v>
      </c>
      <c r="BE27" s="145" t="b">
        <f t="shared" si="37"/>
        <v>0</v>
      </c>
      <c r="BF27" s="147" t="b">
        <f t="shared" si="20"/>
        <v>0</v>
      </c>
      <c r="BG27" s="453" t="b">
        <f t="shared" si="38"/>
        <v>1</v>
      </c>
      <c r="BH27" s="453">
        <f t="shared" si="32"/>
        <v>1</v>
      </c>
      <c r="BI27" s="453">
        <f t="shared" si="22"/>
        <v>2</v>
      </c>
      <c r="BJ27" s="453" t="str">
        <f t="shared" si="23"/>
        <v>2</v>
      </c>
      <c r="BK27" s="453">
        <f t="shared" si="24"/>
        <v>3</v>
      </c>
      <c r="BL27" s="148">
        <f t="shared" si="33"/>
        <v>1</v>
      </c>
      <c r="BM27" s="453">
        <f t="shared" si="25"/>
        <v>2</v>
      </c>
      <c r="BN27" s="453">
        <f t="shared" si="26"/>
        <v>3</v>
      </c>
      <c r="BO27" s="936"/>
      <c r="BP27" s="300" t="s">
        <v>365</v>
      </c>
      <c r="BQ27" s="165">
        <f t="shared" si="36"/>
        <v>0.3</v>
      </c>
      <c r="BR27" s="166">
        <f t="shared" si="36"/>
        <v>0.6</v>
      </c>
      <c r="BS27" s="166">
        <f t="shared" si="36"/>
        <v>0.9</v>
      </c>
      <c r="BT27" s="166">
        <f t="shared" si="36"/>
        <v>0.95</v>
      </c>
      <c r="BU27" s="167">
        <f t="shared" si="36"/>
        <v>1</v>
      </c>
    </row>
    <row r="28" spans="2:73" s="94" customFormat="1" ht="12.95" customHeight="1" x14ac:dyDescent="0.2">
      <c r="B28" s="151">
        <f>IF(ISNA(Z28),"",IF(OR(Z28=1,Z28=2),"    ",MAX($B$8:B27)+1))</f>
        <v>17</v>
      </c>
      <c r="C28" s="904" t="str">
        <f t="shared" si="0"/>
        <v xml:space="preserve">      - Offset Landing (3.4%)</v>
      </c>
      <c r="D28" s="904"/>
      <c r="E28" s="904"/>
      <c r="F28" s="905"/>
      <c r="G28" s="133">
        <f t="shared" si="1"/>
        <v>1</v>
      </c>
      <c r="H28" s="134" t="str">
        <f t="shared" si="2"/>
        <v>2*</v>
      </c>
      <c r="I28" s="152">
        <f t="shared" si="2"/>
        <v>3</v>
      </c>
      <c r="J28" s="157"/>
      <c r="K28" s="154"/>
      <c r="L28" s="1015"/>
      <c r="M28" s="1016"/>
      <c r="N28" s="1016"/>
      <c r="O28" s="1016"/>
      <c r="P28" s="1016"/>
      <c r="Q28" s="1016"/>
      <c r="R28" s="1017"/>
      <c r="T28" s="99">
        <v>21</v>
      </c>
      <c r="U28" s="88" t="s">
        <v>779</v>
      </c>
      <c r="V28" s="453">
        <v>1</v>
      </c>
      <c r="W28" s="453">
        <v>1</v>
      </c>
      <c r="X28" s="453" t="s">
        <v>340</v>
      </c>
      <c r="Y28" s="453" t="s">
        <v>340</v>
      </c>
      <c r="Z28" s="146" t="s">
        <v>340</v>
      </c>
      <c r="AA28" s="146">
        <v>2</v>
      </c>
      <c r="AB28" s="146">
        <v>1</v>
      </c>
      <c r="AC28" s="453">
        <v>3</v>
      </c>
      <c r="AD28" s="453">
        <v>2</v>
      </c>
      <c r="AE28" s="453">
        <v>1</v>
      </c>
      <c r="AF28" s="453" t="b">
        <v>1</v>
      </c>
      <c r="AG28" s="453">
        <f t="shared" si="3"/>
        <v>3</v>
      </c>
      <c r="AH28" s="453">
        <f t="shared" si="4"/>
        <v>2</v>
      </c>
      <c r="AI28" s="138">
        <f>IF(NOT(OR(Z28=1,Z28=2)),IF(AQ28&gt;0,$AR$44*AQ28/SUMIF($AQ$8:$AQ$39,"&gt;0"),IF(AU28&gt;0,$AV$44*AU28/SUMIF($AU$8:$AU$39,"&gt;0"),IF(AS28&gt;0,$AT$44*AS28/SUMIF($AS$8:$AS$39,"&gt;0"),""))),IF(SUMIF(AJ29:$AJ$39,"=" &amp; AJ28,AI29:$AI$39)=0,"",SUMIF(AJ29:$AJ$39,"=" &amp; AJ28,AI29:$AI$39)))</f>
        <v>3.4042553191489362E-2</v>
      </c>
      <c r="AJ28" s="139">
        <f t="shared" si="34"/>
        <v>3</v>
      </c>
      <c r="AK28" s="453">
        <f t="shared" si="27"/>
        <v>2</v>
      </c>
      <c r="AL28" s="146" t="str">
        <f t="shared" si="28"/>
        <v/>
      </c>
      <c r="AM28" s="146" t="str">
        <f t="shared" si="35"/>
        <v/>
      </c>
      <c r="AN28" s="146" t="str">
        <f t="shared" si="5"/>
        <v/>
      </c>
      <c r="AO28" s="146" t="str">
        <f t="shared" si="6"/>
        <v/>
      </c>
      <c r="AP28" s="453" t="b">
        <f t="shared" si="7"/>
        <v>1</v>
      </c>
      <c r="AQ28" s="140">
        <f t="shared" si="29"/>
        <v>1</v>
      </c>
      <c r="AR28" s="141" t="str">
        <f t="shared" si="8"/>
        <v/>
      </c>
      <c r="AS28" s="142">
        <f t="shared" si="30"/>
        <v>0</v>
      </c>
      <c r="AT28" s="141" t="str">
        <f t="shared" si="9"/>
        <v/>
      </c>
      <c r="AU28" s="143">
        <f t="shared" si="10"/>
        <v>0</v>
      </c>
      <c r="AV28" s="144" t="str">
        <f t="shared" si="11"/>
        <v/>
      </c>
      <c r="AW28" s="143" t="b">
        <f t="shared" si="12"/>
        <v>0</v>
      </c>
      <c r="AX28" s="145" t="b">
        <f t="shared" si="13"/>
        <v>1</v>
      </c>
      <c r="AY28" s="143" t="b">
        <f t="shared" si="14"/>
        <v>0</v>
      </c>
      <c r="AZ28" s="145" t="b">
        <f t="shared" si="15"/>
        <v>0</v>
      </c>
      <c r="BA28" s="453" t="b">
        <f t="shared" si="16"/>
        <v>0</v>
      </c>
      <c r="BB28" s="453" t="b">
        <f t="shared" si="17"/>
        <v>0</v>
      </c>
      <c r="BC28" s="143" t="b">
        <f t="shared" si="18"/>
        <v>0</v>
      </c>
      <c r="BD28" s="146" t="b">
        <f t="shared" si="31"/>
        <v>0</v>
      </c>
      <c r="BE28" s="145" t="b">
        <f t="shared" si="37"/>
        <v>0</v>
      </c>
      <c r="BF28" s="147" t="b">
        <f t="shared" si="20"/>
        <v>0</v>
      </c>
      <c r="BG28" s="453" t="b">
        <f t="shared" si="38"/>
        <v>1</v>
      </c>
      <c r="BH28" s="453">
        <f t="shared" si="32"/>
        <v>1</v>
      </c>
      <c r="BI28" s="453">
        <f t="shared" si="22"/>
        <v>2</v>
      </c>
      <c r="BJ28" s="453" t="str">
        <f t="shared" si="23"/>
        <v>2*</v>
      </c>
      <c r="BK28" s="453">
        <f t="shared" si="24"/>
        <v>3</v>
      </c>
      <c r="BL28" s="148">
        <f t="shared" si="33"/>
        <v>1</v>
      </c>
      <c r="BM28" s="453">
        <f t="shared" si="25"/>
        <v>2</v>
      </c>
      <c r="BN28" s="453">
        <f t="shared" si="26"/>
        <v>3</v>
      </c>
      <c r="BO28" s="936"/>
      <c r="BP28" s="300" t="s">
        <v>366</v>
      </c>
      <c r="BQ28" s="165">
        <f t="shared" si="36"/>
        <v>0.3</v>
      </c>
      <c r="BR28" s="166">
        <f t="shared" si="36"/>
        <v>0.6</v>
      </c>
      <c r="BS28" s="166">
        <f t="shared" si="36"/>
        <v>0.7</v>
      </c>
      <c r="BT28" s="166">
        <f t="shared" si="36"/>
        <v>0.9</v>
      </c>
      <c r="BU28" s="167">
        <f t="shared" si="36"/>
        <v>1</v>
      </c>
    </row>
    <row r="29" spans="2:73" s="94" customFormat="1" ht="12.95" customHeight="1" x14ac:dyDescent="0.2">
      <c r="B29" s="151" t="str">
        <f>IF(ISNA(Z29),"",IF(OR(Z29=1,Z29=2),"    ",MAX($B$8:B28)+1))</f>
        <v xml:space="preserve">    </v>
      </c>
      <c r="C29" s="904" t="str">
        <f t="shared" si="0"/>
        <v>FTT Qualification (27.2%)</v>
      </c>
      <c r="D29" s="904"/>
      <c r="E29" s="904"/>
      <c r="F29" s="905"/>
      <c r="G29" s="133" t="str">
        <f t="shared" si="1"/>
        <v/>
      </c>
      <c r="H29" s="134" t="str">
        <f t="shared" si="2"/>
        <v/>
      </c>
      <c r="I29" s="152" t="str">
        <f t="shared" si="2"/>
        <v/>
      </c>
      <c r="J29" s="158"/>
      <c r="K29" s="159"/>
      <c r="L29" s="1015"/>
      <c r="M29" s="1016"/>
      <c r="N29" s="1016"/>
      <c r="O29" s="1016"/>
      <c r="P29" s="1016"/>
      <c r="Q29" s="1016"/>
      <c r="R29" s="1017"/>
      <c r="T29" s="99">
        <v>22</v>
      </c>
      <c r="U29" s="88" t="s">
        <v>780</v>
      </c>
      <c r="V29" s="453" t="s">
        <v>340</v>
      </c>
      <c r="W29" s="453" t="s">
        <v>340</v>
      </c>
      <c r="X29" s="453" t="s">
        <v>340</v>
      </c>
      <c r="Y29" s="453" t="s">
        <v>340</v>
      </c>
      <c r="Z29" s="146">
        <v>2</v>
      </c>
      <c r="AA29" s="146">
        <v>1</v>
      </c>
      <c r="AB29" s="146">
        <v>1</v>
      </c>
      <c r="AC29" s="453" t="s">
        <v>340</v>
      </c>
      <c r="AD29" s="453" t="s">
        <v>340</v>
      </c>
      <c r="AE29" s="453" t="s">
        <v>340</v>
      </c>
      <c r="AF29" s="453" t="s">
        <v>340</v>
      </c>
      <c r="AG29" s="453" t="str">
        <f t="shared" si="3"/>
        <v/>
      </c>
      <c r="AH29" s="453" t="str">
        <f t="shared" si="4"/>
        <v/>
      </c>
      <c r="AI29" s="138">
        <f>IF(NOT(OR(Z29=1,Z29=2)),IF(AQ29&gt;0,$AR$44*AQ29/SUMIF($AQ$8:$AQ$39,"&gt;0"),IF(AU29&gt;0,$AV$44*AU29/SUMIF($AU$8:$AU$39,"&gt;0"),IF(AS29&gt;0,$AT$44*AS29/SUMIF($AS$8:$AS$39,"&gt;0"),""))),IF(SUMIF(AJ30:$AJ$39,"=" &amp; AJ29,AI30:$AI$39)=0,"",SUMIF(AJ30:$AJ$39,"=" &amp; AJ29,AI30:$AI$39)))</f>
        <v>0.2723404255319149</v>
      </c>
      <c r="AJ29" s="139">
        <f t="shared" si="34"/>
        <v>4</v>
      </c>
      <c r="AK29" s="453" t="str">
        <f t="shared" si="27"/>
        <v/>
      </c>
      <c r="AL29" s="146" t="str">
        <f t="shared" si="28"/>
        <v/>
      </c>
      <c r="AM29" s="146" t="str">
        <f t="shared" si="35"/>
        <v/>
      </c>
      <c r="AN29" s="146" t="str">
        <f t="shared" si="5"/>
        <v/>
      </c>
      <c r="AO29" s="146" t="str">
        <f t="shared" si="6"/>
        <v/>
      </c>
      <c r="AP29" s="453" t="str">
        <f t="shared" si="7"/>
        <v/>
      </c>
      <c r="AQ29" s="140">
        <f t="shared" si="29"/>
        <v>0</v>
      </c>
      <c r="AR29" s="141" t="str">
        <f t="shared" si="8"/>
        <v/>
      </c>
      <c r="AS29" s="142">
        <f t="shared" si="30"/>
        <v>0</v>
      </c>
      <c r="AT29" s="141" t="str">
        <f t="shared" si="9"/>
        <v/>
      </c>
      <c r="AU29" s="143">
        <f t="shared" si="10"/>
        <v>0</v>
      </c>
      <c r="AV29" s="144" t="str">
        <f t="shared" si="11"/>
        <v/>
      </c>
      <c r="AW29" s="143" t="b">
        <f t="shared" si="12"/>
        <v>0</v>
      </c>
      <c r="AX29" s="145" t="b">
        <f t="shared" si="13"/>
        <v>0</v>
      </c>
      <c r="AY29" s="143" t="b">
        <f t="shared" si="14"/>
        <v>0</v>
      </c>
      <c r="AZ29" s="145" t="b">
        <f t="shared" si="15"/>
        <v>0</v>
      </c>
      <c r="BA29" s="453" t="b">
        <f t="shared" si="16"/>
        <v>0</v>
      </c>
      <c r="BB29" s="453" t="b">
        <f t="shared" si="17"/>
        <v>0</v>
      </c>
      <c r="BC29" s="143" t="b">
        <f t="shared" si="18"/>
        <v>0</v>
      </c>
      <c r="BD29" s="146" t="b">
        <f t="shared" si="31"/>
        <v>0</v>
      </c>
      <c r="BE29" s="145" t="b">
        <f t="shared" si="37"/>
        <v>0</v>
      </c>
      <c r="BF29" s="147" t="b">
        <f t="shared" si="20"/>
        <v>0</v>
      </c>
      <c r="BG29" s="453" t="b">
        <f t="shared" si="38"/>
        <v>0</v>
      </c>
      <c r="BH29" s="453" t="str">
        <f t="shared" si="32"/>
        <v/>
      </c>
      <c r="BI29" s="453" t="str">
        <f t="shared" si="22"/>
        <v/>
      </c>
      <c r="BJ29" s="453" t="str">
        <f t="shared" si="23"/>
        <v/>
      </c>
      <c r="BK29" s="453" t="str">
        <f t="shared" si="24"/>
        <v/>
      </c>
      <c r="BL29" s="148" t="str">
        <f t="shared" si="33"/>
        <v/>
      </c>
      <c r="BM29" s="453" t="str">
        <f t="shared" si="25"/>
        <v/>
      </c>
      <c r="BN29" s="453" t="str">
        <f t="shared" si="26"/>
        <v/>
      </c>
      <c r="BO29" s="936"/>
      <c r="BP29" s="300" t="s">
        <v>367</v>
      </c>
      <c r="BQ29" s="168">
        <f t="shared" si="36"/>
        <v>0</v>
      </c>
      <c r="BR29" s="169">
        <f t="shared" si="36"/>
        <v>0.3</v>
      </c>
      <c r="BS29" s="169">
        <f t="shared" si="36"/>
        <v>0.6</v>
      </c>
      <c r="BT29" s="169">
        <f t="shared" si="36"/>
        <v>0.9</v>
      </c>
      <c r="BU29" s="170">
        <f t="shared" si="36"/>
        <v>1</v>
      </c>
    </row>
    <row r="30" spans="2:73" s="94" customFormat="1" ht="12.95" customHeight="1" x14ac:dyDescent="0.2">
      <c r="B30" s="151">
        <f>IF(ISNA(Z30),"",IF(OR(Z30=1,Z30=2),"    ",MAX($B$8:B29)+1))</f>
        <v>18</v>
      </c>
      <c r="C30" s="904" t="str">
        <f t="shared" si="0"/>
        <v xml:space="preserve">      - Open Loop FTTs (6.8%)</v>
      </c>
      <c r="D30" s="904"/>
      <c r="E30" s="904"/>
      <c r="F30" s="905"/>
      <c r="G30" s="133">
        <f t="shared" si="1"/>
        <v>1</v>
      </c>
      <c r="H30" s="134" t="str">
        <f t="shared" si="2"/>
        <v>2*</v>
      </c>
      <c r="I30" s="152">
        <f t="shared" si="2"/>
        <v>3</v>
      </c>
      <c r="J30" s="157"/>
      <c r="K30" s="154"/>
      <c r="L30" s="1015"/>
      <c r="M30" s="1016"/>
      <c r="N30" s="1016"/>
      <c r="O30" s="1016"/>
      <c r="P30" s="1016"/>
      <c r="Q30" s="1016"/>
      <c r="R30" s="1017"/>
      <c r="T30" s="99">
        <v>23</v>
      </c>
      <c r="U30" s="88" t="s">
        <v>558</v>
      </c>
      <c r="V30" s="453">
        <v>1</v>
      </c>
      <c r="W30" s="453">
        <v>2</v>
      </c>
      <c r="X30" s="453" t="s">
        <v>340</v>
      </c>
      <c r="Y30" s="453" t="s">
        <v>340</v>
      </c>
      <c r="Z30" s="146" t="s">
        <v>340</v>
      </c>
      <c r="AA30" s="146">
        <v>2</v>
      </c>
      <c r="AB30" s="146">
        <v>1</v>
      </c>
      <c r="AC30" s="453">
        <v>3</v>
      </c>
      <c r="AD30" s="453">
        <v>2</v>
      </c>
      <c r="AE30" s="453">
        <v>1</v>
      </c>
      <c r="AF30" s="453" t="b">
        <v>1</v>
      </c>
      <c r="AG30" s="453">
        <f t="shared" si="3"/>
        <v>3</v>
      </c>
      <c r="AH30" s="453">
        <f t="shared" si="4"/>
        <v>2</v>
      </c>
      <c r="AI30" s="138">
        <f>IF(NOT(OR(Z30=1,Z30=2)),IF(AQ30&gt;0,$AR$44*AQ30/SUMIF($AQ$8:$AQ$39,"&gt;0"),IF(AU30&gt;0,$AV$44*AU30/SUMIF($AU$8:$AU$39,"&gt;0"),IF(AS30&gt;0,$AT$44*AS30/SUMIF($AS$8:$AS$39,"&gt;0"),""))),IF(SUMIF(AJ31:$AJ$39,"=" &amp; AJ30,AI31:$AI$39)=0,"",SUMIF(AJ31:$AJ$39,"=" &amp; AJ30,AI31:$AI$39)))</f>
        <v>6.8085106382978725E-2</v>
      </c>
      <c r="AJ30" s="139">
        <f t="shared" si="34"/>
        <v>4</v>
      </c>
      <c r="AK30" s="453">
        <f t="shared" si="27"/>
        <v>2</v>
      </c>
      <c r="AL30" s="146" t="str">
        <f t="shared" si="28"/>
        <v/>
      </c>
      <c r="AM30" s="146" t="str">
        <f t="shared" si="35"/>
        <v/>
      </c>
      <c r="AN30" s="146" t="str">
        <f t="shared" si="5"/>
        <v/>
      </c>
      <c r="AO30" s="146" t="str">
        <f t="shared" si="6"/>
        <v/>
      </c>
      <c r="AP30" s="453" t="b">
        <f t="shared" si="7"/>
        <v>1</v>
      </c>
      <c r="AQ30" s="140">
        <f t="shared" si="29"/>
        <v>2</v>
      </c>
      <c r="AR30" s="141" t="str">
        <f t="shared" si="8"/>
        <v/>
      </c>
      <c r="AS30" s="142">
        <f t="shared" si="30"/>
        <v>0</v>
      </c>
      <c r="AT30" s="141" t="str">
        <f t="shared" si="9"/>
        <v/>
      </c>
      <c r="AU30" s="143">
        <f t="shared" si="10"/>
        <v>0</v>
      </c>
      <c r="AV30" s="144" t="str">
        <f t="shared" si="11"/>
        <v/>
      </c>
      <c r="AW30" s="143" t="b">
        <f t="shared" si="12"/>
        <v>0</v>
      </c>
      <c r="AX30" s="145" t="b">
        <f t="shared" si="13"/>
        <v>1</v>
      </c>
      <c r="AY30" s="143" t="b">
        <f t="shared" si="14"/>
        <v>0</v>
      </c>
      <c r="AZ30" s="145" t="b">
        <f t="shared" si="15"/>
        <v>0</v>
      </c>
      <c r="BA30" s="453" t="b">
        <f t="shared" si="16"/>
        <v>0</v>
      </c>
      <c r="BB30" s="453" t="b">
        <f t="shared" si="17"/>
        <v>0</v>
      </c>
      <c r="BC30" s="143" t="b">
        <f t="shared" si="18"/>
        <v>0</v>
      </c>
      <c r="BD30" s="146" t="b">
        <f t="shared" si="31"/>
        <v>0</v>
      </c>
      <c r="BE30" s="145" t="b">
        <f t="shared" si="37"/>
        <v>0</v>
      </c>
      <c r="BF30" s="147" t="b">
        <f t="shared" si="20"/>
        <v>0</v>
      </c>
      <c r="BG30" s="453" t="b">
        <f t="shared" si="38"/>
        <v>1</v>
      </c>
      <c r="BH30" s="453">
        <f t="shared" si="32"/>
        <v>1</v>
      </c>
      <c r="BI30" s="453">
        <f t="shared" si="22"/>
        <v>2</v>
      </c>
      <c r="BJ30" s="453" t="str">
        <f t="shared" si="23"/>
        <v>2*</v>
      </c>
      <c r="BK30" s="453">
        <f t="shared" si="24"/>
        <v>3</v>
      </c>
      <c r="BL30" s="148">
        <f t="shared" si="33"/>
        <v>1</v>
      </c>
      <c r="BM30" s="453">
        <f t="shared" si="25"/>
        <v>2</v>
      </c>
      <c r="BN30" s="453">
        <f t="shared" si="26"/>
        <v>3</v>
      </c>
      <c r="BO30" s="90"/>
    </row>
    <row r="31" spans="2:73" s="94" customFormat="1" ht="12.95" customHeight="1" x14ac:dyDescent="0.2">
      <c r="B31" s="151">
        <f>IF(ISNA(Z31),"",IF(OR(Z31=1,Z31=2),"    ",MAX($B$8:B30)+1))</f>
        <v>19</v>
      </c>
      <c r="C31" s="904" t="str">
        <f t="shared" si="0"/>
        <v xml:space="preserve">      - Workload Buildup (6.8%)</v>
      </c>
      <c r="D31" s="904"/>
      <c r="E31" s="904"/>
      <c r="F31" s="905"/>
      <c r="G31" s="133">
        <f t="shared" si="1"/>
        <v>1</v>
      </c>
      <c r="H31" s="134" t="str">
        <f t="shared" si="2"/>
        <v>2*</v>
      </c>
      <c r="I31" s="152">
        <f t="shared" si="2"/>
        <v>3</v>
      </c>
      <c r="J31" s="157"/>
      <c r="K31" s="154"/>
      <c r="L31" s="1015"/>
      <c r="M31" s="1016"/>
      <c r="N31" s="1016"/>
      <c r="O31" s="1016"/>
      <c r="P31" s="1016"/>
      <c r="Q31" s="1016"/>
      <c r="R31" s="1017"/>
      <c r="T31" s="99">
        <v>24</v>
      </c>
      <c r="U31" s="88" t="s">
        <v>559</v>
      </c>
      <c r="V31" s="453">
        <v>1</v>
      </c>
      <c r="W31" s="453">
        <v>2</v>
      </c>
      <c r="X31" s="453" t="s">
        <v>340</v>
      </c>
      <c r="Y31" s="453" t="s">
        <v>340</v>
      </c>
      <c r="Z31" s="146" t="s">
        <v>340</v>
      </c>
      <c r="AA31" s="146">
        <v>2</v>
      </c>
      <c r="AB31" s="146">
        <v>1</v>
      </c>
      <c r="AC31" s="453">
        <v>3</v>
      </c>
      <c r="AD31" s="453">
        <v>2</v>
      </c>
      <c r="AE31" s="453">
        <v>1</v>
      </c>
      <c r="AF31" s="453" t="b">
        <v>1</v>
      </c>
      <c r="AG31" s="453">
        <f t="shared" si="3"/>
        <v>3</v>
      </c>
      <c r="AH31" s="453">
        <f t="shared" si="4"/>
        <v>2</v>
      </c>
      <c r="AI31" s="138">
        <f>IF(NOT(OR(Z31=1,Z31=2)),IF(AQ31&gt;0,$AR$44*AQ31/SUMIF($AQ$8:$AQ$39,"&gt;0"),IF(AU31&gt;0,$AV$44*AU31/SUMIF($AU$8:$AU$39,"&gt;0"),IF(AS31&gt;0,$AT$44*AS31/SUMIF($AS$8:$AS$39,"&gt;0"),""))),IF(SUMIF(AJ32:$AJ$39,"=" &amp; AJ31,AI32:$AI$39)=0,"",SUMIF(AJ32:$AJ$39,"=" &amp; AJ31,AI32:$AI$39)))</f>
        <v>6.8085106382978725E-2</v>
      </c>
      <c r="AJ31" s="139">
        <f t="shared" si="34"/>
        <v>4</v>
      </c>
      <c r="AK31" s="453">
        <f t="shared" si="27"/>
        <v>2</v>
      </c>
      <c r="AL31" s="146" t="str">
        <f t="shared" si="28"/>
        <v/>
      </c>
      <c r="AM31" s="146" t="str">
        <f t="shared" si="35"/>
        <v/>
      </c>
      <c r="AN31" s="146" t="str">
        <f t="shared" si="5"/>
        <v/>
      </c>
      <c r="AO31" s="146" t="str">
        <f t="shared" si="6"/>
        <v/>
      </c>
      <c r="AP31" s="453" t="b">
        <f t="shared" si="7"/>
        <v>1</v>
      </c>
      <c r="AQ31" s="140">
        <f t="shared" si="29"/>
        <v>2</v>
      </c>
      <c r="AR31" s="141" t="str">
        <f t="shared" si="8"/>
        <v/>
      </c>
      <c r="AS31" s="142">
        <f t="shared" si="30"/>
        <v>0</v>
      </c>
      <c r="AT31" s="141" t="str">
        <f t="shared" si="9"/>
        <v/>
      </c>
      <c r="AU31" s="143">
        <f t="shared" si="10"/>
        <v>0</v>
      </c>
      <c r="AV31" s="144" t="str">
        <f t="shared" si="11"/>
        <v/>
      </c>
      <c r="AW31" s="143" t="b">
        <f t="shared" si="12"/>
        <v>0</v>
      </c>
      <c r="AX31" s="145" t="b">
        <f t="shared" si="13"/>
        <v>1</v>
      </c>
      <c r="AY31" s="143" t="b">
        <f t="shared" si="14"/>
        <v>0</v>
      </c>
      <c r="AZ31" s="145" t="b">
        <f t="shared" si="15"/>
        <v>0</v>
      </c>
      <c r="BA31" s="453" t="b">
        <f t="shared" si="16"/>
        <v>0</v>
      </c>
      <c r="BB31" s="453" t="b">
        <f t="shared" si="17"/>
        <v>0</v>
      </c>
      <c r="BC31" s="143" t="b">
        <f t="shared" si="18"/>
        <v>0</v>
      </c>
      <c r="BD31" s="146" t="b">
        <f>IF(OR(ISNA($Z31),ISNUMBER($Z31),NOT(ISNUMBER(K31))),FALSE,OR(NOT(ISNUMBER(J31)),J31=0,AND(J31=0,K31&lt;&gt;0)))</f>
        <v>0</v>
      </c>
      <c r="BE31" s="145" t="b">
        <f t="shared" si="37"/>
        <v>0</v>
      </c>
      <c r="BF31" s="147" t="b">
        <f>IF(OR(ISNA($Z31),H31&lt;&gt;"NG"),FALSE,IF(AND(J31="NA",K31&lt;&gt;""),TRUE,FALSE))</f>
        <v>0</v>
      </c>
      <c r="BG31" s="453" t="b">
        <f t="shared" si="38"/>
        <v>1</v>
      </c>
      <c r="BH31" s="453">
        <f t="shared" si="32"/>
        <v>1</v>
      </c>
      <c r="BI31" s="453">
        <f t="shared" si="22"/>
        <v>2</v>
      </c>
      <c r="BJ31" s="453" t="str">
        <f t="shared" si="23"/>
        <v>2*</v>
      </c>
      <c r="BK31" s="453">
        <f t="shared" si="24"/>
        <v>3</v>
      </c>
      <c r="BL31" s="148">
        <f t="shared" si="33"/>
        <v>1</v>
      </c>
      <c r="BM31" s="453">
        <f t="shared" si="25"/>
        <v>2</v>
      </c>
      <c r="BN31" s="453">
        <f t="shared" si="26"/>
        <v>3</v>
      </c>
      <c r="BO31" s="155" t="s">
        <v>368</v>
      </c>
      <c r="BP31" s="161" t="s">
        <v>369</v>
      </c>
    </row>
    <row r="32" spans="2:73" s="94" customFormat="1" ht="12.95" customHeight="1" x14ac:dyDescent="0.2">
      <c r="B32" s="151">
        <f>IF(ISNA(Z32),"",IF(OR(Z32=1,Z32=2),"    ",MAX($B$8:B31)+1))</f>
        <v>20</v>
      </c>
      <c r="C32" s="904" t="str">
        <f t="shared" si="0"/>
        <v xml:space="preserve">      - Displacement SISPIO (3.4%)</v>
      </c>
      <c r="D32" s="904"/>
      <c r="E32" s="904"/>
      <c r="F32" s="905"/>
      <c r="G32" s="133">
        <f t="shared" si="1"/>
        <v>1</v>
      </c>
      <c r="H32" s="134" t="str">
        <f t="shared" si="2"/>
        <v>2*</v>
      </c>
      <c r="I32" s="152">
        <f t="shared" si="2"/>
        <v>3</v>
      </c>
      <c r="J32" s="157"/>
      <c r="K32" s="154"/>
      <c r="L32" s="1015"/>
      <c r="M32" s="1016"/>
      <c r="N32" s="1016"/>
      <c r="O32" s="1016"/>
      <c r="P32" s="1016"/>
      <c r="Q32" s="1016"/>
      <c r="R32" s="1017"/>
      <c r="T32" s="99">
        <v>25</v>
      </c>
      <c r="U32" s="88" t="s">
        <v>560</v>
      </c>
      <c r="V32" s="453">
        <v>1</v>
      </c>
      <c r="W32" s="453">
        <v>1</v>
      </c>
      <c r="X32" s="453" t="s">
        <v>340</v>
      </c>
      <c r="Y32" s="453" t="s">
        <v>340</v>
      </c>
      <c r="Z32" s="146" t="s">
        <v>340</v>
      </c>
      <c r="AA32" s="146">
        <v>2</v>
      </c>
      <c r="AB32" s="146">
        <v>1</v>
      </c>
      <c r="AC32" s="453">
        <v>3</v>
      </c>
      <c r="AD32" s="453">
        <v>2</v>
      </c>
      <c r="AE32" s="453">
        <v>1</v>
      </c>
      <c r="AF32" s="453" t="b">
        <v>1</v>
      </c>
      <c r="AG32" s="453">
        <f t="shared" si="3"/>
        <v>3</v>
      </c>
      <c r="AH32" s="453">
        <f t="shared" si="4"/>
        <v>2</v>
      </c>
      <c r="AI32" s="138">
        <f>IF(NOT(OR(Z32=1,Z32=2)),IF(AQ32&gt;0,$AR$44*AQ32/SUMIF($AQ$8:$AQ$39,"&gt;0"),IF(AU32&gt;0,$AV$44*AU32/SUMIF($AU$8:$AU$39,"&gt;0"),IF(AS32&gt;0,$AT$44*AS32/SUMIF($AS$8:$AS$39,"&gt;0"),""))),IF(SUMIF(AJ33:$AJ$39,"=" &amp; AJ32,AI33:$AI$39)=0,"",SUMIF(AJ33:$AJ$39,"=" &amp; AJ32,AI33:$AI$39)))</f>
        <v>3.4042553191489362E-2</v>
      </c>
      <c r="AJ32" s="139">
        <f t="shared" si="34"/>
        <v>4</v>
      </c>
      <c r="AK32" s="453">
        <f t="shared" si="27"/>
        <v>2</v>
      </c>
      <c r="AL32" s="146" t="str">
        <f t="shared" si="28"/>
        <v/>
      </c>
      <c r="AM32" s="146" t="str">
        <f t="shared" si="35"/>
        <v/>
      </c>
      <c r="AN32" s="146" t="str">
        <f t="shared" si="5"/>
        <v/>
      </c>
      <c r="AO32" s="146" t="str">
        <f t="shared" si="6"/>
        <v/>
      </c>
      <c r="AP32" s="453" t="b">
        <f t="shared" si="7"/>
        <v>1</v>
      </c>
      <c r="AQ32" s="140">
        <f t="shared" si="29"/>
        <v>1</v>
      </c>
      <c r="AR32" s="141" t="str">
        <f t="shared" si="8"/>
        <v/>
      </c>
      <c r="AS32" s="142">
        <f t="shared" si="30"/>
        <v>0</v>
      </c>
      <c r="AT32" s="141" t="str">
        <f t="shared" si="9"/>
        <v/>
      </c>
      <c r="AU32" s="143">
        <f t="shared" si="10"/>
        <v>0</v>
      </c>
      <c r="AV32" s="144" t="str">
        <f t="shared" si="11"/>
        <v/>
      </c>
      <c r="AW32" s="143" t="b">
        <f t="shared" si="12"/>
        <v>0</v>
      </c>
      <c r="AX32" s="145" t="b">
        <f t="shared" si="13"/>
        <v>1</v>
      </c>
      <c r="AY32" s="143" t="b">
        <f t="shared" si="14"/>
        <v>0</v>
      </c>
      <c r="AZ32" s="145" t="b">
        <f t="shared" si="15"/>
        <v>0</v>
      </c>
      <c r="BA32" s="453" t="b">
        <f t="shared" si="16"/>
        <v>0</v>
      </c>
      <c r="BB32" s="453" t="b">
        <f t="shared" si="17"/>
        <v>0</v>
      </c>
      <c r="BC32" s="143" t="b">
        <f t="shared" si="18"/>
        <v>0</v>
      </c>
      <c r="BD32" s="146" t="b">
        <f t="shared" si="31"/>
        <v>0</v>
      </c>
      <c r="BE32" s="145" t="b">
        <f t="shared" si="37"/>
        <v>0</v>
      </c>
      <c r="BF32" s="147" t="b">
        <f t="shared" ref="BF32:BF39" si="39">IF(OR(ISNA($Z32),H32&lt;&gt;"NG"),FALSE,IF(AND(J32="NA",K32&lt;&gt;""),TRUE,FALSE))</f>
        <v>0</v>
      </c>
      <c r="BG32" s="453" t="b">
        <f t="shared" si="38"/>
        <v>1</v>
      </c>
      <c r="BH32" s="453">
        <f t="shared" si="32"/>
        <v>1</v>
      </c>
      <c r="BI32" s="453">
        <f t="shared" si="22"/>
        <v>2</v>
      </c>
      <c r="BJ32" s="453" t="str">
        <f t="shared" si="23"/>
        <v>2*</v>
      </c>
      <c r="BK32" s="453">
        <f t="shared" si="24"/>
        <v>3</v>
      </c>
      <c r="BL32" s="148">
        <f t="shared" si="33"/>
        <v>1</v>
      </c>
      <c r="BM32" s="453">
        <f t="shared" si="25"/>
        <v>2</v>
      </c>
      <c r="BN32" s="453">
        <f t="shared" si="26"/>
        <v>3</v>
      </c>
      <c r="BO32" s="155" t="s">
        <v>370</v>
      </c>
      <c r="BP32" s="161" t="s">
        <v>371</v>
      </c>
    </row>
    <row r="33" spans="2:73" s="94" customFormat="1" ht="12.95" customHeight="1" x14ac:dyDescent="0.2">
      <c r="B33" s="151">
        <f>IF(ISNA(Z33),"",IF(OR(Z33=1,Z33=2),"    ",MAX($B$8:B32)+1))</f>
        <v>21</v>
      </c>
      <c r="C33" s="904" t="str">
        <f t="shared" si="0"/>
        <v xml:space="preserve">      - Rate SISPIO (3.4%)</v>
      </c>
      <c r="D33" s="904"/>
      <c r="E33" s="904"/>
      <c r="F33" s="905"/>
      <c r="G33" s="133">
        <f t="shared" si="1"/>
        <v>1</v>
      </c>
      <c r="H33" s="134" t="str">
        <f t="shared" si="2"/>
        <v>1</v>
      </c>
      <c r="I33" s="152">
        <f t="shared" si="2"/>
        <v>3</v>
      </c>
      <c r="J33" s="157"/>
      <c r="K33" s="154"/>
      <c r="L33" s="1015"/>
      <c r="M33" s="1016"/>
      <c r="N33" s="1016"/>
      <c r="O33" s="1016"/>
      <c r="P33" s="1016"/>
      <c r="Q33" s="1016"/>
      <c r="R33" s="1017"/>
      <c r="T33" s="99">
        <v>26</v>
      </c>
      <c r="U33" s="88" t="s">
        <v>561</v>
      </c>
      <c r="V33" s="453">
        <v>1</v>
      </c>
      <c r="W33" s="453">
        <v>1</v>
      </c>
      <c r="X33" s="453" t="s">
        <v>340</v>
      </c>
      <c r="Y33" s="453" t="s">
        <v>340</v>
      </c>
      <c r="Z33" s="146" t="s">
        <v>340</v>
      </c>
      <c r="AA33" s="146">
        <v>2</v>
      </c>
      <c r="AB33" s="146">
        <v>1</v>
      </c>
      <c r="AC33" s="453">
        <v>3</v>
      </c>
      <c r="AD33" s="453">
        <v>1</v>
      </c>
      <c r="AE33" s="453">
        <v>0</v>
      </c>
      <c r="AF33" s="453" t="b">
        <v>1</v>
      </c>
      <c r="AG33" s="453">
        <f t="shared" si="3"/>
        <v>3</v>
      </c>
      <c r="AH33" s="453">
        <f t="shared" si="4"/>
        <v>2</v>
      </c>
      <c r="AI33" s="138">
        <f>IF(NOT(OR(Z33=1,Z33=2)),IF(AQ33&gt;0,$AR$44*AQ33/SUMIF($AQ$8:$AQ$39,"&gt;0"),IF(AU33&gt;0,$AV$44*AU33/SUMIF($AU$8:$AU$39,"&gt;0"),IF(AS33&gt;0,$AT$44*AS33/SUMIF($AS$8:$AS$39,"&gt;0"),""))),IF(SUMIF(AJ34:$AJ$39,"=" &amp; AJ33,AI34:$AI$39)=0,"",SUMIF(AJ34:$AJ$39,"=" &amp; AJ33,AI34:$AI$39)))</f>
        <v>3.4042553191489362E-2</v>
      </c>
      <c r="AJ33" s="139">
        <f t="shared" si="34"/>
        <v>4</v>
      </c>
      <c r="AK33" s="453">
        <f t="shared" si="27"/>
        <v>1</v>
      </c>
      <c r="AL33" s="146" t="str">
        <f t="shared" si="28"/>
        <v/>
      </c>
      <c r="AM33" s="146" t="str">
        <f t="shared" si="35"/>
        <v/>
      </c>
      <c r="AN33" s="146" t="str">
        <f t="shared" si="5"/>
        <v/>
      </c>
      <c r="AO33" s="146" t="str">
        <f t="shared" si="6"/>
        <v/>
      </c>
      <c r="AP33" s="453" t="b">
        <f t="shared" si="7"/>
        <v>1</v>
      </c>
      <c r="AQ33" s="140">
        <f t="shared" si="29"/>
        <v>1</v>
      </c>
      <c r="AR33" s="141" t="str">
        <f t="shared" si="8"/>
        <v/>
      </c>
      <c r="AS33" s="142">
        <f t="shared" si="30"/>
        <v>0</v>
      </c>
      <c r="AT33" s="141" t="str">
        <f t="shared" si="9"/>
        <v/>
      </c>
      <c r="AU33" s="143">
        <f t="shared" si="10"/>
        <v>0</v>
      </c>
      <c r="AV33" s="144" t="str">
        <f t="shared" si="11"/>
        <v/>
      </c>
      <c r="AW33" s="143" t="b">
        <f t="shared" si="12"/>
        <v>0</v>
      </c>
      <c r="AX33" s="145" t="b">
        <f t="shared" si="13"/>
        <v>1</v>
      </c>
      <c r="AY33" s="143" t="b">
        <f t="shared" si="14"/>
        <v>0</v>
      </c>
      <c r="AZ33" s="145" t="b">
        <f t="shared" si="15"/>
        <v>0</v>
      </c>
      <c r="BA33" s="453" t="b">
        <f t="shared" si="16"/>
        <v>0</v>
      </c>
      <c r="BB33" s="453" t="b">
        <f t="shared" si="17"/>
        <v>0</v>
      </c>
      <c r="BC33" s="143" t="b">
        <f t="shared" si="18"/>
        <v>0</v>
      </c>
      <c r="BD33" s="146" t="b">
        <f t="shared" si="31"/>
        <v>0</v>
      </c>
      <c r="BE33" s="145" t="b">
        <f t="shared" si="37"/>
        <v>0</v>
      </c>
      <c r="BF33" s="147" t="b">
        <f t="shared" si="39"/>
        <v>0</v>
      </c>
      <c r="BG33" s="453" t="b">
        <f t="shared" si="38"/>
        <v>1</v>
      </c>
      <c r="BH33" s="453">
        <f t="shared" si="32"/>
        <v>1</v>
      </c>
      <c r="BI33" s="453">
        <f t="shared" si="22"/>
        <v>1</v>
      </c>
      <c r="BJ33" s="453" t="str">
        <f t="shared" si="23"/>
        <v>1</v>
      </c>
      <c r="BK33" s="453">
        <f t="shared" si="24"/>
        <v>3</v>
      </c>
      <c r="BL33" s="148">
        <f t="shared" si="33"/>
        <v>1</v>
      </c>
      <c r="BM33" s="453">
        <f t="shared" si="25"/>
        <v>1</v>
      </c>
      <c r="BN33" s="453">
        <f t="shared" si="26"/>
        <v>3</v>
      </c>
      <c r="BO33" s="150" t="s">
        <v>372</v>
      </c>
      <c r="BP33" s="161"/>
      <c r="BQ33" s="161"/>
      <c r="BR33" s="161"/>
      <c r="BS33" s="161"/>
      <c r="BT33" s="161"/>
      <c r="BU33" s="161"/>
    </row>
    <row r="34" spans="2:73" s="94" customFormat="1" ht="12.95" customHeight="1" x14ac:dyDescent="0.2">
      <c r="B34" s="151">
        <f>IF(ISNA(Z34),"",IF(OR(Z34=1,Z34=2),"    ",MAX($B$8:B33)+1))</f>
        <v>22</v>
      </c>
      <c r="C34" s="904" t="str">
        <f t="shared" si="0"/>
        <v xml:space="preserve">      - CHR FTTs (3.4%)</v>
      </c>
      <c r="D34" s="904"/>
      <c r="E34" s="904"/>
      <c r="F34" s="905"/>
      <c r="G34" s="133">
        <f t="shared" si="1"/>
        <v>1</v>
      </c>
      <c r="H34" s="134" t="str">
        <f t="shared" si="2"/>
        <v>2*</v>
      </c>
      <c r="I34" s="152">
        <f t="shared" si="2"/>
        <v>3</v>
      </c>
      <c r="J34" s="157"/>
      <c r="K34" s="154"/>
      <c r="L34" s="1015"/>
      <c r="M34" s="1016"/>
      <c r="N34" s="1016"/>
      <c r="O34" s="1016"/>
      <c r="P34" s="1016"/>
      <c r="Q34" s="1016"/>
      <c r="R34" s="1017"/>
      <c r="T34" s="99">
        <v>27</v>
      </c>
      <c r="U34" s="88" t="s">
        <v>562</v>
      </c>
      <c r="V34" s="453">
        <v>1</v>
      </c>
      <c r="W34" s="453">
        <v>1</v>
      </c>
      <c r="X34" s="453" t="s">
        <v>340</v>
      </c>
      <c r="Y34" s="453" t="s">
        <v>340</v>
      </c>
      <c r="Z34" s="146" t="s">
        <v>340</v>
      </c>
      <c r="AA34" s="146">
        <v>2</v>
      </c>
      <c r="AB34" s="146">
        <v>1</v>
      </c>
      <c r="AC34" s="453">
        <v>3</v>
      </c>
      <c r="AD34" s="453">
        <v>2</v>
      </c>
      <c r="AE34" s="453">
        <v>1</v>
      </c>
      <c r="AF34" s="453" t="b">
        <v>1</v>
      </c>
      <c r="AG34" s="453">
        <f t="shared" si="3"/>
        <v>3</v>
      </c>
      <c r="AH34" s="453">
        <f t="shared" si="4"/>
        <v>2</v>
      </c>
      <c r="AI34" s="138">
        <f>IF(NOT(OR(Z34=1,Z34=2)),IF(AQ34&gt;0,$AR$44*AQ34/SUMIF($AQ$8:$AQ$39,"&gt;0"),IF(AU34&gt;0,$AV$44*AU34/SUMIF($AU$8:$AU$39,"&gt;0"),IF(AS34&gt;0,$AT$44*AS34/SUMIF($AS$8:$AS$39,"&gt;0"),""))),IF(SUMIF(AJ35:$AJ$39,"=" &amp; AJ34,AI35:$AI$39)=0,"",SUMIF(AJ35:$AJ$39,"=" &amp; AJ34,AI35:$AI$39)))</f>
        <v>3.4042553191489362E-2</v>
      </c>
      <c r="AJ34" s="139">
        <f t="shared" si="34"/>
        <v>4</v>
      </c>
      <c r="AK34" s="453">
        <f t="shared" si="27"/>
        <v>2</v>
      </c>
      <c r="AL34" s="146" t="str">
        <f t="shared" si="28"/>
        <v/>
      </c>
      <c r="AM34" s="146" t="str">
        <f t="shared" si="35"/>
        <v/>
      </c>
      <c r="AN34" s="146" t="str">
        <f t="shared" si="5"/>
        <v/>
      </c>
      <c r="AO34" s="146" t="str">
        <f t="shared" si="6"/>
        <v/>
      </c>
      <c r="AP34" s="453" t="b">
        <f t="shared" si="7"/>
        <v>1</v>
      </c>
      <c r="AQ34" s="140">
        <f t="shared" si="29"/>
        <v>1</v>
      </c>
      <c r="AR34" s="141" t="str">
        <f t="shared" si="8"/>
        <v/>
      </c>
      <c r="AS34" s="142">
        <f t="shared" si="30"/>
        <v>0</v>
      </c>
      <c r="AT34" s="141" t="str">
        <f t="shared" si="9"/>
        <v/>
      </c>
      <c r="AU34" s="143">
        <f t="shared" si="10"/>
        <v>0</v>
      </c>
      <c r="AV34" s="144" t="str">
        <f t="shared" si="11"/>
        <v/>
      </c>
      <c r="AW34" s="143" t="b">
        <f t="shared" si="12"/>
        <v>0</v>
      </c>
      <c r="AX34" s="145" t="b">
        <f t="shared" si="13"/>
        <v>1</v>
      </c>
      <c r="AY34" s="143" t="b">
        <f t="shared" si="14"/>
        <v>0</v>
      </c>
      <c r="AZ34" s="145" t="b">
        <f t="shared" si="15"/>
        <v>0</v>
      </c>
      <c r="BA34" s="453" t="b">
        <f t="shared" si="16"/>
        <v>0</v>
      </c>
      <c r="BB34" s="453" t="b">
        <f t="shared" si="17"/>
        <v>0</v>
      </c>
      <c r="BC34" s="143" t="b">
        <f t="shared" si="18"/>
        <v>0</v>
      </c>
      <c r="BD34" s="146" t="b">
        <f t="shared" si="31"/>
        <v>0</v>
      </c>
      <c r="BE34" s="145" t="b">
        <f t="shared" si="37"/>
        <v>0</v>
      </c>
      <c r="BF34" s="147" t="b">
        <f t="shared" si="39"/>
        <v>0</v>
      </c>
      <c r="BG34" s="453" t="b">
        <f t="shared" si="38"/>
        <v>1</v>
      </c>
      <c r="BH34" s="453">
        <f t="shared" si="32"/>
        <v>1</v>
      </c>
      <c r="BI34" s="453">
        <f t="shared" si="22"/>
        <v>2</v>
      </c>
      <c r="BJ34" s="453" t="str">
        <f t="shared" si="23"/>
        <v>2*</v>
      </c>
      <c r="BK34" s="453">
        <f t="shared" si="24"/>
        <v>3</v>
      </c>
      <c r="BL34" s="148">
        <f t="shared" si="33"/>
        <v>1</v>
      </c>
      <c r="BM34" s="453">
        <f t="shared" si="25"/>
        <v>2</v>
      </c>
      <c r="BN34" s="453">
        <f t="shared" si="26"/>
        <v>3</v>
      </c>
      <c r="BO34" s="1023"/>
      <c r="BP34" s="1024"/>
      <c r="BQ34" s="1024"/>
      <c r="BR34" s="1024"/>
      <c r="BS34" s="1024"/>
      <c r="BT34" s="1024"/>
      <c r="BU34" s="1025"/>
    </row>
    <row r="35" spans="2:73" s="94" customFormat="1" ht="12.95" customHeight="1" x14ac:dyDescent="0.2">
      <c r="B35" s="151">
        <f>IF(ISNA(Z35),"",IF(OR(Z35=1,Z35=2),"    ",MAX($B$8:B34)+1))</f>
        <v>23</v>
      </c>
      <c r="C35" s="904" t="str">
        <f t="shared" si="0"/>
        <v xml:space="preserve">      - CHR Ratings/Comments (3.4%)</v>
      </c>
      <c r="D35" s="904"/>
      <c r="E35" s="904"/>
      <c r="F35" s="905"/>
      <c r="G35" s="133">
        <f t="shared" si="1"/>
        <v>1</v>
      </c>
      <c r="H35" s="134" t="str">
        <f t="shared" si="2"/>
        <v>2*</v>
      </c>
      <c r="I35" s="152">
        <f t="shared" si="2"/>
        <v>3</v>
      </c>
      <c r="J35" s="157"/>
      <c r="K35" s="154"/>
      <c r="L35" s="1015"/>
      <c r="M35" s="1016"/>
      <c r="N35" s="1016"/>
      <c r="O35" s="1016"/>
      <c r="P35" s="1016"/>
      <c r="Q35" s="1016"/>
      <c r="R35" s="1017"/>
      <c r="T35" s="99">
        <v>28</v>
      </c>
      <c r="U35" s="88" t="s">
        <v>563</v>
      </c>
      <c r="V35" s="453">
        <v>1</v>
      </c>
      <c r="W35" s="453">
        <v>1</v>
      </c>
      <c r="X35" s="453" t="s">
        <v>340</v>
      </c>
      <c r="Y35" s="453" t="s">
        <v>340</v>
      </c>
      <c r="Z35" s="146" t="s">
        <v>340</v>
      </c>
      <c r="AA35" s="146">
        <v>2</v>
      </c>
      <c r="AB35" s="146">
        <v>1</v>
      </c>
      <c r="AC35" s="453">
        <v>3</v>
      </c>
      <c r="AD35" s="453">
        <v>2</v>
      </c>
      <c r="AE35" s="453">
        <v>1</v>
      </c>
      <c r="AF35" s="453" t="b">
        <v>1</v>
      </c>
      <c r="AG35" s="453">
        <f t="shared" si="3"/>
        <v>3</v>
      </c>
      <c r="AH35" s="453">
        <f t="shared" si="4"/>
        <v>2</v>
      </c>
      <c r="AI35" s="138">
        <f>IF(NOT(OR(Z35=1,Z35=2)),IF(AQ35&gt;0,$AR$44*AQ35/SUMIF($AQ$8:$AQ$39,"&gt;0"),IF(AU35&gt;0,$AV$44*AU35/SUMIF($AU$8:$AU$39,"&gt;0"),IF(AS35&gt;0,$AT$44*AS35/SUMIF($AS$8:$AS$39,"&gt;0"),""))),IF(SUMIF(AJ36:$AJ$39,"=" &amp; AJ35,AI36:$AI$39)=0,"",SUMIF(AJ36:$AJ$39,"=" &amp; AJ35,AI36:$AI$39)))</f>
        <v>3.4042553191489362E-2</v>
      </c>
      <c r="AJ35" s="139">
        <f t="shared" si="34"/>
        <v>4</v>
      </c>
      <c r="AK35" s="453">
        <f t="shared" si="27"/>
        <v>2</v>
      </c>
      <c r="AL35" s="146" t="str">
        <f t="shared" si="28"/>
        <v/>
      </c>
      <c r="AM35" s="146" t="str">
        <f t="shared" si="35"/>
        <v/>
      </c>
      <c r="AN35" s="146" t="str">
        <f t="shared" si="5"/>
        <v/>
      </c>
      <c r="AO35" s="146" t="str">
        <f t="shared" si="6"/>
        <v/>
      </c>
      <c r="AP35" s="453" t="b">
        <f t="shared" si="7"/>
        <v>1</v>
      </c>
      <c r="AQ35" s="140">
        <f t="shared" si="29"/>
        <v>1</v>
      </c>
      <c r="AR35" s="141" t="str">
        <f t="shared" si="8"/>
        <v/>
      </c>
      <c r="AS35" s="142">
        <f t="shared" si="30"/>
        <v>0</v>
      </c>
      <c r="AT35" s="141" t="str">
        <f t="shared" si="9"/>
        <v/>
      </c>
      <c r="AU35" s="143">
        <f t="shared" si="10"/>
        <v>0</v>
      </c>
      <c r="AV35" s="144" t="str">
        <f t="shared" si="11"/>
        <v/>
      </c>
      <c r="AW35" s="143" t="b">
        <f t="shared" si="12"/>
        <v>0</v>
      </c>
      <c r="AX35" s="145" t="b">
        <f t="shared" si="13"/>
        <v>1</v>
      </c>
      <c r="AY35" s="143" t="b">
        <f t="shared" si="14"/>
        <v>0</v>
      </c>
      <c r="AZ35" s="145" t="b">
        <f t="shared" si="15"/>
        <v>0</v>
      </c>
      <c r="BA35" s="453" t="b">
        <f t="shared" si="16"/>
        <v>0</v>
      </c>
      <c r="BB35" s="453" t="b">
        <f t="shared" si="17"/>
        <v>0</v>
      </c>
      <c r="BC35" s="143" t="b">
        <f t="shared" si="18"/>
        <v>0</v>
      </c>
      <c r="BD35" s="146" t="b">
        <f t="shared" si="31"/>
        <v>0</v>
      </c>
      <c r="BE35" s="145" t="b">
        <f t="shared" si="37"/>
        <v>0</v>
      </c>
      <c r="BF35" s="147" t="b">
        <f t="shared" si="39"/>
        <v>0</v>
      </c>
      <c r="BG35" s="453" t="b">
        <f t="shared" si="38"/>
        <v>1</v>
      </c>
      <c r="BH35" s="453">
        <f t="shared" si="32"/>
        <v>1</v>
      </c>
      <c r="BI35" s="453">
        <f t="shared" si="22"/>
        <v>2</v>
      </c>
      <c r="BJ35" s="453" t="str">
        <f t="shared" si="23"/>
        <v>2*</v>
      </c>
      <c r="BK35" s="453">
        <f t="shared" si="24"/>
        <v>3</v>
      </c>
      <c r="BL35" s="148">
        <f t="shared" si="33"/>
        <v>1</v>
      </c>
      <c r="BM35" s="453">
        <f t="shared" si="25"/>
        <v>2</v>
      </c>
      <c r="BN35" s="453">
        <f t="shared" si="26"/>
        <v>3</v>
      </c>
      <c r="BO35" s="1026"/>
      <c r="BP35" s="1027"/>
      <c r="BQ35" s="1027"/>
      <c r="BR35" s="1027"/>
      <c r="BS35" s="1027"/>
      <c r="BT35" s="1027"/>
      <c r="BU35" s="1028"/>
    </row>
    <row r="36" spans="2:73" s="94" customFormat="1" ht="12.95" customHeight="1" x14ac:dyDescent="0.2">
      <c r="B36" s="151" t="str">
        <f>IF(ISNA(Z36),"",IF(OR(Z36=1,Z36=2),"    ",MAX($B$8:B35)+1))</f>
        <v/>
      </c>
      <c r="C36" s="904" t="str">
        <f t="shared" si="0"/>
        <v/>
      </c>
      <c r="D36" s="904"/>
      <c r="E36" s="904"/>
      <c r="F36" s="905"/>
      <c r="G36" s="133" t="str">
        <f t="shared" si="1"/>
        <v/>
      </c>
      <c r="H36" s="134" t="str">
        <f t="shared" si="2"/>
        <v/>
      </c>
      <c r="I36" s="152" t="str">
        <f t="shared" si="2"/>
        <v/>
      </c>
      <c r="J36" s="158"/>
      <c r="K36" s="159"/>
      <c r="L36" s="1015"/>
      <c r="M36" s="1016"/>
      <c r="N36" s="1016"/>
      <c r="O36" s="1016"/>
      <c r="P36" s="1016"/>
      <c r="Q36" s="1016"/>
      <c r="R36" s="1017"/>
      <c r="T36" s="99">
        <v>29</v>
      </c>
      <c r="U36" s="88" t="e">
        <v>#N/A</v>
      </c>
      <c r="V36" s="453" t="e">
        <v>#N/A</v>
      </c>
      <c r="W36" s="453" t="e">
        <v>#N/A</v>
      </c>
      <c r="X36" s="453" t="e">
        <v>#N/A</v>
      </c>
      <c r="Y36" s="453" t="e">
        <v>#N/A</v>
      </c>
      <c r="Z36" s="146" t="e">
        <v>#N/A</v>
      </c>
      <c r="AA36" s="146" t="e">
        <v>#N/A</v>
      </c>
      <c r="AB36" s="146" t="e">
        <v>#N/A</v>
      </c>
      <c r="AC36" s="453" t="e">
        <v>#N/A</v>
      </c>
      <c r="AD36" s="453" t="e">
        <v>#N/A</v>
      </c>
      <c r="AE36" s="453" t="e">
        <v>#N/A</v>
      </c>
      <c r="AF36" s="453" t="e">
        <v>#N/A</v>
      </c>
      <c r="AG36" s="453" t="e">
        <f t="shared" si="3"/>
        <v>#N/A</v>
      </c>
      <c r="AH36" s="453" t="str">
        <f t="shared" si="4"/>
        <v/>
      </c>
      <c r="AI36" s="138" t="e">
        <f>IF(NOT(OR(Z36=1,Z36=2)),IF(AQ36&gt;0,$AR$44*AQ36/SUMIF($AQ$8:$AQ$39,"&gt;0"),IF(AU36&gt;0,$AV$44*AU36/SUMIF($AU$8:$AU$39,"&gt;0"),IF(AS36&gt;0,$AT$44*AS36/SUMIF($AS$8:$AS$39,"&gt;0"),""))),IF(SUMIF(AJ37:$AJ$39,"=" &amp; AJ36,AI37:$AI$39)=0,"",SUMIF(AJ37:$AJ$39,"=" &amp; AJ36,AI37:$AI$39)))</f>
        <v>#N/A</v>
      </c>
      <c r="AJ36" s="139" t="e">
        <f t="shared" si="34"/>
        <v>#N/A</v>
      </c>
      <c r="AK36" s="453" t="str">
        <f t="shared" si="27"/>
        <v/>
      </c>
      <c r="AL36" s="146" t="str">
        <f t="shared" si="28"/>
        <v/>
      </c>
      <c r="AM36" s="146" t="str">
        <f t="shared" si="35"/>
        <v/>
      </c>
      <c r="AN36" s="146" t="str">
        <f t="shared" si="5"/>
        <v/>
      </c>
      <c r="AO36" s="146" t="e">
        <f t="shared" si="6"/>
        <v>#N/A</v>
      </c>
      <c r="AP36" s="453" t="str">
        <f t="shared" si="7"/>
        <v/>
      </c>
      <c r="AQ36" s="140">
        <f t="shared" si="29"/>
        <v>0</v>
      </c>
      <c r="AR36" s="141" t="str">
        <f t="shared" si="8"/>
        <v/>
      </c>
      <c r="AS36" s="142">
        <f t="shared" si="30"/>
        <v>0</v>
      </c>
      <c r="AT36" s="141" t="str">
        <f t="shared" si="9"/>
        <v/>
      </c>
      <c r="AU36" s="143">
        <f t="shared" si="10"/>
        <v>0</v>
      </c>
      <c r="AV36" s="144" t="str">
        <f t="shared" si="11"/>
        <v/>
      </c>
      <c r="AW36" s="143" t="b">
        <f t="shared" si="12"/>
        <v>0</v>
      </c>
      <c r="AX36" s="145" t="b">
        <f t="shared" si="13"/>
        <v>0</v>
      </c>
      <c r="AY36" s="143" t="b">
        <f t="shared" si="14"/>
        <v>0</v>
      </c>
      <c r="AZ36" s="145" t="b">
        <f t="shared" si="15"/>
        <v>0</v>
      </c>
      <c r="BA36" s="453" t="b">
        <f t="shared" si="16"/>
        <v>0</v>
      </c>
      <c r="BB36" s="453" t="b">
        <f t="shared" si="17"/>
        <v>0</v>
      </c>
      <c r="BC36" s="143" t="b">
        <f t="shared" si="18"/>
        <v>0</v>
      </c>
      <c r="BD36" s="146" t="b">
        <f t="shared" si="31"/>
        <v>0</v>
      </c>
      <c r="BE36" s="145" t="b">
        <f t="shared" si="37"/>
        <v>0</v>
      </c>
      <c r="BF36" s="147" t="b">
        <f t="shared" si="39"/>
        <v>0</v>
      </c>
      <c r="BG36" s="453" t="str">
        <f t="shared" si="38"/>
        <v>NA</v>
      </c>
      <c r="BH36" s="453" t="str">
        <f t="shared" si="32"/>
        <v/>
      </c>
      <c r="BI36" s="453" t="str">
        <f t="shared" si="22"/>
        <v/>
      </c>
      <c r="BJ36" s="453" t="str">
        <f t="shared" si="23"/>
        <v/>
      </c>
      <c r="BK36" s="453" t="str">
        <f t="shared" si="24"/>
        <v/>
      </c>
      <c r="BL36" s="148" t="str">
        <f t="shared" si="33"/>
        <v/>
      </c>
      <c r="BM36" s="453" t="str">
        <f t="shared" si="25"/>
        <v/>
      </c>
      <c r="BN36" s="453" t="str">
        <f t="shared" si="26"/>
        <v/>
      </c>
      <c r="BO36" s="1026"/>
      <c r="BP36" s="1027"/>
      <c r="BQ36" s="1027"/>
      <c r="BR36" s="1027"/>
      <c r="BS36" s="1027"/>
      <c r="BT36" s="1027"/>
      <c r="BU36" s="1028"/>
    </row>
    <row r="37" spans="2:73" s="94" customFormat="1" ht="12.95" customHeight="1" x14ac:dyDescent="0.2">
      <c r="B37" s="151" t="str">
        <f>IF(ISNA(Z37),"",IF(OR(Z37=1,Z37=2),"    ",MAX($B$8:B36)+1))</f>
        <v/>
      </c>
      <c r="C37" s="904" t="str">
        <f>IF(ISNA(Z37),"",CONCATENATE($U37,IF(ISNUMBER(AI37),TEXT(ROUND($AI37,3)," (0.0%)"),""),IF(AU37&gt;0," Bonus","")))</f>
        <v/>
      </c>
      <c r="D37" s="904"/>
      <c r="E37" s="904"/>
      <c r="F37" s="905"/>
      <c r="G37" s="133" t="str">
        <f t="shared" si="1"/>
        <v/>
      </c>
      <c r="H37" s="134" t="str">
        <f t="shared" si="2"/>
        <v/>
      </c>
      <c r="I37" s="152" t="str">
        <f t="shared" si="2"/>
        <v/>
      </c>
      <c r="J37" s="158"/>
      <c r="K37" s="159"/>
      <c r="L37" s="1015"/>
      <c r="M37" s="1016"/>
      <c r="N37" s="1016"/>
      <c r="O37" s="1016"/>
      <c r="P37" s="1016"/>
      <c r="Q37" s="1016"/>
      <c r="R37" s="1017"/>
      <c r="T37" s="99">
        <v>30</v>
      </c>
      <c r="U37" s="88" t="e">
        <v>#N/A</v>
      </c>
      <c r="V37" s="453" t="e">
        <v>#N/A</v>
      </c>
      <c r="W37" s="453" t="e">
        <v>#N/A</v>
      </c>
      <c r="X37" s="453" t="e">
        <v>#N/A</v>
      </c>
      <c r="Y37" s="453" t="e">
        <v>#N/A</v>
      </c>
      <c r="Z37" s="146" t="e">
        <v>#N/A</v>
      </c>
      <c r="AA37" s="146" t="e">
        <v>#N/A</v>
      </c>
      <c r="AB37" s="146" t="e">
        <v>#N/A</v>
      </c>
      <c r="AC37" s="453" t="e">
        <v>#N/A</v>
      </c>
      <c r="AD37" s="453" t="e">
        <v>#N/A</v>
      </c>
      <c r="AE37" s="453" t="e">
        <v>#N/A</v>
      </c>
      <c r="AF37" s="453" t="e">
        <v>#N/A</v>
      </c>
      <c r="AG37" s="453" t="e">
        <f t="shared" si="3"/>
        <v>#N/A</v>
      </c>
      <c r="AH37" s="453" t="str">
        <f t="shared" si="4"/>
        <v/>
      </c>
      <c r="AI37" s="138" t="e">
        <f>IF(NOT(OR(Z37=1,Z37=2)),IF(AQ37&gt;0,$AR$44*AQ37/SUMIF($AQ$8:$AQ$39,"&gt;0"),IF(AU37&gt;0,$AV$44*AU37/SUMIF($AU$8:$AU$39,"&gt;0"),IF(AS37&gt;0,$AT$44*AS37/SUMIF($AS$8:$AS$39,"&gt;0"),""))),IF(SUMIF(AJ38:$AJ$39,"=" &amp; AJ37,AI38:$AI$39)=0,"",SUMIF(AJ38:$AJ$39,"=" &amp; AJ37,AI38:$AI$39)))</f>
        <v>#N/A</v>
      </c>
      <c r="AJ37" s="139" t="e">
        <f t="shared" si="34"/>
        <v>#N/A</v>
      </c>
      <c r="AK37" s="453" t="str">
        <f t="shared" si="27"/>
        <v/>
      </c>
      <c r="AL37" s="146" t="str">
        <f t="shared" si="28"/>
        <v/>
      </c>
      <c r="AM37" s="146" t="str">
        <f t="shared" si="35"/>
        <v/>
      </c>
      <c r="AN37" s="146" t="str">
        <f>IF(ISNUMBER(AH37),IF(AND(AB37=0,ISNUMBER(AC37),ISNUMBER(AL37)),1,""),"")</f>
        <v/>
      </c>
      <c r="AO37" s="146" t="e">
        <f t="shared" si="6"/>
        <v>#N/A</v>
      </c>
      <c r="AP37" s="453" t="str">
        <f t="shared" si="7"/>
        <v/>
      </c>
      <c r="AQ37" s="140">
        <f t="shared" si="29"/>
        <v>0</v>
      </c>
      <c r="AR37" s="141" t="str">
        <f t="shared" si="8"/>
        <v/>
      </c>
      <c r="AS37" s="142">
        <f t="shared" si="30"/>
        <v>0</v>
      </c>
      <c r="AT37" s="141" t="str">
        <f t="shared" si="9"/>
        <v/>
      </c>
      <c r="AU37" s="143">
        <f t="shared" si="10"/>
        <v>0</v>
      </c>
      <c r="AV37" s="144" t="str">
        <f t="shared" si="11"/>
        <v/>
      </c>
      <c r="AW37" s="143" t="b">
        <f t="shared" si="12"/>
        <v>0</v>
      </c>
      <c r="AX37" s="145" t="b">
        <f t="shared" si="13"/>
        <v>0</v>
      </c>
      <c r="AY37" s="143" t="b">
        <f t="shared" si="14"/>
        <v>0</v>
      </c>
      <c r="AZ37" s="145" t="b">
        <f t="shared" si="15"/>
        <v>0</v>
      </c>
      <c r="BA37" s="453" t="b">
        <f t="shared" si="16"/>
        <v>0</v>
      </c>
      <c r="BB37" s="453" t="b">
        <f t="shared" si="17"/>
        <v>0</v>
      </c>
      <c r="BC37" s="143" t="b">
        <f t="shared" si="18"/>
        <v>0</v>
      </c>
      <c r="BD37" s="146" t="b">
        <f t="shared" si="31"/>
        <v>0</v>
      </c>
      <c r="BE37" s="145" t="b">
        <f t="shared" si="37"/>
        <v>0</v>
      </c>
      <c r="BF37" s="147" t="b">
        <f t="shared" si="39"/>
        <v>0</v>
      </c>
      <c r="BG37" s="453" t="str">
        <f t="shared" si="38"/>
        <v>NA</v>
      </c>
      <c r="BH37" s="453" t="str">
        <f t="shared" si="32"/>
        <v/>
      </c>
      <c r="BI37" s="453" t="str">
        <f t="shared" si="22"/>
        <v/>
      </c>
      <c r="BJ37" s="453" t="str">
        <f t="shared" si="23"/>
        <v/>
      </c>
      <c r="BK37" s="453" t="str">
        <f t="shared" si="24"/>
        <v/>
      </c>
      <c r="BL37" s="148" t="str">
        <f t="shared" si="33"/>
        <v/>
      </c>
      <c r="BM37" s="453" t="str">
        <f t="shared" si="25"/>
        <v/>
      </c>
      <c r="BN37" s="453" t="str">
        <f t="shared" si="26"/>
        <v/>
      </c>
      <c r="BO37" s="1029"/>
      <c r="BP37" s="1030"/>
      <c r="BQ37" s="1030"/>
      <c r="BR37" s="1030"/>
      <c r="BS37" s="1030"/>
      <c r="BT37" s="1030"/>
      <c r="BU37" s="1031"/>
    </row>
    <row r="38" spans="2:73" s="94" customFormat="1" ht="12.95" customHeight="1" x14ac:dyDescent="0.2">
      <c r="B38" s="151" t="str">
        <f>IF(ISNA(Z38),"",IF(OR(Z38=1,Z38=2),"    ",MAX($B$8:B37)+1))</f>
        <v/>
      </c>
      <c r="C38" s="904" t="str">
        <f t="shared" ref="C38:C39" si="40">IF(ISNA(Z38),"",CONCATENATE($U38,IF(ISNUMBER(AI38),TEXT(ROUND($AI38,3)," (0.0%)"),""),IF(AU38&gt;0," Bonus","")))</f>
        <v/>
      </c>
      <c r="D38" s="904"/>
      <c r="E38" s="904"/>
      <c r="F38" s="905"/>
      <c r="G38" s="133" t="str">
        <f t="shared" si="1"/>
        <v/>
      </c>
      <c r="H38" s="134" t="str">
        <f t="shared" si="2"/>
        <v/>
      </c>
      <c r="I38" s="152" t="str">
        <f t="shared" si="2"/>
        <v/>
      </c>
      <c r="J38" s="158"/>
      <c r="K38" s="159"/>
      <c r="L38" s="1015"/>
      <c r="M38" s="1016"/>
      <c r="N38" s="1016"/>
      <c r="O38" s="1016"/>
      <c r="P38" s="1016"/>
      <c r="Q38" s="1016"/>
      <c r="R38" s="1017"/>
      <c r="T38" s="99">
        <v>31</v>
      </c>
      <c r="U38" s="88" t="e">
        <v>#N/A</v>
      </c>
      <c r="V38" s="453" t="e">
        <v>#N/A</v>
      </c>
      <c r="W38" s="453" t="e">
        <v>#N/A</v>
      </c>
      <c r="X38" s="453" t="e">
        <v>#N/A</v>
      </c>
      <c r="Y38" s="453" t="e">
        <v>#N/A</v>
      </c>
      <c r="Z38" s="146" t="e">
        <v>#N/A</v>
      </c>
      <c r="AA38" s="146" t="e">
        <v>#N/A</v>
      </c>
      <c r="AB38" s="146" t="e">
        <v>#N/A</v>
      </c>
      <c r="AC38" s="453" t="e">
        <v>#N/A</v>
      </c>
      <c r="AD38" s="453" t="e">
        <v>#N/A</v>
      </c>
      <c r="AE38" s="453" t="e">
        <v>#N/A</v>
      </c>
      <c r="AF38" s="453" t="e">
        <v>#N/A</v>
      </c>
      <c r="AG38" s="453" t="e">
        <f t="shared" si="3"/>
        <v>#N/A</v>
      </c>
      <c r="AH38" s="453" t="str">
        <f t="shared" si="4"/>
        <v/>
      </c>
      <c r="AI38" s="138" t="e">
        <f>IF(NOT(OR(Z38=1,Z38=2)),IF(AQ38&gt;0,$AR$44*AQ38/SUMIF($AQ$8:$AQ$39,"&gt;0"),IF(AU38&gt;0,$AV$44*AU38/SUMIF($AU$8:$AU$39,"&gt;0"),IF(AS38&gt;0,$AT$44*AS38/SUMIF($AS$8:$AS$39,"&gt;0"),""))),IF(SUMIF(AJ39:$AJ$39,"=" &amp; AJ38,AI39:$AI$39)=0,"",SUMIF(AJ39:$AJ$39,"=" &amp; AJ38,AI39:$AI$39)))</f>
        <v>#N/A</v>
      </c>
      <c r="AJ38" s="139" t="e">
        <f t="shared" si="34"/>
        <v>#N/A</v>
      </c>
      <c r="AK38" s="453" t="str">
        <f t="shared" si="27"/>
        <v/>
      </c>
      <c r="AL38" s="146" t="str">
        <f t="shared" si="28"/>
        <v/>
      </c>
      <c r="AM38" s="146" t="str">
        <f t="shared" si="35"/>
        <v/>
      </c>
      <c r="AN38" s="146" t="str">
        <f>IF(ISNUMBER(AH38),IF(AND(AB38=0,ISNUMBER(AC38),ISNUMBER(AL38)),1,""),"")</f>
        <v/>
      </c>
      <c r="AO38" s="146" t="e">
        <f t="shared" si="6"/>
        <v>#N/A</v>
      </c>
      <c r="AP38" s="453" t="str">
        <f t="shared" si="7"/>
        <v/>
      </c>
      <c r="AQ38" s="140">
        <f t="shared" si="29"/>
        <v>0</v>
      </c>
      <c r="AR38" s="141" t="str">
        <f t="shared" si="8"/>
        <v/>
      </c>
      <c r="AS38" s="142">
        <f t="shared" si="30"/>
        <v>0</v>
      </c>
      <c r="AT38" s="141" t="str">
        <f t="shared" si="9"/>
        <v/>
      </c>
      <c r="AU38" s="143">
        <f t="shared" si="10"/>
        <v>0</v>
      </c>
      <c r="AV38" s="144" t="str">
        <f t="shared" si="11"/>
        <v/>
      </c>
      <c r="AW38" s="143" t="b">
        <f t="shared" si="12"/>
        <v>0</v>
      </c>
      <c r="AX38" s="145" t="b">
        <f t="shared" si="13"/>
        <v>0</v>
      </c>
      <c r="AY38" s="143" t="b">
        <f t="shared" si="14"/>
        <v>0</v>
      </c>
      <c r="AZ38" s="145" t="b">
        <f t="shared" si="15"/>
        <v>0</v>
      </c>
      <c r="BA38" s="453" t="b">
        <f t="shared" si="16"/>
        <v>0</v>
      </c>
      <c r="BB38" s="453" t="b">
        <f t="shared" si="17"/>
        <v>0</v>
      </c>
      <c r="BC38" s="143" t="b">
        <f t="shared" si="18"/>
        <v>0</v>
      </c>
      <c r="BD38" s="146" t="b">
        <f t="shared" si="31"/>
        <v>0</v>
      </c>
      <c r="BE38" s="145" t="b">
        <f t="shared" si="37"/>
        <v>0</v>
      </c>
      <c r="BF38" s="147" t="b">
        <f t="shared" si="39"/>
        <v>0</v>
      </c>
      <c r="BG38" s="453" t="str">
        <f t="shared" si="38"/>
        <v>NA</v>
      </c>
      <c r="BH38" s="453" t="str">
        <f t="shared" si="32"/>
        <v/>
      </c>
      <c r="BI38" s="453" t="str">
        <f t="shared" si="22"/>
        <v/>
      </c>
      <c r="BJ38" s="453" t="str">
        <f t="shared" si="23"/>
        <v/>
      </c>
      <c r="BK38" s="453" t="str">
        <f t="shared" si="24"/>
        <v/>
      </c>
      <c r="BL38" s="148" t="str">
        <f t="shared" si="33"/>
        <v/>
      </c>
      <c r="BM38" s="453" t="str">
        <f t="shared" si="25"/>
        <v/>
      </c>
      <c r="BN38" s="453" t="str">
        <f t="shared" si="26"/>
        <v/>
      </c>
      <c r="BO38" s="150" t="s">
        <v>373</v>
      </c>
      <c r="BP38" s="150"/>
      <c r="BQ38" s="150"/>
      <c r="BR38" s="150"/>
      <c r="BS38" s="150"/>
      <c r="BT38" s="150"/>
      <c r="BU38" s="150"/>
    </row>
    <row r="39" spans="2:73" s="94" customFormat="1" ht="12.95" customHeight="1" thickBot="1" x14ac:dyDescent="0.25">
      <c r="B39" s="151" t="str">
        <f>IF(ISNA(Z39),"",IF(OR(Z39=1,Z39=2),"    ",MAX($B$8:B38)+1))</f>
        <v/>
      </c>
      <c r="C39" s="904" t="str">
        <f t="shared" si="40"/>
        <v/>
      </c>
      <c r="D39" s="904"/>
      <c r="E39" s="904"/>
      <c r="F39" s="905"/>
      <c r="G39" s="171" t="str">
        <f t="shared" si="1"/>
        <v/>
      </c>
      <c r="H39" s="134" t="str">
        <f t="shared" si="2"/>
        <v/>
      </c>
      <c r="I39" s="172" t="str">
        <f t="shared" si="2"/>
        <v/>
      </c>
      <c r="J39" s="173"/>
      <c r="K39" s="174"/>
      <c r="L39" s="1018"/>
      <c r="M39" s="1019"/>
      <c r="N39" s="1019"/>
      <c r="O39" s="1019"/>
      <c r="P39" s="1019"/>
      <c r="Q39" s="1019"/>
      <c r="R39" s="1020"/>
      <c r="T39" s="99">
        <v>32</v>
      </c>
      <c r="U39" s="88" t="e">
        <v>#N/A</v>
      </c>
      <c r="V39" s="453" t="e">
        <v>#N/A</v>
      </c>
      <c r="W39" s="453" t="e">
        <v>#N/A</v>
      </c>
      <c r="X39" s="453" t="e">
        <v>#N/A</v>
      </c>
      <c r="Y39" s="453" t="e">
        <v>#N/A</v>
      </c>
      <c r="Z39" s="146" t="e">
        <v>#N/A</v>
      </c>
      <c r="AA39" s="146" t="e">
        <v>#N/A</v>
      </c>
      <c r="AB39" s="146" t="e">
        <v>#N/A</v>
      </c>
      <c r="AC39" s="453" t="e">
        <v>#N/A</v>
      </c>
      <c r="AD39" s="453" t="e">
        <v>#N/A</v>
      </c>
      <c r="AE39" s="453" t="e">
        <v>#N/A</v>
      </c>
      <c r="AF39" s="453" t="e">
        <v>#N/A</v>
      </c>
      <c r="AG39" s="453" t="e">
        <f t="shared" si="3"/>
        <v>#N/A</v>
      </c>
      <c r="AH39" s="453" t="str">
        <f t="shared" si="4"/>
        <v/>
      </c>
      <c r="AI39" s="138" t="e">
        <f>IF(NOT(OR(Z39=1,Z39=2)),IF(AQ39&gt;0,$AR$44*AQ39/SUMIF($AQ$8:$AQ$39,"&gt;0"),IF(AU39&gt;0,$AV$44*AU39/SUMIF($AU$8:$AU$39,"&gt;0"),IF(AS39&gt;0,$AT$44*AS39/SUMIF($AS$8:$AS$39,"&gt;0"),""))),IF(SUMIF(AJ$39:$AJ40,"=" &amp; AJ39,AI$39:$AI40)=0,"",SUMIF(AJ$39:$AJ40,"=" &amp; AJ39,AI$39:$AI40)))</f>
        <v>#N/A</v>
      </c>
      <c r="AJ39" s="139" t="e">
        <f t="shared" si="34"/>
        <v>#N/A</v>
      </c>
      <c r="AK39" s="453" t="str">
        <f t="shared" si="27"/>
        <v/>
      </c>
      <c r="AL39" s="146" t="str">
        <f t="shared" si="28"/>
        <v/>
      </c>
      <c r="AM39" s="146" t="str">
        <f t="shared" si="35"/>
        <v/>
      </c>
      <c r="AN39" s="146" t="str">
        <f>IF(ISNUMBER(AH39),IF(AND(AB39=0,ISNUMBER(AC39),ISNUMBER(AL39)),1,""),"")</f>
        <v/>
      </c>
      <c r="AO39" s="146" t="e">
        <f t="shared" si="6"/>
        <v>#N/A</v>
      </c>
      <c r="AP39" s="453" t="str">
        <f t="shared" si="7"/>
        <v/>
      </c>
      <c r="AQ39" s="140">
        <f t="shared" si="29"/>
        <v>0</v>
      </c>
      <c r="AR39" s="141" t="str">
        <f t="shared" si="8"/>
        <v/>
      </c>
      <c r="AS39" s="142">
        <f t="shared" si="30"/>
        <v>0</v>
      </c>
      <c r="AT39" s="141" t="str">
        <f t="shared" si="9"/>
        <v/>
      </c>
      <c r="AU39" s="143">
        <f t="shared" si="10"/>
        <v>0</v>
      </c>
      <c r="AV39" s="144" t="str">
        <f t="shared" si="11"/>
        <v/>
      </c>
      <c r="AW39" s="143" t="b">
        <f t="shared" si="12"/>
        <v>0</v>
      </c>
      <c r="AX39" s="145" t="b">
        <f t="shared" si="13"/>
        <v>0</v>
      </c>
      <c r="AY39" s="143" t="b">
        <f t="shared" si="14"/>
        <v>0</v>
      </c>
      <c r="AZ39" s="145" t="b">
        <f t="shared" si="15"/>
        <v>0</v>
      </c>
      <c r="BA39" s="453" t="b">
        <f t="shared" si="16"/>
        <v>0</v>
      </c>
      <c r="BB39" s="453" t="b">
        <f t="shared" si="17"/>
        <v>0</v>
      </c>
      <c r="BC39" s="143" t="b">
        <f t="shared" si="18"/>
        <v>0</v>
      </c>
      <c r="BD39" s="146" t="b">
        <f t="shared" si="31"/>
        <v>0</v>
      </c>
      <c r="BE39" s="145" t="b">
        <f t="shared" si="37"/>
        <v>0</v>
      </c>
      <c r="BF39" s="147" t="b">
        <f t="shared" si="39"/>
        <v>0</v>
      </c>
      <c r="BG39" s="453" t="str">
        <f t="shared" si="38"/>
        <v>NA</v>
      </c>
      <c r="BH39" s="453" t="str">
        <f t="shared" si="32"/>
        <v/>
      </c>
      <c r="BI39" s="453" t="str">
        <f t="shared" si="22"/>
        <v/>
      </c>
      <c r="BJ39" s="453" t="str">
        <f t="shared" si="23"/>
        <v/>
      </c>
      <c r="BK39" s="453" t="str">
        <f t="shared" si="24"/>
        <v/>
      </c>
      <c r="BL39" s="453" t="str">
        <f t="shared" si="33"/>
        <v/>
      </c>
      <c r="BM39" s="453" t="str">
        <f t="shared" si="25"/>
        <v/>
      </c>
      <c r="BN39" s="453" t="str">
        <f t="shared" si="26"/>
        <v/>
      </c>
      <c r="BO39" s="1023"/>
      <c r="BP39" s="1024"/>
      <c r="BQ39" s="1024"/>
      <c r="BR39" s="1024"/>
      <c r="BS39" s="1024"/>
      <c r="BT39" s="1024"/>
      <c r="BU39" s="1025"/>
    </row>
    <row r="40" spans="2:73" s="91" customFormat="1" ht="8.25" customHeight="1" x14ac:dyDescent="0.2">
      <c r="B40" s="915" t="s">
        <v>374</v>
      </c>
      <c r="C40" s="916"/>
      <c r="D40" s="917"/>
      <c r="E40" s="452" t="s">
        <v>375</v>
      </c>
      <c r="F40" s="918" t="s">
        <v>376</v>
      </c>
      <c r="G40" s="919"/>
      <c r="H40" s="919" t="s">
        <v>377</v>
      </c>
      <c r="I40" s="919"/>
      <c r="J40" s="920" t="s">
        <v>378</v>
      </c>
      <c r="K40" s="921"/>
      <c r="L40" s="175" t="s">
        <v>379</v>
      </c>
      <c r="M40" s="922" t="s">
        <v>380</v>
      </c>
      <c r="N40" s="922"/>
      <c r="O40" s="923" t="str">
        <f>IF(U44,"DO REVIEW","DO REV N/A")</f>
        <v>DO REVIEW</v>
      </c>
      <c r="P40" s="924"/>
      <c r="Q40" s="176" t="str">
        <f>IF(U45,"ED REVIEW","ED REV N/A")</f>
        <v>ED REVIEW</v>
      </c>
      <c r="R40" s="177"/>
      <c r="S40" s="178">
        <v>0</v>
      </c>
      <c r="AI40" s="179"/>
      <c r="AJ40" s="92"/>
      <c r="AK40" s="92"/>
      <c r="AL40" s="92"/>
      <c r="AM40" s="92"/>
      <c r="AN40" s="92"/>
      <c r="AO40" s="88"/>
      <c r="AP40" s="92"/>
      <c r="AQ40" s="180"/>
      <c r="AR40" s="92"/>
      <c r="AS40" s="180"/>
      <c r="AT40" s="92"/>
      <c r="AU40" s="180"/>
      <c r="AV40" s="181"/>
      <c r="AW40" s="92"/>
      <c r="AX40" s="92"/>
      <c r="AY40" s="92"/>
      <c r="AZ40" s="92"/>
      <c r="BA40" s="92"/>
      <c r="BB40" s="92"/>
      <c r="BC40" s="92"/>
      <c r="BD40" s="92"/>
      <c r="BE40" s="92"/>
      <c r="BF40" s="92"/>
      <c r="BG40" s="92"/>
      <c r="BH40" s="88"/>
      <c r="BI40" s="88"/>
      <c r="BJ40" s="88"/>
      <c r="BK40" s="88"/>
      <c r="BL40" s="88"/>
      <c r="BM40" s="88"/>
      <c r="BN40" s="88"/>
      <c r="BO40" s="1026"/>
      <c r="BP40" s="1027"/>
      <c r="BQ40" s="1027"/>
      <c r="BR40" s="1027"/>
      <c r="BS40" s="1027"/>
      <c r="BT40" s="1027"/>
      <c r="BU40" s="1028"/>
    </row>
    <row r="41" spans="2:73" ht="18.75" customHeight="1" thickBot="1" x14ac:dyDescent="0.25">
      <c r="B41" s="925" t="str">
        <f>IF(ISERROR(AR46),"",TEXT(AR45,"0.0%"))</f>
        <v>0.0%</v>
      </c>
      <c r="C41" s="926"/>
      <c r="D41" s="927"/>
      <c r="E41" s="182" t="str">
        <f>IF(AU41=0,"N/A",CONCATENATE(TEXT(AV45,"0.0%")," of ",TEXT(AV44,"0.0%")))</f>
        <v>N/A</v>
      </c>
      <c r="F41" s="929" t="str">
        <f>IF((graded_aca_events+graded_amn_events)&lt;1,"---",IF(AND(AW4,AX4),"INCOMPLETE",IF(AND(NOT(AW4),AX4),"ACA INC",IF(AND(AW4,NOT(AX4)),"AMN INC","COMPLETE"))))</f>
        <v>---</v>
      </c>
      <c r="G41" s="929"/>
      <c r="H41" s="929" t="str">
        <f>IF(AU4,IF(OR(AY4="UNK",NOT(AN6)),"---",IF(AY4,"UNSAT",IF(AVERAGEIFS(AT8:AT39,AS8:AS39,"&gt;0")&lt;0.9,"MARG","SAT"))),"N/A")</f>
        <v>---</v>
      </c>
      <c r="I41" s="929"/>
      <c r="J41" s="930" t="str">
        <f>IF(OR(AZ4="UNK",NOT(AM6)),"---",IF(OR(AZ4,AR45&lt;0.7),"FAIL","PASS"))</f>
        <v>---</v>
      </c>
      <c r="K41" s="931"/>
      <c r="L41" s="430"/>
      <c r="M41" s="932"/>
      <c r="N41" s="932"/>
      <c r="O41" s="1021" t="s">
        <v>265</v>
      </c>
      <c r="P41" s="1021"/>
      <c r="Q41" s="1021" t="s">
        <v>265</v>
      </c>
      <c r="R41" s="1022"/>
      <c r="S41" s="183"/>
      <c r="T41" s="99" t="s">
        <v>381</v>
      </c>
      <c r="U41" s="146" t="s">
        <v>382</v>
      </c>
      <c r="V41" s="184"/>
      <c r="W41" s="184"/>
      <c r="X41" s="184"/>
      <c r="Y41" s="184"/>
      <c r="Z41" s="184"/>
      <c r="AA41" s="184"/>
      <c r="AB41" s="184"/>
      <c r="AC41" s="184"/>
      <c r="AD41" s="184"/>
      <c r="AE41" s="184"/>
      <c r="AF41" s="184"/>
      <c r="AG41" s="184"/>
      <c r="AH41" s="184"/>
      <c r="AI41" s="86"/>
      <c r="AJ41" s="85"/>
      <c r="AK41" s="184"/>
      <c r="AL41" s="184"/>
      <c r="AM41" s="184">
        <f>SUM(AM8:AM39)</f>
        <v>0</v>
      </c>
      <c r="AN41" s="184">
        <f>SUM(AN8:AN39)</f>
        <v>0</v>
      </c>
      <c r="AO41" s="99"/>
      <c r="AP41" s="85"/>
      <c r="AQ41" s="185">
        <f>SUMIF(AQ8:AQ39,"&gt;0")</f>
        <v>23.5</v>
      </c>
      <c r="AR41" s="186">
        <f>IF(AQ41=0,0,SUMPRODUCT($AQ$8:$AQ$39,AR8:AR39)/SUM($AQ$8:$AQ$39))</f>
        <v>0</v>
      </c>
      <c r="AS41" s="187">
        <f>SUMIF(AS8:AS39,"&gt;0")</f>
        <v>5</v>
      </c>
      <c r="AT41" s="186">
        <f>IF(AS41=0,0,SUMPRODUCT($AS$8:$AS$39,AT8:AT39)/SUM($AS$8:$AS$39))</f>
        <v>0</v>
      </c>
      <c r="AU41" s="187">
        <f>SUM(AU9:AU39)</f>
        <v>0</v>
      </c>
      <c r="AV41" s="186">
        <f>IF(AU41=0,0,SUMPRODUCT($AU$8:$AU$39,AV8:AV39)/SUM($AU$8:$AU$39))</f>
        <v>0</v>
      </c>
      <c r="AW41" s="188"/>
      <c r="AX41" s="188"/>
      <c r="AY41" s="188"/>
      <c r="AZ41" s="188"/>
      <c r="BA41" s="188"/>
      <c r="BB41" s="188"/>
      <c r="BC41" s="88" t="s">
        <v>383</v>
      </c>
      <c r="BD41" s="88" t="s">
        <v>384</v>
      </c>
      <c r="BE41" s="88" t="s">
        <v>385</v>
      </c>
      <c r="BO41" s="1026"/>
      <c r="BP41" s="1027"/>
      <c r="BQ41" s="1027"/>
      <c r="BR41" s="1027"/>
      <c r="BS41" s="1027"/>
      <c r="BT41" s="1027"/>
      <c r="BU41" s="1028"/>
    </row>
    <row r="42" spans="2:73" ht="7.5" customHeight="1" thickTop="1" x14ac:dyDescent="0.2">
      <c r="L42" s="928" t="s">
        <v>564</v>
      </c>
      <c r="M42" s="928"/>
      <c r="N42" s="928"/>
      <c r="O42" s="928"/>
      <c r="P42" s="928"/>
      <c r="Q42" s="928"/>
      <c r="R42" s="928"/>
      <c r="AP42" s="184"/>
      <c r="AQ42" s="85"/>
      <c r="AR42" s="85"/>
      <c r="AT42" s="186"/>
      <c r="AU42" s="186"/>
      <c r="AV42" s="186"/>
      <c r="AW42" s="85"/>
      <c r="AX42" s="186"/>
      <c r="BO42" s="1029"/>
      <c r="BP42" s="1030"/>
      <c r="BQ42" s="1030"/>
      <c r="BR42" s="1030"/>
      <c r="BS42" s="1030"/>
      <c r="BT42" s="1030"/>
      <c r="BU42" s="1031"/>
    </row>
    <row r="43" spans="2:73" ht="30.75" customHeight="1" x14ac:dyDescent="0.2">
      <c r="T43" s="189" t="s">
        <v>386</v>
      </c>
      <c r="U43" s="146" t="b">
        <v>0</v>
      </c>
      <c r="AI43" s="89">
        <f ca="1">SUMIF(AJ8:$AJ$39,"=" &amp; AJ8,AI9:$AI$39)</f>
        <v>0.2</v>
      </c>
      <c r="AO43" s="190"/>
      <c r="AS43" s="118" t="s">
        <v>387</v>
      </c>
      <c r="AT43" s="191">
        <f>SUMIF(X8:X39,"&gt;0")/SUMIF(W8:W39,"&gt;0")</f>
        <v>0.21276595744680851</v>
      </c>
      <c r="AU43" s="118" t="s">
        <v>388</v>
      </c>
      <c r="AV43" s="192">
        <f>SUMIF(AU8:AU39,"&gt;0")/SUMIF(AQ8:AQ39,"&gt;0")</f>
        <v>0</v>
      </c>
      <c r="AW43" s="193"/>
      <c r="BE43" s="88" t="b">
        <f>AND(ISBLANK($K30),J30&gt;0)</f>
        <v>0</v>
      </c>
      <c r="BO43" s="88"/>
      <c r="BP43" s="88"/>
      <c r="BQ43" s="90"/>
    </row>
    <row r="44" spans="2:73" ht="30.75" customHeight="1" x14ac:dyDescent="0.2">
      <c r="J44" s="194"/>
      <c r="T44" s="195" t="s">
        <v>389</v>
      </c>
      <c r="U44" s="88" t="b">
        <f>IF(AND(Flight?,OR(AW4,AY4,BA4,AZ4,AR45&lt;0.7,H41="MARG")),TRUE,FALSE)</f>
        <v>1</v>
      </c>
      <c r="AO44" s="196"/>
      <c r="AQ44" s="118" t="s">
        <v>390</v>
      </c>
      <c r="AR44" s="191">
        <f>1-AT44</f>
        <v>0.8</v>
      </c>
      <c r="AS44" s="118" t="s">
        <v>391</v>
      </c>
      <c r="AT44" s="191">
        <f>MIN(AT43,AT6)</f>
        <v>0.2</v>
      </c>
      <c r="AU44" s="118" t="s">
        <v>392</v>
      </c>
      <c r="AV44" s="89">
        <f>MIN(AV43,AV6)</f>
        <v>0</v>
      </c>
      <c r="BO44" s="88"/>
      <c r="BP44" s="88"/>
      <c r="BQ44" s="90"/>
    </row>
    <row r="45" spans="2:73" ht="25.5" x14ac:dyDescent="0.2">
      <c r="T45" s="195" t="s">
        <v>393</v>
      </c>
      <c r="U45" s="88" t="b">
        <f>IF(OR(AX4,AY4,AZ4,BB4,AR45&lt;0.7),TRUE,FALSE)</f>
        <v>1</v>
      </c>
      <c r="AO45" s="197"/>
      <c r="AQ45" s="118" t="s">
        <v>394</v>
      </c>
      <c r="AR45" s="89">
        <f>AR41*(1-AT44)+(AT41*AT44)</f>
        <v>0</v>
      </c>
      <c r="AU45" s="88" t="s">
        <v>324</v>
      </c>
      <c r="AV45" s="89">
        <f>AV41*AV44</f>
        <v>0</v>
      </c>
      <c r="BO45" s="88"/>
      <c r="BP45" s="88"/>
      <c r="BQ45" s="90"/>
    </row>
    <row r="46" spans="2:73" ht="25.5" x14ac:dyDescent="0.2">
      <c r="T46" s="195" t="s">
        <v>395</v>
      </c>
      <c r="U46" s="88" t="b">
        <v>0</v>
      </c>
      <c r="AO46" s="197"/>
      <c r="AQ46" s="118" t="s">
        <v>396</v>
      </c>
      <c r="AR46" s="89">
        <f>IF(NOT(OR(AY4,AZ4)),AR45+AV45,MIN(0.69,AR45+AV45))</f>
        <v>0</v>
      </c>
      <c r="BO46" s="88"/>
      <c r="BP46" s="88"/>
      <c r="BQ46" s="90"/>
    </row>
    <row r="47" spans="2:73" x14ac:dyDescent="0.2">
      <c r="T47" s="195" t="s">
        <v>397</v>
      </c>
      <c r="U47" s="88" t="b">
        <f>IF(NOT(Flight?),TRUE,NOT(OR(ISBLANK(comments),ISBLANK(hdr_class),ISBLANK(hdr_date),ISBLANK(hdr_stud),ISBLANK(hdr_instr),ISBLANK(hdr_acft),ISBLANK(hdr_time),F41="---")))</f>
        <v>0</v>
      </c>
      <c r="AO47" s="197"/>
      <c r="AR47" s="118"/>
      <c r="AS47" s="89"/>
    </row>
    <row r="48" spans="2:73" x14ac:dyDescent="0.2">
      <c r="T48" s="195" t="s">
        <v>398</v>
      </c>
      <c r="U48" s="88" t="b">
        <f>IF(Flight?,TRUE,NOT(OR(ISBLANK(comments),ISBLANK(hdr_class),ISBLANK(hdr_date),ISBLANK(hdr_stud),ISBLANK(hdr_instr),F41="---")))</f>
        <v>1</v>
      </c>
      <c r="AO48" s="196"/>
      <c r="AP48" s="85" t="s">
        <v>399</v>
      </c>
      <c r="AQ48" s="85"/>
      <c r="AR48" s="85"/>
      <c r="AS48" s="85"/>
      <c r="AT48" s="85"/>
    </row>
    <row r="49" spans="20:50" x14ac:dyDescent="0.2">
      <c r="T49" s="195" t="s">
        <v>400</v>
      </c>
      <c r="U49" s="88" t="b">
        <f>AND(U47:U48)</f>
        <v>0</v>
      </c>
      <c r="AO49" s="196"/>
      <c r="AP49" s="85"/>
      <c r="AQ49" s="85"/>
      <c r="AR49" s="85">
        <v>0</v>
      </c>
      <c r="AS49" s="85">
        <v>1</v>
      </c>
      <c r="AT49" s="85">
        <v>2</v>
      </c>
      <c r="AU49" s="85">
        <v>3</v>
      </c>
      <c r="AV49" s="85">
        <v>4</v>
      </c>
    </row>
    <row r="50" spans="20:50" x14ac:dyDescent="0.2">
      <c r="AO50" s="196"/>
      <c r="AP50" s="85" t="s">
        <v>359</v>
      </c>
      <c r="AQ50" s="85">
        <v>1</v>
      </c>
      <c r="AR50" s="198">
        <v>0.7</v>
      </c>
      <c r="AS50" s="198">
        <v>0.9</v>
      </c>
      <c r="AT50" s="198">
        <v>0.93330000000000002</v>
      </c>
      <c r="AU50" s="198">
        <v>0.9667</v>
      </c>
      <c r="AV50" s="198">
        <v>1</v>
      </c>
    </row>
    <row r="51" spans="20:50" x14ac:dyDescent="0.2">
      <c r="AO51" s="196"/>
      <c r="AP51" s="85" t="s">
        <v>360</v>
      </c>
      <c r="AQ51" s="85">
        <v>2</v>
      </c>
      <c r="AR51" s="198">
        <v>0.7</v>
      </c>
      <c r="AS51" s="198">
        <v>0.8</v>
      </c>
      <c r="AT51" s="198">
        <v>0.9</v>
      </c>
      <c r="AU51" s="198">
        <v>0.95</v>
      </c>
      <c r="AV51" s="198">
        <v>1</v>
      </c>
    </row>
    <row r="52" spans="20:50" x14ac:dyDescent="0.2">
      <c r="AO52" s="196"/>
      <c r="AP52" s="85" t="s">
        <v>361</v>
      </c>
      <c r="AQ52" s="85">
        <v>3</v>
      </c>
      <c r="AR52" s="198">
        <v>0.7</v>
      </c>
      <c r="AS52" s="198">
        <v>0.76670000000000005</v>
      </c>
      <c r="AT52" s="198">
        <v>0.83330000000000004</v>
      </c>
      <c r="AU52" s="198">
        <v>0.9</v>
      </c>
      <c r="AV52" s="198">
        <v>1</v>
      </c>
    </row>
    <row r="53" spans="20:50" x14ac:dyDescent="0.2">
      <c r="AP53" s="199" t="s">
        <v>362</v>
      </c>
      <c r="AQ53" s="85">
        <v>11</v>
      </c>
      <c r="AR53" s="198">
        <v>0.6</v>
      </c>
      <c r="AS53" s="198">
        <v>0.9</v>
      </c>
      <c r="AT53" s="198">
        <v>0.93330000000000002</v>
      </c>
      <c r="AU53" s="198">
        <v>0.9667</v>
      </c>
      <c r="AV53" s="198">
        <v>1</v>
      </c>
    </row>
    <row r="54" spans="20:50" x14ac:dyDescent="0.2">
      <c r="AP54" s="199" t="s">
        <v>363</v>
      </c>
      <c r="AQ54" s="85">
        <v>12</v>
      </c>
      <c r="AR54" s="198">
        <v>0.6</v>
      </c>
      <c r="AS54" s="198">
        <v>0.7</v>
      </c>
      <c r="AT54" s="198">
        <v>0.9</v>
      </c>
      <c r="AU54" s="198">
        <v>0.95</v>
      </c>
      <c r="AV54" s="198">
        <v>1</v>
      </c>
    </row>
    <row r="55" spans="20:50" x14ac:dyDescent="0.2">
      <c r="AP55" s="199" t="s">
        <v>364</v>
      </c>
      <c r="AQ55" s="85">
        <v>13</v>
      </c>
      <c r="AR55" s="198">
        <v>0.6</v>
      </c>
      <c r="AS55" s="198">
        <v>0.7</v>
      </c>
      <c r="AT55" s="198">
        <v>0.8</v>
      </c>
      <c r="AU55" s="198">
        <v>0.9</v>
      </c>
      <c r="AV55" s="198">
        <v>1</v>
      </c>
    </row>
    <row r="56" spans="20:50" x14ac:dyDescent="0.2">
      <c r="AP56" s="199" t="s">
        <v>365</v>
      </c>
      <c r="AQ56" s="85">
        <v>22</v>
      </c>
      <c r="AR56" s="198">
        <v>0.3</v>
      </c>
      <c r="AS56" s="198">
        <v>0.6</v>
      </c>
      <c r="AT56" s="198">
        <v>0.9</v>
      </c>
      <c r="AU56" s="198">
        <v>0.95</v>
      </c>
      <c r="AV56" s="198">
        <v>1</v>
      </c>
    </row>
    <row r="57" spans="20:50" x14ac:dyDescent="0.2">
      <c r="AP57" s="199" t="s">
        <v>366</v>
      </c>
      <c r="AQ57" s="85">
        <v>23</v>
      </c>
      <c r="AR57" s="198">
        <v>0.3</v>
      </c>
      <c r="AS57" s="198">
        <v>0.6</v>
      </c>
      <c r="AT57" s="198">
        <v>0.7</v>
      </c>
      <c r="AU57" s="198">
        <v>0.9</v>
      </c>
      <c r="AV57" s="198">
        <v>1</v>
      </c>
    </row>
    <row r="58" spans="20:50" x14ac:dyDescent="0.2">
      <c r="AP58" s="199" t="s">
        <v>367</v>
      </c>
      <c r="AQ58" s="85">
        <v>33</v>
      </c>
      <c r="AR58" s="198">
        <v>0</v>
      </c>
      <c r="AS58" s="198">
        <v>0.3</v>
      </c>
      <c r="AT58" s="198">
        <v>0.6</v>
      </c>
      <c r="AU58" s="198">
        <v>0.9</v>
      </c>
      <c r="AV58" s="198">
        <v>1</v>
      </c>
      <c r="AW58" s="85"/>
    </row>
    <row r="60" spans="20:50" x14ac:dyDescent="0.2">
      <c r="AQ60" s="85"/>
      <c r="AW60" s="85"/>
      <c r="AX60" s="85"/>
    </row>
    <row r="61" spans="20:50" x14ac:dyDescent="0.2">
      <c r="AP61" s="200"/>
      <c r="AQ61" s="85"/>
      <c r="AW61" s="85"/>
      <c r="AX61" s="85"/>
    </row>
    <row r="62" spans="20:50" x14ac:dyDescent="0.2">
      <c r="AP62" s="85"/>
      <c r="AQ62" s="85"/>
      <c r="AW62" s="85"/>
      <c r="AX62" s="85"/>
    </row>
    <row r="63" spans="20:50" x14ac:dyDescent="0.2">
      <c r="AP63" s="85"/>
      <c r="AQ63" s="85"/>
      <c r="AW63" s="85"/>
    </row>
    <row r="64" spans="20:50" x14ac:dyDescent="0.2">
      <c r="AP64" s="85"/>
      <c r="AQ64" s="85"/>
      <c r="AW64" s="85"/>
    </row>
    <row r="65" spans="42:43" x14ac:dyDescent="0.2">
      <c r="AP65" s="85"/>
      <c r="AQ65" s="85"/>
    </row>
    <row r="66" spans="42:43" x14ac:dyDescent="0.2">
      <c r="AP66" s="85"/>
      <c r="AQ66" s="85"/>
    </row>
  </sheetData>
  <sheetProtection algorithmName="SHA-512" hashValue="9IInmsmZzpoM/OGiu49WWah+nH9bSS2Syf9IZ4AzTGPWAgJYERvpyfsuYPz70pf9g4sJORKTDT6ZfPxkJVpN7A==" saltValue="jNP9L1G1dWP4kKc+Z7bViQ==" spinCount="100000" sheet="1" selectLockedCells="1"/>
  <mergeCells count="77">
    <mergeCell ref="O2:BQ2"/>
    <mergeCell ref="B3:G3"/>
    <mergeCell ref="H3:N3"/>
    <mergeCell ref="O3:P3"/>
    <mergeCell ref="Q3:R3"/>
    <mergeCell ref="BP3:BU4"/>
    <mergeCell ref="BL4:BN6"/>
    <mergeCell ref="B5:E5"/>
    <mergeCell ref="F5:G5"/>
    <mergeCell ref="H5:L5"/>
    <mergeCell ref="M5:N5"/>
    <mergeCell ref="O5:P5"/>
    <mergeCell ref="Q5:R5"/>
    <mergeCell ref="B6:E6"/>
    <mergeCell ref="F6:G6"/>
    <mergeCell ref="B4:G4"/>
    <mergeCell ref="H4:N4"/>
    <mergeCell ref="O4:P4"/>
    <mergeCell ref="Q4:R4"/>
    <mergeCell ref="BH4:BK6"/>
    <mergeCell ref="H6:L6"/>
    <mergeCell ref="M6:N6"/>
    <mergeCell ref="O6:P6"/>
    <mergeCell ref="Q6:R6"/>
    <mergeCell ref="B7:F7"/>
    <mergeCell ref="L7:R7"/>
    <mergeCell ref="C8:F8"/>
    <mergeCell ref="L8:R39"/>
    <mergeCell ref="C9:F9"/>
    <mergeCell ref="C10:F10"/>
    <mergeCell ref="C11:F11"/>
    <mergeCell ref="C12:F12"/>
    <mergeCell ref="C13:F13"/>
    <mergeCell ref="C14:F14"/>
    <mergeCell ref="C15:F15"/>
    <mergeCell ref="C16:F16"/>
    <mergeCell ref="C30:F30"/>
    <mergeCell ref="C17:F17"/>
    <mergeCell ref="C18:F18"/>
    <mergeCell ref="C19:F19"/>
    <mergeCell ref="BO34:BU37"/>
    <mergeCell ref="C35:F35"/>
    <mergeCell ref="C36:F36"/>
    <mergeCell ref="C37:F37"/>
    <mergeCell ref="BQ19:BU19"/>
    <mergeCell ref="C20:F20"/>
    <mergeCell ref="C21:F21"/>
    <mergeCell ref="BO21:BO29"/>
    <mergeCell ref="C22:F22"/>
    <mergeCell ref="C23:F23"/>
    <mergeCell ref="C24:F24"/>
    <mergeCell ref="C25:F25"/>
    <mergeCell ref="C26:F26"/>
    <mergeCell ref="C27:F27"/>
    <mergeCell ref="C28:F28"/>
    <mergeCell ref="C29:F29"/>
    <mergeCell ref="O41:P41"/>
    <mergeCell ref="C31:F31"/>
    <mergeCell ref="C32:F32"/>
    <mergeCell ref="C33:F33"/>
    <mergeCell ref="C34:F34"/>
    <mergeCell ref="Q41:R41"/>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s>
  <conditionalFormatting sqref="B8:F39">
    <cfRule type="expression" dxfId="259" priority="8" stopIfTrue="1">
      <formula>IF($Z8=1,TRUE,FALSE)</formula>
    </cfRule>
    <cfRule type="expression" dxfId="258" priority="9">
      <formula>IF($Z8=2,TRUE,FALSE)</formula>
    </cfRule>
  </conditionalFormatting>
  <conditionalFormatting sqref="C8:F39">
    <cfRule type="expression" dxfId="257" priority="1" stopIfTrue="1">
      <formula>IF($AF8=FALSE,TRUE,FALSE)</formula>
    </cfRule>
  </conditionalFormatting>
  <conditionalFormatting sqref="F5:G6 M5:P6">
    <cfRule type="expression" dxfId="256" priority="4" stopIfTrue="1">
      <formula>NOT($AU$4)</formula>
    </cfRule>
  </conditionalFormatting>
  <conditionalFormatting sqref="F6:G6">
    <cfRule type="cellIs" dxfId="255" priority="3" operator="equal">
      <formula>""</formula>
    </cfRule>
  </conditionalFormatting>
  <conditionalFormatting sqref="G8:K39">
    <cfRule type="expression" dxfId="254" priority="6" stopIfTrue="1">
      <formula>IF($Z8=1,TRUE,FALSE)</formula>
    </cfRule>
    <cfRule type="expression" dxfId="253" priority="7" stopIfTrue="1">
      <formula>IF($Z8=2,TRUE,FALSE)</formula>
    </cfRule>
  </conditionalFormatting>
  <conditionalFormatting sqref="H8:H39">
    <cfRule type="expression" dxfId="252" priority="10" stopIfTrue="1">
      <formula>IF($AB8=0,TRUE,FALSE)</formula>
    </cfRule>
  </conditionalFormatting>
  <conditionalFormatting sqref="H40:I41">
    <cfRule type="expression" dxfId="251" priority="2" stopIfTrue="1">
      <formula>IF($H$41="N/A",TRUE,FALSE)</formula>
    </cfRule>
  </conditionalFormatting>
  <conditionalFormatting sqref="H6:P6 O4:R4 B6 L8 L41 O41:R41">
    <cfRule type="containsBlanks" dxfId="250" priority="5">
      <formula>LEN(TRIM(B4))=0</formula>
    </cfRule>
  </conditionalFormatting>
  <conditionalFormatting sqref="J8:J39">
    <cfRule type="expression" dxfId="249" priority="14">
      <formula>IF($Z8=1,FALSE,OR($BE8,$BD8))</formula>
    </cfRule>
  </conditionalFormatting>
  <conditionalFormatting sqref="J8:K39 C8:F39">
    <cfRule type="expression" dxfId="248" priority="13">
      <formula>IF($Z8=1,FALSE,OR($AW8,$AX8,$AY8,$AZ8))</formula>
    </cfRule>
  </conditionalFormatting>
  <conditionalFormatting sqref="J8:K39">
    <cfRule type="expression" dxfId="247" priority="11" stopIfTrue="1">
      <formula>IF(ISNA($Z8),TRUE,FALSE)</formula>
    </cfRule>
  </conditionalFormatting>
  <conditionalFormatting sqref="K8:K39">
    <cfRule type="expression" dxfId="246" priority="12">
      <formula>IF(OR($Z8=1,$Z8=2),FALSE,OR($BC8,$BE8,$BF8))</formula>
    </cfRule>
  </conditionalFormatting>
  <dataValidations count="6">
    <dataValidation type="list" allowBlank="1" showInputMessage="1" showErrorMessage="1" sqref="F6:G6" xr:uid="{FA1793F4-6A38-4D7F-8AD8-03956C16BA9F}">
      <formula1>"No,Yes"</formula1>
    </dataValidation>
    <dataValidation type="list" allowBlank="1" showInputMessage="1" showErrorMessage="1" sqref="J8:J39" xr:uid="{589539F4-CD0C-49AF-9047-E2A587B04784}">
      <formula1>"NA,0,1,2,3,4,5,6,7,8,9,10,11,12,13,14,15"</formula1>
    </dataValidation>
    <dataValidation type="list" allowBlank="1" showInputMessage="1" showErrorMessage="1" sqref="K8:K39" xr:uid="{5CAFE794-6B30-4D5D-B8DB-E5EC243F6BB0}">
      <formula1>"D,0,1,2,3,4"</formula1>
    </dataValidation>
    <dataValidation showInputMessage="1" showErrorMessage="1" sqref="O41:R41" xr:uid="{53870DD2-64E5-4276-A7D8-C13752A4E5E6}"/>
    <dataValidation type="decimal" allowBlank="1" showInputMessage="1" showErrorMessage="1" sqref="O6:P6" xr:uid="{0E6F833A-E17F-43E4-969F-104BB12F63F7}">
      <formula1>0</formula1>
      <formula2>10</formula2>
    </dataValidation>
    <dataValidation type="date" allowBlank="1" showInputMessage="1" showErrorMessage="1" sqref="Q4:R4" xr:uid="{EE85E92B-6816-4B81-BEB0-0F965F085475}">
      <formula1>41151</formula1>
      <formula2>77433</formula2>
    </dataValidation>
  </dataValidations>
  <hyperlinks>
    <hyperlink ref="BP3" location="PF!A1" display="PF phase Summary Page" xr:uid="{FCA0B0D3-22DF-46B1-A564-940BDCD9F139}"/>
    <hyperlink ref="BP3:BU4" location="FQ!A1" display="FQ Summary Page" xr:uid="{09A8879F-208A-4FB1-AB24-B19119944661}"/>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0642"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240643"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240644"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240645"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240646"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1400E-3A6A-4C08-99D1-28F9304199E6}">
  <sheetPr codeName="Sheet3">
    <tabColor rgb="FF00B050"/>
  </sheetPr>
  <dimension ref="A1:N24"/>
  <sheetViews>
    <sheetView workbookViewId="0">
      <selection activeCell="I3" sqref="I3:N4"/>
    </sheetView>
  </sheetViews>
  <sheetFormatPr defaultColWidth="9.140625" defaultRowHeight="15" x14ac:dyDescent="0.25"/>
  <cols>
    <col min="1" max="1" width="33" style="461" bestFit="1" customWidth="1"/>
    <col min="2" max="2" width="12.28515625" style="461" customWidth="1"/>
    <col min="3" max="7" width="10.7109375" style="461" customWidth="1"/>
    <col min="8" max="16384" width="9.140625" style="461"/>
  </cols>
  <sheetData>
    <row r="1" spans="1:14" ht="15.75" thickBot="1" x14ac:dyDescent="0.3">
      <c r="A1" s="1272" t="s">
        <v>565</v>
      </c>
      <c r="B1" s="456" t="s">
        <v>566</v>
      </c>
      <c r="C1" s="457"/>
      <c r="D1" s="456" t="s">
        <v>404</v>
      </c>
      <c r="E1" s="458"/>
      <c r="F1" s="459"/>
      <c r="G1" s="460"/>
    </row>
    <row r="2" spans="1:14" ht="19.5" thickBot="1" x14ac:dyDescent="0.35">
      <c r="A2" s="1273"/>
      <c r="B2" s="456" t="s">
        <v>567</v>
      </c>
      <c r="C2" s="457"/>
      <c r="D2" s="457"/>
      <c r="E2" s="457"/>
      <c r="F2" s="457"/>
      <c r="G2" s="457"/>
      <c r="I2" s="483"/>
      <c r="J2" s="483"/>
      <c r="K2" s="483"/>
    </row>
    <row r="3" spans="1:14" ht="27" thickBot="1" x14ac:dyDescent="0.3">
      <c r="A3" s="1274"/>
      <c r="B3" s="462" t="s">
        <v>568</v>
      </c>
      <c r="C3" s="1275"/>
      <c r="D3" s="1276"/>
      <c r="E3" s="1277"/>
      <c r="F3" s="463" t="s">
        <v>569</v>
      </c>
      <c r="G3" s="464"/>
      <c r="I3" s="1033" t="s">
        <v>843</v>
      </c>
      <c r="J3" s="1033"/>
      <c r="K3" s="1033"/>
      <c r="L3" s="1033"/>
      <c r="M3" s="1033"/>
      <c r="N3" s="1033"/>
    </row>
    <row r="4" spans="1:14" ht="15.75" thickBot="1" x14ac:dyDescent="0.3">
      <c r="A4" s="465" t="s">
        <v>464</v>
      </c>
      <c r="B4" s="466"/>
      <c r="C4" s="467" t="s">
        <v>570</v>
      </c>
      <c r="D4" s="468"/>
      <c r="E4" s="468"/>
      <c r="F4" s="468"/>
      <c r="G4" s="469"/>
      <c r="I4" s="1033"/>
      <c r="J4" s="1033"/>
      <c r="K4" s="1033"/>
      <c r="L4" s="1033"/>
      <c r="M4" s="1033"/>
      <c r="N4" s="1033"/>
    </row>
    <row r="5" spans="1:14" x14ac:dyDescent="0.25">
      <c r="A5" s="470" t="s">
        <v>571</v>
      </c>
      <c r="B5" s="471"/>
      <c r="C5" s="1278"/>
      <c r="D5" s="1279"/>
      <c r="E5" s="1279"/>
      <c r="F5" s="1279"/>
      <c r="G5" s="1280"/>
    </row>
    <row r="6" spans="1:14" x14ac:dyDescent="0.25">
      <c r="A6" s="470" t="s">
        <v>572</v>
      </c>
      <c r="B6" s="471"/>
      <c r="C6" s="1281"/>
      <c r="D6" s="1282"/>
      <c r="E6" s="1282"/>
      <c r="F6" s="1282"/>
      <c r="G6" s="1283"/>
    </row>
    <row r="7" spans="1:14" x14ac:dyDescent="0.25">
      <c r="A7" s="470" t="s">
        <v>573</v>
      </c>
      <c r="B7" s="471"/>
      <c r="C7" s="1281"/>
      <c r="D7" s="1282"/>
      <c r="E7" s="1282"/>
      <c r="F7" s="1282"/>
      <c r="G7" s="1283"/>
    </row>
    <row r="8" spans="1:14" x14ac:dyDescent="0.25">
      <c r="A8" s="470" t="s">
        <v>574</v>
      </c>
      <c r="B8" s="471"/>
      <c r="C8" s="1281"/>
      <c r="D8" s="1282"/>
      <c r="E8" s="1282"/>
      <c r="F8" s="1282"/>
      <c r="G8" s="1283"/>
    </row>
    <row r="9" spans="1:14" x14ac:dyDescent="0.25">
      <c r="A9" s="470" t="s">
        <v>575</v>
      </c>
      <c r="B9" s="471"/>
      <c r="C9" s="1281"/>
      <c r="D9" s="1282"/>
      <c r="E9" s="1282"/>
      <c r="F9" s="1282"/>
      <c r="G9" s="1283"/>
    </row>
    <row r="10" spans="1:14" x14ac:dyDescent="0.25">
      <c r="A10" s="465" t="s">
        <v>466</v>
      </c>
      <c r="B10" s="471"/>
      <c r="C10" s="1281"/>
      <c r="D10" s="1282"/>
      <c r="E10" s="1282"/>
      <c r="F10" s="1282"/>
      <c r="G10" s="1283"/>
    </row>
    <row r="11" spans="1:14" x14ac:dyDescent="0.25">
      <c r="A11" s="470" t="s">
        <v>576</v>
      </c>
      <c r="B11" s="471"/>
      <c r="C11" s="1281"/>
      <c r="D11" s="1282"/>
      <c r="E11" s="1282"/>
      <c r="F11" s="1282"/>
      <c r="G11" s="1283"/>
    </row>
    <row r="12" spans="1:14" x14ac:dyDescent="0.25">
      <c r="A12" s="470" t="s">
        <v>577</v>
      </c>
      <c r="B12" s="471"/>
      <c r="C12" s="1281"/>
      <c r="D12" s="1282"/>
      <c r="E12" s="1282"/>
      <c r="F12" s="1282"/>
      <c r="G12" s="1283"/>
    </row>
    <row r="13" spans="1:14" x14ac:dyDescent="0.25">
      <c r="A13" s="470" t="s">
        <v>578</v>
      </c>
      <c r="B13" s="471"/>
      <c r="C13" s="1281"/>
      <c r="D13" s="1282"/>
      <c r="E13" s="1282"/>
      <c r="F13" s="1282"/>
      <c r="G13" s="1283"/>
    </row>
    <row r="14" spans="1:14" x14ac:dyDescent="0.25">
      <c r="A14" s="470" t="s">
        <v>579</v>
      </c>
      <c r="B14" s="471"/>
      <c r="C14" s="1281"/>
      <c r="D14" s="1282"/>
      <c r="E14" s="1282"/>
      <c r="F14" s="1282"/>
      <c r="G14" s="1283"/>
    </row>
    <row r="15" spans="1:14" x14ac:dyDescent="0.25">
      <c r="A15" s="470" t="s">
        <v>580</v>
      </c>
      <c r="B15" s="471"/>
      <c r="C15" s="1281"/>
      <c r="D15" s="1282"/>
      <c r="E15" s="1282"/>
      <c r="F15" s="1282"/>
      <c r="G15" s="1283"/>
    </row>
    <row r="16" spans="1:14" x14ac:dyDescent="0.25">
      <c r="A16" s="465" t="s">
        <v>468</v>
      </c>
      <c r="B16" s="471"/>
      <c r="C16" s="1281"/>
      <c r="D16" s="1282"/>
      <c r="E16" s="1282"/>
      <c r="F16" s="1282"/>
      <c r="G16" s="1283"/>
    </row>
    <row r="17" spans="1:7" x14ac:dyDescent="0.25">
      <c r="A17" s="470" t="s">
        <v>581</v>
      </c>
      <c r="B17" s="471"/>
      <c r="C17" s="1281"/>
      <c r="D17" s="1282"/>
      <c r="E17" s="1282"/>
      <c r="F17" s="1282"/>
      <c r="G17" s="1283"/>
    </row>
    <row r="18" spans="1:7" ht="15.75" thickBot="1" x14ac:dyDescent="0.3">
      <c r="A18" s="470" t="s">
        <v>582</v>
      </c>
      <c r="B18" s="471"/>
      <c r="C18" s="1284"/>
      <c r="D18" s="1285"/>
      <c r="E18" s="1285"/>
      <c r="F18" s="1285"/>
      <c r="G18" s="1286"/>
    </row>
    <row r="19" spans="1:7" x14ac:dyDescent="0.25">
      <c r="A19" s="470" t="s">
        <v>583</v>
      </c>
      <c r="B19" s="471"/>
      <c r="C19" s="472"/>
      <c r="D19" s="473"/>
      <c r="E19" s="473"/>
      <c r="F19" s="473"/>
      <c r="G19" s="474"/>
    </row>
    <row r="20" spans="1:7" ht="15.75" thickBot="1" x14ac:dyDescent="0.3">
      <c r="A20" s="465" t="s">
        <v>584</v>
      </c>
      <c r="B20" s="471"/>
      <c r="C20" s="472"/>
      <c r="D20" s="1282" t="s">
        <v>428</v>
      </c>
      <c r="E20" s="1282"/>
      <c r="F20" s="1282"/>
      <c r="G20" s="474"/>
    </row>
    <row r="21" spans="1:7" x14ac:dyDescent="0.25">
      <c r="A21" s="470" t="s">
        <v>585</v>
      </c>
      <c r="B21" s="471"/>
      <c r="C21" s="472"/>
      <c r="D21" s="1266"/>
      <c r="E21" s="1267"/>
      <c r="F21" s="1268"/>
      <c r="G21" s="474"/>
    </row>
    <row r="22" spans="1:7" ht="15.75" thickBot="1" x14ac:dyDescent="0.3">
      <c r="A22" s="470" t="s">
        <v>586</v>
      </c>
      <c r="B22" s="471"/>
      <c r="C22" s="472"/>
      <c r="D22" s="1269"/>
      <c r="E22" s="1270"/>
      <c r="F22" s="1271"/>
      <c r="G22" s="474"/>
    </row>
    <row r="23" spans="1:7" x14ac:dyDescent="0.25">
      <c r="A23" s="470"/>
      <c r="B23" s="471"/>
      <c r="C23" s="472"/>
      <c r="D23" s="473"/>
      <c r="E23" s="473"/>
      <c r="F23" s="473"/>
      <c r="G23" s="474"/>
    </row>
    <row r="24" spans="1:7" ht="15.75" thickBot="1" x14ac:dyDescent="0.3">
      <c r="A24" s="475" t="s">
        <v>587</v>
      </c>
      <c r="B24" s="476"/>
      <c r="C24" s="477"/>
      <c r="D24" s="478"/>
      <c r="E24" s="478"/>
      <c r="F24" s="478"/>
      <c r="G24" s="479"/>
    </row>
  </sheetData>
  <sheetProtection algorithmName="SHA-512" hashValue="jsnsXp50Bbr8w+wJkxJaDB2YGwdY6gtZmmqJLVet2by8gf2kFTB45pewNdurOcsTBWmHpqMlL76fVVamm0PFDA==" saltValue="xAqXJiyC99E8Yya76TUvDA==" spinCount="100000" sheet="1"/>
  <mergeCells count="6">
    <mergeCell ref="I3:N4"/>
    <mergeCell ref="D21:F22"/>
    <mergeCell ref="A1:A3"/>
    <mergeCell ref="C3:E3"/>
    <mergeCell ref="C5:G18"/>
    <mergeCell ref="D20:F20"/>
  </mergeCells>
  <conditionalFormatting sqref="E1 C1:C3 G3 C5 D21">
    <cfRule type="containsBlanks" dxfId="245" priority="1">
      <formula>LEN(TRIM(C1))=0</formula>
    </cfRule>
  </conditionalFormatting>
  <hyperlinks>
    <hyperlink ref="I3" location="PF!A1" display="PF phase Summary Page" xr:uid="{17CE3F99-0412-4E7D-996E-EC9507DC46AE}"/>
    <hyperlink ref="I3:N4" location="FQ!A1" display="FQ Summary Page" xr:uid="{D8FED27A-5727-458D-97CC-20A7A332441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8849" r:id="rId3" name="IP_Signature">
              <controlPr defaultSize="0" print="0" autoFill="0" autoPict="0" macro="[0]!IP_signature">
                <anchor moveWithCells="1" sizeWithCells="1">
                  <from>
                    <xdr:col>3</xdr:col>
                    <xdr:colOff>0</xdr:colOff>
                    <xdr:row>20</xdr:row>
                    <xdr:rowOff>0</xdr:rowOff>
                  </from>
                  <to>
                    <xdr:col>6</xdr:col>
                    <xdr:colOff>0</xdr:colOff>
                    <xdr:row>22</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AB42C-2D33-4F27-9FC9-B3DD6FE0B9DD}">
  <sheetPr codeName="Sheet24">
    <tabColor rgb="FF00B050"/>
    <pageSetUpPr autoPageBreaks="0"/>
  </sheetPr>
  <dimension ref="B1:BU66"/>
  <sheetViews>
    <sheetView showGridLines="0" showRowColHeaders="0" topLeftCell="A2" zoomScaleNormal="100" zoomScaleSheetLayoutView="100" workbookViewId="0">
      <selection activeCell="BP3" sqref="BP3:BU4"/>
    </sheetView>
  </sheetViews>
  <sheetFormatPr defaultColWidth="9.140625" defaultRowHeight="12.75" x14ac:dyDescent="0.2"/>
  <cols>
    <col min="1" max="1" width="1.5703125" style="87" customWidth="1"/>
    <col min="2" max="2" width="3.5703125" style="87" customWidth="1"/>
    <col min="3" max="3" width="5.5703125" style="87" customWidth="1"/>
    <col min="4" max="4" width="9.140625" style="87" customWidth="1"/>
    <col min="5" max="5" width="14" style="87" customWidth="1"/>
    <col min="6" max="6" width="7.85546875" style="87" customWidth="1"/>
    <col min="7" max="11" width="5.140625" style="87" customWidth="1"/>
    <col min="12" max="12" width="21.5703125" style="87" customWidth="1"/>
    <col min="13" max="13" width="6.5703125" style="87" customWidth="1"/>
    <col min="14" max="14" width="12.5703125" style="87" customWidth="1"/>
    <col min="15" max="15" width="7.85546875" style="87" customWidth="1"/>
    <col min="16" max="16" width="2.7109375" style="87" customWidth="1"/>
    <col min="17" max="17" width="4.85546875" style="87" customWidth="1"/>
    <col min="18" max="18" width="7.28515625" style="87" customWidth="1"/>
    <col min="19" max="19" width="1.7109375" style="87" customWidth="1"/>
    <col min="20" max="20" width="19.140625" style="88" hidden="1" customWidth="1"/>
    <col min="21" max="21" width="31.140625" style="88" hidden="1" customWidth="1"/>
    <col min="22" max="22" width="5.140625" style="88" hidden="1" customWidth="1"/>
    <col min="23" max="24" width="6.28515625" style="88" hidden="1" customWidth="1"/>
    <col min="25" max="25" width="8.42578125" style="88" hidden="1" customWidth="1"/>
    <col min="26" max="26" width="7.85546875" style="88" hidden="1" customWidth="1"/>
    <col min="27" max="27" width="10.7109375" style="88" hidden="1" customWidth="1"/>
    <col min="28" max="28" width="8" style="88" hidden="1" customWidth="1"/>
    <col min="29" max="31" width="5.140625" style="88" hidden="1" customWidth="1"/>
    <col min="32" max="34" width="5.85546875" style="88" hidden="1" customWidth="1"/>
    <col min="35" max="35" width="8.5703125" style="89" hidden="1" customWidth="1"/>
    <col min="36" max="36" width="7" style="88" hidden="1" customWidth="1"/>
    <col min="37" max="38" width="5.28515625" style="88" hidden="1" customWidth="1"/>
    <col min="39" max="40" width="7" style="88" hidden="1" customWidth="1"/>
    <col min="41" max="41" width="5.140625" style="88" hidden="1" customWidth="1"/>
    <col min="42" max="42" width="11.28515625" style="88" hidden="1" customWidth="1"/>
    <col min="43" max="43" width="6.42578125" style="88" hidden="1" customWidth="1"/>
    <col min="44" max="44" width="8.28515625" style="88" hidden="1" customWidth="1"/>
    <col min="45" max="45" width="8.85546875" style="88" hidden="1" customWidth="1"/>
    <col min="46" max="46" width="10.7109375" style="88" hidden="1" customWidth="1"/>
    <col min="47" max="47" width="8.85546875" style="88" hidden="1" customWidth="1"/>
    <col min="48" max="48" width="6.28515625" style="88" hidden="1" customWidth="1"/>
    <col min="49" max="49" width="10" style="88" hidden="1" customWidth="1"/>
    <col min="50" max="50" width="7.5703125" style="88" hidden="1" customWidth="1"/>
    <col min="51" max="51" width="7" style="88" hidden="1" customWidth="1"/>
    <col min="52" max="52" width="8.140625" style="88" hidden="1" customWidth="1"/>
    <col min="53" max="53" width="12.5703125" style="88" hidden="1" customWidth="1"/>
    <col min="54" max="54" width="7.7109375" style="88" hidden="1" customWidth="1"/>
    <col min="55" max="55" width="12.7109375" style="88" hidden="1" customWidth="1"/>
    <col min="56" max="56" width="7" style="88" hidden="1" customWidth="1"/>
    <col min="57" max="57" width="15.5703125" style="88" hidden="1" customWidth="1"/>
    <col min="58" max="58" width="9.140625" style="88" hidden="1" customWidth="1"/>
    <col min="59" max="59" width="10" style="88" hidden="1" customWidth="1"/>
    <col min="60" max="60" width="5.28515625" style="88" hidden="1" customWidth="1"/>
    <col min="61" max="61" width="4" style="88" hidden="1" customWidth="1"/>
    <col min="62" max="62" width="4.7109375" style="88" hidden="1" customWidth="1"/>
    <col min="63" max="63" width="5.5703125" style="88" hidden="1" customWidth="1"/>
    <col min="64" max="64" width="5.28515625" style="88" hidden="1" customWidth="1"/>
    <col min="65" max="65" width="4" style="88" hidden="1" customWidth="1"/>
    <col min="66" max="66" width="5.5703125" style="88" hidden="1" customWidth="1"/>
    <col min="67" max="67" width="5.140625" style="90" customWidth="1"/>
    <col min="68" max="73" width="5.140625" style="87" customWidth="1"/>
    <col min="74" max="16384" width="9.140625" style="87"/>
  </cols>
  <sheetData>
    <row r="1" spans="2:73" s="84" customFormat="1" ht="12" hidden="1" x14ac:dyDescent="0.2">
      <c r="T1" s="85"/>
      <c r="U1" s="85"/>
      <c r="V1" s="85"/>
      <c r="W1" s="85"/>
      <c r="X1" s="85"/>
      <c r="Y1" s="85"/>
      <c r="Z1" s="85"/>
      <c r="AA1" s="85"/>
      <c r="AB1" s="85"/>
      <c r="AC1" s="85"/>
      <c r="AD1" s="85"/>
      <c r="AE1" s="85"/>
      <c r="AF1" s="85"/>
      <c r="AG1" s="85"/>
      <c r="AH1" s="85"/>
      <c r="AI1" s="86"/>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row>
    <row r="2" spans="2:73" ht="13.5" thickBot="1" x14ac:dyDescent="0.25"/>
    <row r="3" spans="2:73" ht="13.5" customHeight="1" thickTop="1" x14ac:dyDescent="0.2">
      <c r="B3" s="967" t="s">
        <v>267</v>
      </c>
      <c r="C3" s="968"/>
      <c r="D3" s="968"/>
      <c r="E3" s="968"/>
      <c r="F3" s="968"/>
      <c r="G3" s="969"/>
      <c r="H3" s="970" t="s">
        <v>588</v>
      </c>
      <c r="I3" s="971"/>
      <c r="J3" s="971"/>
      <c r="K3" s="971"/>
      <c r="L3" s="971"/>
      <c r="M3" s="971"/>
      <c r="N3" s="972"/>
      <c r="O3" s="973" t="s">
        <v>269</v>
      </c>
      <c r="P3" s="974"/>
      <c r="Q3" s="973" t="s">
        <v>270</v>
      </c>
      <c r="R3" s="975"/>
      <c r="S3" s="91"/>
      <c r="T3" s="92"/>
      <c r="U3" s="92"/>
      <c r="V3" s="92"/>
      <c r="W3" s="92"/>
      <c r="X3" s="92"/>
      <c r="Y3" s="92"/>
      <c r="Z3" s="92"/>
      <c r="AA3" s="92"/>
      <c r="AB3" s="92"/>
      <c r="AC3" s="92"/>
      <c r="AD3" s="92"/>
      <c r="AE3" s="92"/>
      <c r="AF3" s="92"/>
      <c r="AG3" s="92"/>
      <c r="AH3" s="92"/>
      <c r="AI3" s="93"/>
      <c r="AJ3" s="92"/>
      <c r="AK3" s="92"/>
      <c r="AL3" s="92"/>
      <c r="AM3" s="92"/>
      <c r="AN3" s="92"/>
      <c r="AO3" s="92"/>
      <c r="AP3" s="92"/>
      <c r="AQ3" s="85"/>
      <c r="AR3" s="85"/>
      <c r="AW3" s="88" t="s">
        <v>271</v>
      </c>
      <c r="AX3" s="88" t="s">
        <v>272</v>
      </c>
      <c r="AY3" s="88" t="s">
        <v>273</v>
      </c>
      <c r="AZ3" s="88" t="s">
        <v>274</v>
      </c>
      <c r="BA3" s="88" t="s">
        <v>275</v>
      </c>
      <c r="BB3" s="88" t="s">
        <v>276</v>
      </c>
      <c r="BP3" s="1032" t="s">
        <v>843</v>
      </c>
      <c r="BQ3" s="1032"/>
      <c r="BR3" s="1032"/>
      <c r="BS3" s="1032"/>
      <c r="BT3" s="1032"/>
      <c r="BU3" s="1032"/>
    </row>
    <row r="4" spans="2:73" s="94" customFormat="1" ht="15.75" customHeight="1" x14ac:dyDescent="0.2">
      <c r="B4" s="994" t="s">
        <v>277</v>
      </c>
      <c r="C4" s="995"/>
      <c r="D4" s="995"/>
      <c r="E4" s="995"/>
      <c r="F4" s="995"/>
      <c r="G4" s="996"/>
      <c r="H4" s="937" t="s">
        <v>753</v>
      </c>
      <c r="I4" s="938"/>
      <c r="J4" s="938"/>
      <c r="K4" s="938"/>
      <c r="L4" s="938"/>
      <c r="M4" s="938"/>
      <c r="N4" s="939"/>
      <c r="O4" s="997"/>
      <c r="P4" s="998"/>
      <c r="Q4" s="999"/>
      <c r="R4" s="1000"/>
      <c r="S4" s="95"/>
      <c r="T4" s="96"/>
      <c r="U4" s="96"/>
      <c r="V4" s="96"/>
      <c r="W4" s="96"/>
      <c r="X4" s="96"/>
      <c r="Y4" s="96"/>
      <c r="Z4" s="96"/>
      <c r="AA4" s="96"/>
      <c r="AB4" s="96"/>
      <c r="AC4" s="96"/>
      <c r="AD4" s="96"/>
      <c r="AE4" s="96"/>
      <c r="AF4" s="96"/>
      <c r="AG4" s="96"/>
      <c r="AH4" s="96"/>
      <c r="AI4" s="97"/>
      <c r="AJ4" s="96"/>
      <c r="AK4" s="96"/>
      <c r="AL4" s="96"/>
      <c r="AM4" s="96"/>
      <c r="AN4" s="96"/>
      <c r="AO4" s="96"/>
      <c r="AP4" s="96"/>
      <c r="AQ4" s="98"/>
      <c r="AR4" s="98"/>
      <c r="AS4" s="99"/>
      <c r="AT4" s="100" t="s">
        <v>278</v>
      </c>
      <c r="AU4" s="101" t="b">
        <v>1</v>
      </c>
      <c r="AV4" s="99">
        <v>0</v>
      </c>
      <c r="AW4" s="99" t="b">
        <f>IF(ISERR(OR(AW8:AW39)),"UNK",IF(AND(graded_aca_events&gt;=1,input_test),FALSE,OR(AW8:AW39)))</f>
        <v>1</v>
      </c>
      <c r="AX4" s="99" t="b">
        <f>IF(ISERR(OR(AX8:AX39)),"UNK",IF(AND(graded_aca_events&gt;=1,input_test),FALSE,OR(AX8:AX39)))</f>
        <v>1</v>
      </c>
      <c r="AY4" s="99" t="b">
        <f>IF(ISERR(OR(AY8:AY39)),"UNK",OR(AY8:AY39))</f>
        <v>0</v>
      </c>
      <c r="AZ4" s="99" t="b">
        <f>IF(ISERR(OR(AZ8:AZ39)),"UNK",OR(AZ8:AZ39))</f>
        <v>0</v>
      </c>
      <c r="BA4" s="99" t="b">
        <f>IF(ISERR(OR(BA8:BA39)),"UNK",OR(BA8:BA39))</f>
        <v>0</v>
      </c>
      <c r="BB4" s="99" t="b">
        <f>IF(ISERR(OR(BB8:BB39)),"UNK",OR(BB8:BB39))</f>
        <v>0</v>
      </c>
      <c r="BC4" s="102" t="b">
        <f>OR(BC8:BC39)</f>
        <v>0</v>
      </c>
      <c r="BD4" s="102" t="b">
        <f>OR(BD8:BD39)</f>
        <v>0</v>
      </c>
      <c r="BE4" s="102" t="b">
        <f>OR(BE8:BE39)</f>
        <v>0</v>
      </c>
      <c r="BF4" s="102"/>
      <c r="BG4" s="99"/>
      <c r="BH4" s="944" t="s">
        <v>279</v>
      </c>
      <c r="BI4" s="944"/>
      <c r="BJ4" s="944"/>
      <c r="BK4" s="944"/>
      <c r="BL4" s="977" t="s">
        <v>280</v>
      </c>
      <c r="BM4" s="977"/>
      <c r="BN4" s="977"/>
      <c r="BO4" s="90"/>
      <c r="BP4" s="1032"/>
      <c r="BQ4" s="1032"/>
      <c r="BR4" s="1032"/>
      <c r="BS4" s="1032"/>
      <c r="BT4" s="1032"/>
      <c r="BU4" s="1032"/>
    </row>
    <row r="5" spans="2:73" s="91" customFormat="1" ht="7.5" customHeight="1" x14ac:dyDescent="0.25">
      <c r="B5" s="978" t="s">
        <v>281</v>
      </c>
      <c r="C5" s="979"/>
      <c r="D5" s="979"/>
      <c r="E5" s="980"/>
      <c r="F5" s="981" t="s">
        <v>282</v>
      </c>
      <c r="G5" s="980"/>
      <c r="H5" s="981" t="s">
        <v>283</v>
      </c>
      <c r="I5" s="979"/>
      <c r="J5" s="979"/>
      <c r="K5" s="979"/>
      <c r="L5" s="980"/>
      <c r="M5" s="982" t="s">
        <v>284</v>
      </c>
      <c r="N5" s="983"/>
      <c r="O5" s="984" t="s">
        <v>285</v>
      </c>
      <c r="P5" s="985"/>
      <c r="Q5" s="981" t="str">
        <f>IF(AU41=0,"GRADE","GRADE (inc. bonus)")</f>
        <v>GRADE</v>
      </c>
      <c r="R5" s="986"/>
      <c r="T5" s="92"/>
      <c r="U5" s="92"/>
      <c r="V5" s="92"/>
      <c r="W5" s="92"/>
      <c r="X5" s="92"/>
      <c r="Y5" s="92"/>
      <c r="Z5" s="92"/>
      <c r="AA5" s="92"/>
      <c r="AB5" s="92"/>
      <c r="AC5" s="92"/>
      <c r="AD5" s="92"/>
      <c r="AE5" s="92"/>
      <c r="AF5" s="92"/>
      <c r="AG5" s="92"/>
      <c r="AH5" s="92"/>
      <c r="AI5" s="93"/>
      <c r="AJ5" s="92"/>
      <c r="AK5" s="92"/>
      <c r="AL5" s="92"/>
      <c r="AM5" s="92"/>
      <c r="AN5" s="92"/>
      <c r="AO5" s="92"/>
      <c r="AP5" s="92"/>
      <c r="AQ5" s="92"/>
      <c r="AR5" s="92"/>
      <c r="AS5" s="92"/>
      <c r="AT5" s="92"/>
      <c r="AU5" s="92"/>
      <c r="AV5" s="92"/>
      <c r="AW5" s="92"/>
      <c r="AX5" s="92"/>
      <c r="AY5" s="92"/>
      <c r="AZ5" s="92"/>
      <c r="BA5" s="92"/>
      <c r="BB5" s="92"/>
      <c r="BC5" s="92"/>
      <c r="BD5" s="92"/>
      <c r="BE5" s="92"/>
      <c r="BF5" s="92"/>
      <c r="BG5" s="92"/>
      <c r="BH5" s="944"/>
      <c r="BI5" s="944"/>
      <c r="BJ5" s="944"/>
      <c r="BK5" s="944"/>
      <c r="BL5" s="977"/>
      <c r="BM5" s="977"/>
      <c r="BN5" s="977"/>
      <c r="BO5" s="103"/>
    </row>
    <row r="6" spans="2:73" s="94" customFormat="1" ht="15.75" customHeight="1" thickBot="1" x14ac:dyDescent="0.25">
      <c r="B6" s="1001"/>
      <c r="C6" s="1002"/>
      <c r="D6" s="1002"/>
      <c r="E6" s="1003"/>
      <c r="F6" s="1004" t="s">
        <v>457</v>
      </c>
      <c r="G6" s="1005"/>
      <c r="H6" s="1006"/>
      <c r="I6" s="1007"/>
      <c r="J6" s="1007"/>
      <c r="K6" s="1007"/>
      <c r="L6" s="1005"/>
      <c r="M6" s="1008"/>
      <c r="N6" s="1009"/>
      <c r="O6" s="1010"/>
      <c r="P6" s="1011"/>
      <c r="Q6" s="949" t="str">
        <f>IF((graded_aca_events+graded_amn_events)&lt;1,"0",IF(ISERROR(AR46),"",IF(F41&lt;&gt;"COMPLETE","INCOMPLETE",AR46)))</f>
        <v>0</v>
      </c>
      <c r="R6" s="950"/>
      <c r="S6" s="87"/>
      <c r="T6" s="99"/>
      <c r="U6" s="99">
        <v>2</v>
      </c>
      <c r="V6" s="99">
        <v>3</v>
      </c>
      <c r="W6" s="99">
        <v>6</v>
      </c>
      <c r="X6" s="99">
        <v>7</v>
      </c>
      <c r="Y6" s="99">
        <v>11</v>
      </c>
      <c r="Z6" s="99">
        <v>8</v>
      </c>
      <c r="AA6" s="99">
        <v>9</v>
      </c>
      <c r="AB6" s="99">
        <v>10</v>
      </c>
      <c r="AC6" s="99">
        <v>5</v>
      </c>
      <c r="AD6" s="99">
        <v>4</v>
      </c>
      <c r="AE6" s="99">
        <v>12</v>
      </c>
      <c r="AF6" s="99">
        <v>13</v>
      </c>
      <c r="AG6" s="99"/>
      <c r="AH6" s="99"/>
      <c r="AI6" s="104"/>
      <c r="AJ6" s="105"/>
      <c r="AK6" s="105"/>
      <c r="AL6" s="105"/>
      <c r="AM6" s="105" t="b">
        <f>IF(COUNT(AM8:AM39)&gt;0,TRUE,FALSE)</f>
        <v>0</v>
      </c>
      <c r="AN6" s="105" t="b">
        <f>IF(COUNT(AN8:AN39)&gt;0,TRUE,FALSE)</f>
        <v>0</v>
      </c>
      <c r="AO6" s="99"/>
      <c r="AP6" s="99"/>
      <c r="AQ6" s="98"/>
      <c r="AR6" s="98"/>
      <c r="AS6" s="99"/>
      <c r="AT6" s="106">
        <v>0.1</v>
      </c>
      <c r="AU6" s="99"/>
      <c r="AV6" s="107">
        <f>0.01*input_maxb</f>
        <v>0</v>
      </c>
      <c r="AW6" s="108" t="s">
        <v>287</v>
      </c>
      <c r="AX6" s="109"/>
      <c r="AY6" s="108" t="s">
        <v>288</v>
      </c>
      <c r="AZ6" s="109"/>
      <c r="BA6" s="110" t="s">
        <v>289</v>
      </c>
      <c r="BB6" s="110"/>
      <c r="BC6" s="108" t="s">
        <v>290</v>
      </c>
      <c r="BD6" s="110"/>
      <c r="BE6" s="111"/>
      <c r="BF6" s="112"/>
      <c r="BG6" s="99" t="s">
        <v>291</v>
      </c>
      <c r="BH6" s="944"/>
      <c r="BI6" s="944"/>
      <c r="BJ6" s="944"/>
      <c r="BK6" s="944"/>
      <c r="BL6" s="977"/>
      <c r="BM6" s="977"/>
      <c r="BN6" s="977"/>
      <c r="BO6" s="90"/>
    </row>
    <row r="7" spans="2:73" ht="27" customHeight="1" thickBot="1" x14ac:dyDescent="0.25">
      <c r="B7" s="951" t="s">
        <v>292</v>
      </c>
      <c r="C7" s="952"/>
      <c r="D7" s="952"/>
      <c r="E7" s="952"/>
      <c r="F7" s="953"/>
      <c r="G7" s="113" t="s">
        <v>293</v>
      </c>
      <c r="H7" s="114" t="s">
        <v>294</v>
      </c>
      <c r="I7" s="115" t="s">
        <v>295</v>
      </c>
      <c r="J7" s="116" t="s">
        <v>296</v>
      </c>
      <c r="K7" s="117" t="s">
        <v>297</v>
      </c>
      <c r="L7" s="954" t="s">
        <v>298</v>
      </c>
      <c r="M7" s="952"/>
      <c r="N7" s="952"/>
      <c r="O7" s="952"/>
      <c r="P7" s="952"/>
      <c r="Q7" s="952"/>
      <c r="R7" s="955"/>
      <c r="T7" s="118" t="s">
        <v>299</v>
      </c>
      <c r="U7" s="118"/>
      <c r="V7" s="118" t="s">
        <v>300</v>
      </c>
      <c r="W7" s="118" t="s">
        <v>301</v>
      </c>
      <c r="X7" s="118" t="s">
        <v>302</v>
      </c>
      <c r="Y7" s="118" t="s">
        <v>303</v>
      </c>
      <c r="Z7" s="118" t="s">
        <v>304</v>
      </c>
      <c r="AA7" s="118" t="s">
        <v>305</v>
      </c>
      <c r="AB7" s="118" t="s">
        <v>306</v>
      </c>
      <c r="AC7" s="118" t="s">
        <v>307</v>
      </c>
      <c r="AD7" s="118" t="s">
        <v>308</v>
      </c>
      <c r="AE7" s="118" t="s">
        <v>309</v>
      </c>
      <c r="AF7" s="118" t="s">
        <v>310</v>
      </c>
      <c r="AG7" s="118" t="s">
        <v>311</v>
      </c>
      <c r="AH7" s="118" t="s">
        <v>312</v>
      </c>
      <c r="AI7" s="119" t="s">
        <v>313</v>
      </c>
      <c r="AJ7" s="120" t="s">
        <v>314</v>
      </c>
      <c r="AK7" s="121" t="s">
        <v>315</v>
      </c>
      <c r="AL7" s="121" t="s">
        <v>316</v>
      </c>
      <c r="AM7" s="121" t="s">
        <v>317</v>
      </c>
      <c r="AN7" s="121" t="s">
        <v>318</v>
      </c>
      <c r="AO7" s="120" t="s">
        <v>319</v>
      </c>
      <c r="AP7" s="120" t="s">
        <v>320</v>
      </c>
      <c r="AQ7" s="122" t="s">
        <v>321</v>
      </c>
      <c r="AR7" s="123" t="s">
        <v>1</v>
      </c>
      <c r="AS7" s="122" t="s">
        <v>322</v>
      </c>
      <c r="AT7" s="123" t="s">
        <v>1</v>
      </c>
      <c r="AU7" s="122" t="s">
        <v>323</v>
      </c>
      <c r="AV7" s="124" t="s">
        <v>324</v>
      </c>
      <c r="AW7" s="125" t="s">
        <v>325</v>
      </c>
      <c r="AX7" s="126" t="s">
        <v>326</v>
      </c>
      <c r="AY7" s="125" t="s">
        <v>327</v>
      </c>
      <c r="AZ7" s="126" t="s">
        <v>328</v>
      </c>
      <c r="BA7" s="127" t="s">
        <v>329</v>
      </c>
      <c r="BB7" s="127" t="s">
        <v>330</v>
      </c>
      <c r="BC7" s="128" t="s">
        <v>331</v>
      </c>
      <c r="BD7" s="129" t="s">
        <v>332</v>
      </c>
      <c r="BE7" s="130" t="s">
        <v>333</v>
      </c>
      <c r="BF7" s="131" t="s">
        <v>334</v>
      </c>
      <c r="BH7" s="88" t="s">
        <v>335</v>
      </c>
      <c r="BI7" s="88" t="s">
        <v>336</v>
      </c>
      <c r="BJ7" s="118" t="s">
        <v>337</v>
      </c>
      <c r="BK7" s="88" t="s">
        <v>338</v>
      </c>
      <c r="BL7" s="88" t="s">
        <v>335</v>
      </c>
      <c r="BM7" s="88" t="s">
        <v>336</v>
      </c>
      <c r="BN7" s="88" t="s">
        <v>338</v>
      </c>
    </row>
    <row r="8" spans="2:73" ht="12.95" customHeight="1" x14ac:dyDescent="0.2">
      <c r="B8" s="132" t="str">
        <f>IF(ISNA(Z8),"",IF(OR(Z8=1,Z8=2),"",1))</f>
        <v/>
      </c>
      <c r="C8" s="956" t="str">
        <f t="shared" ref="C8:C36" si="0">IF(ISNA(Z8),"",CONCATENATE($U8,IF(ISNUMBER(AI8),TEXT(ROUND($AI8,3)," (0.0%)"),""),IF(AU8&gt;0," Bonus","")))</f>
        <v>Airmanship Tasks (10.0%)</v>
      </c>
      <c r="D8" s="956"/>
      <c r="E8" s="956"/>
      <c r="F8" s="957"/>
      <c r="G8" s="133" t="str">
        <f t="shared" ref="G8:G39" si="1">BH8</f>
        <v/>
      </c>
      <c r="H8" s="134" t="str">
        <f t="shared" ref="H8:I39" si="2">BJ8</f>
        <v/>
      </c>
      <c r="I8" s="135" t="str">
        <f t="shared" si="2"/>
        <v/>
      </c>
      <c r="J8" s="136"/>
      <c r="K8" s="137"/>
      <c r="L8" s="1012"/>
      <c r="M8" s="1013"/>
      <c r="N8" s="1013"/>
      <c r="O8" s="1013"/>
      <c r="P8" s="1013"/>
      <c r="Q8" s="1013"/>
      <c r="R8" s="1014"/>
      <c r="T8" s="88">
        <v>1</v>
      </c>
      <c r="U8" s="88" t="s">
        <v>339</v>
      </c>
      <c r="V8" s="453" t="s">
        <v>340</v>
      </c>
      <c r="W8" s="453" t="s">
        <v>340</v>
      </c>
      <c r="X8" s="453" t="s">
        <v>340</v>
      </c>
      <c r="Y8" s="453" t="s">
        <v>340</v>
      </c>
      <c r="Z8" s="453">
        <v>1</v>
      </c>
      <c r="AA8" s="453">
        <v>0</v>
      </c>
      <c r="AB8" s="453">
        <v>0</v>
      </c>
      <c r="AC8" s="453" t="s">
        <v>340</v>
      </c>
      <c r="AD8" s="453" t="s">
        <v>340</v>
      </c>
      <c r="AE8" s="453">
        <v>0</v>
      </c>
      <c r="AF8" s="453" t="s">
        <v>340</v>
      </c>
      <c r="AG8" s="453" t="str">
        <f t="shared" ref="AG8:AG39" si="3">IF(CrewSoloQual="Yes",$AC8,$AD8)</f>
        <v/>
      </c>
      <c r="AH8" s="453" t="str">
        <f t="shared" ref="AH8:AH39" si="4">IF(ISNUMBER(AC8),IF(CrewSoloQual="Yes",$AC8-1,$AD8-1),"")</f>
        <v/>
      </c>
      <c r="AI8" s="138">
        <f>IF(NOT(OR(Z8=1,Z8=2)),IF(AQ8&gt;0,$AR$44*AQ8/SUMIF($AQ$8:$AQ$39,"&gt;0"),IF(AU8&gt;0,$AV$44*AU8/SUMIF($AU$8:$AU$39,"&gt;0"),IF(AS8&gt;0,$AT$44*AS8/SUMIF($AS$8:$AS$39,"&gt;0"),""))),IF(SUMIF(AJ9:$AJ$39,"=" &amp; AJ8,AI9:$AI$39)=0,"",SUMIF(AJ9:$AJ$39,"=" &amp; AJ8,AI9:$AI$39)))</f>
        <v>0.1</v>
      </c>
      <c r="AJ8" s="139">
        <f>0</f>
        <v>0</v>
      </c>
      <c r="AK8" s="453" t="str">
        <f>BI8</f>
        <v/>
      </c>
      <c r="AL8" s="453" t="str">
        <f>IF(ISBLANK(K8),"",K8)</f>
        <v/>
      </c>
      <c r="AM8" s="453" t="str">
        <f>IF(ISNUMBER(AK8),IF(ISNUMBER(AL8),1,""),"")</f>
        <v/>
      </c>
      <c r="AN8" s="453" t="str">
        <f t="shared" ref="AN8:AN36" si="5">IF(ISNUMBER(AH8),IF(AND(AB8=0,ISNUMBER(AC8),ISNUMBER(AL8)),1,""),"")</f>
        <v/>
      </c>
      <c r="AO8" s="453" t="str">
        <f t="shared" ref="AO8:AO39" si="6">IF(AB8=0,IF(CrewSoloQual="No",BI8,BK8),"")</f>
        <v/>
      </c>
      <c r="AP8" s="453" t="str">
        <f t="shared" ref="AP8:AP39" si="7">IF(ISNA(Z8),"",IF(AND(ISNUMBER(B8),G8&gt;=1,H8&lt;&gt;"NG"),IF(K8&lt;BK8,TRUE,FALSE),IF(AND(G8&gt;=1,J8="NA"),TRUE,IF(AND(AM8=1,G8=0,AL8&lt;BI8),TRUE,""))))</f>
        <v/>
      </c>
      <c r="AQ8" s="140">
        <f>IF(ISNA(Z8),0,IF(OR(J8="NA",W8="",AB8=0),0,W8))</f>
        <v>0</v>
      </c>
      <c r="AR8" s="141" t="str">
        <f t="shared" ref="AR8:AR39" si="8">IF(ISNA(Z8),"",IF(AND(NOT(OR(Z8=1,Z8=2,AK8="NG",AB8=0)),IF(ISNUMBER(AL8),AL8&gt;=0,FALSE)),VLOOKUP((10*AD8+AC8),$AQ$50:$AV$58,2+AL8,FALSE),IF(AND(input_test=TRUE,ISNUMBER(AD8),V8&lt;&gt;0),VLOOKUP((10*AD8+AC8),$AQ$50:$AV$58,2,FALSE),"")))</f>
        <v/>
      </c>
      <c r="AS8" s="142">
        <f>IF(ISNA(Z8),0,IF(OR(J8="NA",X8="",AB8=1),0,X8))</f>
        <v>0</v>
      </c>
      <c r="AT8" s="141" t="str">
        <f t="shared" ref="AT8:AT39" si="9">IF(ISNA(Z8),"",IF(AND(NOT(OR(Z8=1,Z8=2,AK8="NG",AB8=1)),IF(ISNUMBER(AL8),AL8&gt;=0,FALSE)),VLOOKUP((10*AH8+AG8),$AQ$50:$AV$58,2+AL8,FALSE),IF(AND(input_test=TRUE,ISNUMBER(AD8),V8&lt;&gt;0),VLOOKUP((10*AH8+AG8),$AQ$50:$AV$58,2,FALSE),"")))</f>
        <v/>
      </c>
      <c r="AU8" s="143">
        <f t="shared" ref="AU8:AU39" si="10">IF(ISNA(Z8),0,IF(OR(J8="NA",Y8=""),0,Y8))</f>
        <v>0</v>
      </c>
      <c r="AV8" s="144" t="str">
        <f t="shared" ref="AV8:AV39" si="11">AR8</f>
        <v/>
      </c>
      <c r="AW8" s="143" t="b">
        <f t="shared" ref="AW8:AW39" si="12">IF(ISNA(Z8),FALSE,IF(OR(AB8=1,G8=0,Z8=1,Z8=2),FALSE,IF(OR(J8="NA",J8&gt;=G8),FALSE,TRUE)))</f>
        <v>0</v>
      </c>
      <c r="AX8" s="145" t="b">
        <f t="shared" ref="AX8:AX39" si="13">IF(ISNA(Z8),FALSE,IF(OR(AB8=0,G8=0,Z8=1,Z8=2,J8="NA"),FALSE,IF(AK8="NG",IF(NOT(ISBLANK(K8)),FALSE,TRUE),IF(J8&gt;=G8,FALSE,TRUE))))</f>
        <v>0</v>
      </c>
      <c r="AY8" s="143" t="b">
        <f t="shared" ref="AY8:AY39" si="14">IF(ISNA(Z8),FALSE,IF(OR(AB8=1,G8&lt;1,Z8=1,Z8=2,AE8=0,ISBLANK(K8)),FALSE,IF(OR(J8="NA",K8&gt;=BI8),FALSE,TRUE)))</f>
        <v>0</v>
      </c>
      <c r="AZ8" s="145" t="b">
        <f t="shared" ref="AZ8:AZ39" si="15">IF(ISNA(Z8),FALSE,IF(OR(AB8=0,G8=0,Z8=1,Z8=2,AE8=0,BI8="NG",K8="",ISBLANK(K8)),FALSE,IF(OR(J8="NA",K8&gt;=AK8),FALSE,TRUE)))</f>
        <v>0</v>
      </c>
      <c r="BA8" s="453" t="b">
        <f t="shared" ref="BA8:BA39" si="16">IF(ISNA(Z8),FALSE,IF(OR(AB8=1,G8&lt;1,Z8=1,Z8=2,AE8=0),FALSE,IF(J8="NA",TRUE,FALSE)))</f>
        <v>0</v>
      </c>
      <c r="BB8" s="453" t="b">
        <f t="shared" ref="BB8:BB39" si="17">IF(ISNA(Z8),FALSE,IF(OR(AB8=0,G8=0,Z8=1,Z8=2),FALSE,IF(J8="NA",TRUE,FALSE)))</f>
        <v>0</v>
      </c>
      <c r="BC8" s="143" t="b">
        <f t="shared" ref="BC8:BC39" si="18">IF(OR(ISNA($Z8),ISNUMBER($Z8),NOT(ISNUMBER($J8)),K8="D"),FALSE,IF(AND(NOT(ISNUMBER($K8)),J8&gt;0),TRUE,FALSE))</f>
        <v>0</v>
      </c>
      <c r="BD8" s="146" t="b">
        <f>IF(OR(ISNA($Z8),ISNUMBER($Z8),NOT(ISNUMBER(K8))),FALSE,OR(NOT(ISNUMBER(J8)),J8=0,AND(J8=0,K8&lt;&gt;0)))</f>
        <v>0</v>
      </c>
      <c r="BE8" s="145" t="b">
        <f t="shared" ref="BE8:BE21" si="19">IF(OR(ISNA($Z8),K8&lt;&gt;"D"),FALSE,IF(OR(AND(H8="NG",J8=0),AND(H8&lt;&gt;"NG",NOT(OR(J8="NA",J8=0)))),TRUE,FALSE))</f>
        <v>0</v>
      </c>
      <c r="BF8" s="147" t="b">
        <f t="shared" ref="BF8:BF30" si="20">IF(OR(ISNA($Z8),H8&lt;&gt;"NG"),FALSE,IF(AND(J8="NA",K8&lt;&gt;""),TRUE,FALSE))</f>
        <v>0</v>
      </c>
      <c r="BG8" s="453" t="b">
        <f t="shared" ref="BG8:BG21" si="21">IF(ISNA($Z8),"NA",IF(OR(AZ8,AY8,AX8,AW8,AP8,BA8,BB8),TRUE,FALSE))</f>
        <v>0</v>
      </c>
      <c r="BH8" s="148" t="str">
        <f>IF(ISNA($Z8),"",IF(OR($Z8=1,$Z8=2),"",$V8))</f>
        <v/>
      </c>
      <c r="BI8" s="453" t="str">
        <f t="shared" ref="BI8:BI39" si="22">IF(ISNA($Z8),"",IF(OR($Z8=1,$Z8=2,$G8=""),"",IF(AB8=0,AH8,$AD8)))</f>
        <v/>
      </c>
      <c r="BJ8" s="453" t="str">
        <f t="shared" ref="BJ8:BJ39" si="23">IF(ISNA(AE8),"",IF(OR(Z8=1,Z8=2),"",IF(OR(AE8=0,AD8="NG"),TEXT(BI8,"0"),CONCATENATE(TEXT(BI8,"0"),"*"))))</f>
        <v/>
      </c>
      <c r="BK8" s="453" t="str">
        <f t="shared" ref="BK8:BK39" si="24">IF(ISNA($Z8),"",IF(OR($Z8=1,$Z8=2,$G8=""),"",IF(AB8=0,AG8,$AC8)))</f>
        <v/>
      </c>
      <c r="BL8" s="148" t="str">
        <f>IF(ISBLANK(BH8),"",IF(BH8=0,"",BH8))</f>
        <v/>
      </c>
      <c r="BM8" s="453" t="str">
        <f t="shared" ref="BM8:BM39" si="25">IF($BH8=0,"",IF($BI8="NG","D",$BI8))</f>
        <v/>
      </c>
      <c r="BN8" s="453" t="str">
        <f t="shared" ref="BN8:BN39" si="26">IF(ISNA(U8),"",IF($BH8=0,"",IF($BI8="NG","D",BK8)))</f>
        <v/>
      </c>
      <c r="BO8" s="149" t="s">
        <v>341</v>
      </c>
      <c r="BP8" s="150"/>
    </row>
    <row r="9" spans="2:73" s="94" customFormat="1" ht="12.95" customHeight="1" x14ac:dyDescent="0.2">
      <c r="B9" s="151">
        <f>IF(ISNA(Z9),"",IF(OR(Z9=1,Z9=2),"    ",MAX($B$8:B8)+1))</f>
        <v>1</v>
      </c>
      <c r="C9" s="904" t="str">
        <f t="shared" si="0"/>
        <v>Basic Aircraft Procedures (2.0%)</v>
      </c>
      <c r="D9" s="904"/>
      <c r="E9" s="904"/>
      <c r="F9" s="905"/>
      <c r="G9" s="133">
        <f t="shared" si="1"/>
        <v>1</v>
      </c>
      <c r="H9" s="134" t="str">
        <f t="shared" si="2"/>
        <v>1*</v>
      </c>
      <c r="I9" s="152">
        <f t="shared" si="2"/>
        <v>2</v>
      </c>
      <c r="J9" s="153"/>
      <c r="K9" s="154"/>
      <c r="L9" s="1015"/>
      <c r="M9" s="1016"/>
      <c r="N9" s="1016"/>
      <c r="O9" s="1016"/>
      <c r="P9" s="1016"/>
      <c r="Q9" s="1016"/>
      <c r="R9" s="1017"/>
      <c r="T9" s="99">
        <v>2</v>
      </c>
      <c r="U9" s="88" t="s">
        <v>342</v>
      </c>
      <c r="V9" s="453">
        <v>1</v>
      </c>
      <c r="W9" s="453" t="s">
        <v>340</v>
      </c>
      <c r="X9" s="453">
        <v>2</v>
      </c>
      <c r="Y9" s="453" t="s">
        <v>340</v>
      </c>
      <c r="Z9" s="146" t="s">
        <v>340</v>
      </c>
      <c r="AA9" s="146">
        <v>1</v>
      </c>
      <c r="AB9" s="146">
        <v>0</v>
      </c>
      <c r="AC9" s="453">
        <v>3</v>
      </c>
      <c r="AD9" s="453">
        <v>2</v>
      </c>
      <c r="AE9" s="453">
        <v>1</v>
      </c>
      <c r="AF9" s="453" t="b">
        <v>1</v>
      </c>
      <c r="AG9" s="453">
        <f t="shared" si="3"/>
        <v>2</v>
      </c>
      <c r="AH9" s="453">
        <f t="shared" si="4"/>
        <v>1</v>
      </c>
      <c r="AI9" s="138">
        <f>IF(NOT(OR(Z9=1,Z9=2)),IF(AQ9&gt;0,$AR$44*AQ9/SUMIF($AQ$8:$AQ$39,"&gt;0"),IF(AU9&gt;0,$AV$44*AU9/SUMIF($AU$8:$AU$39,"&gt;0"),IF(AS9&gt;0,$AT$44*AS9/SUMIF($AS$8:$AS$39,"&gt;0"),""))),IF(SUMIF(AJ10:$AJ$39,"=" &amp; AJ9,AI10:$AI$39)=0,"",SUMIF(AJ10:$AJ$39,"=" &amp; AJ9,AI10:$AI$39)))</f>
        <v>0.02</v>
      </c>
      <c r="AJ9" s="139">
        <f>IF(OR(Z9=1,Z9=2,AA9&lt;AA8),AJ8+1,AJ8)</f>
        <v>0</v>
      </c>
      <c r="AK9" s="453">
        <f t="shared" ref="AK9:AK39" si="27">BI9</f>
        <v>1</v>
      </c>
      <c r="AL9" s="146" t="str">
        <f t="shared" ref="AL9:AL39" si="28">IF(ISBLANK(K9),"",K9)</f>
        <v/>
      </c>
      <c r="AM9" s="146" t="str">
        <f>IF(ISNUMBER(AK9),IF(ISNUMBER(AL9),1,""),"")</f>
        <v/>
      </c>
      <c r="AN9" s="146" t="str">
        <f t="shared" si="5"/>
        <v/>
      </c>
      <c r="AO9" s="146">
        <f t="shared" si="6"/>
        <v>1</v>
      </c>
      <c r="AP9" s="453" t="b">
        <f>IF(ISNA(Z9),"",IF(AND(ISNUMBER(B9),G9&gt;=1,H9&lt;&gt;"NG"),IF(K9&lt;BK9,TRUE,FALSE),IF(AND(G9&gt;=1,J9="NA"),TRUE,IF(AND(AM9=1,G9=0,AL9&lt;BI9),TRUE,""))))</f>
        <v>1</v>
      </c>
      <c r="AQ9" s="140">
        <f t="shared" ref="AQ9:AQ39" si="29">IF(ISNA(Z9),0,IF(OR(J9="NA",W9="",AB9=0),0,W9))</f>
        <v>0</v>
      </c>
      <c r="AR9" s="141" t="str">
        <f>IF(ISNA(Z9),"",IF(AND(NOT(OR(Z9=1,Z9=2,AK9="NG",AB9=0)),IF(ISNUMBER(AL9),AL9&gt;=0,FALSE)),VLOOKUP((10*AD9+AC9),$AQ$50:$AV$58,2+AL9,FALSE),IF(AND(input_test=TRUE,ISNUMBER(AD9),V9&lt;&gt;0),VLOOKUP((10*AD9+AC9),$AQ$50:$AV$58,2,FALSE),"")))</f>
        <v/>
      </c>
      <c r="AS9" s="142">
        <f t="shared" ref="AS9:AS39" si="30">IF(ISNA(Z9),0,IF(OR(J9="NA",X9="",AB9=1),0,X9))</f>
        <v>2</v>
      </c>
      <c r="AT9" s="141" t="str">
        <f>IF(ISNA(Z9),"",IF(AND(NOT(OR(Z9=1,Z9=2,AK9="NG",AB9=1)),IF(ISNUMBER(AL9),AL9&gt;=0,FALSE)),VLOOKUP((10*AH9+AG9),$AQ$50:$AV$58,2+AL9,FALSE),IF(AND(input_test=TRUE,ISNUMBER(AD9),V9&lt;&gt;0),VLOOKUP((10*AH9+AG9),$AQ$50:$AV$58,2,FALSE),"")))</f>
        <v/>
      </c>
      <c r="AU9" s="143">
        <f t="shared" si="10"/>
        <v>0</v>
      </c>
      <c r="AV9" s="144" t="str">
        <f t="shared" si="11"/>
        <v/>
      </c>
      <c r="AW9" s="143" t="b">
        <f t="shared" si="12"/>
        <v>1</v>
      </c>
      <c r="AX9" s="145" t="b">
        <f t="shared" si="13"/>
        <v>0</v>
      </c>
      <c r="AY9" s="143" t="b">
        <f t="shared" si="14"/>
        <v>0</v>
      </c>
      <c r="AZ9" s="145" t="b">
        <f t="shared" si="15"/>
        <v>0</v>
      </c>
      <c r="BA9" s="453" t="b">
        <f t="shared" si="16"/>
        <v>0</v>
      </c>
      <c r="BB9" s="453" t="b">
        <f t="shared" si="17"/>
        <v>0</v>
      </c>
      <c r="BC9" s="143" t="b">
        <f t="shared" si="18"/>
        <v>0</v>
      </c>
      <c r="BD9" s="146" t="b">
        <f t="shared" ref="BD9:BD39" si="31">IF(OR(ISNA($Z9),ISNUMBER($Z9),NOT(ISNUMBER(K9))),FALSE,OR(NOT(ISNUMBER(J9)),J9=0,AND(J9=0,K9&lt;&gt;0)))</f>
        <v>0</v>
      </c>
      <c r="BE9" s="145" t="b">
        <f t="shared" si="19"/>
        <v>0</v>
      </c>
      <c r="BF9" s="147" t="b">
        <f t="shared" si="20"/>
        <v>0</v>
      </c>
      <c r="BG9" s="453" t="b">
        <f t="shared" si="21"/>
        <v>1</v>
      </c>
      <c r="BH9" s="453">
        <f t="shared" ref="BH9:BH39" si="32">IF(ISNA($Z9),"",IF(OR($Z9=1,$Z9=2),"",$V9))</f>
        <v>1</v>
      </c>
      <c r="BI9" s="453">
        <f t="shared" si="22"/>
        <v>1</v>
      </c>
      <c r="BJ9" s="453" t="str">
        <f t="shared" si="23"/>
        <v>1*</v>
      </c>
      <c r="BK9" s="453">
        <f t="shared" si="24"/>
        <v>2</v>
      </c>
      <c r="BL9" s="148">
        <f t="shared" ref="BL9:BL39" si="33">IF(ISBLANK(BH9),"",IF(BH9=0,"",BH9))</f>
        <v>1</v>
      </c>
      <c r="BM9" s="453">
        <f t="shared" si="25"/>
        <v>1</v>
      </c>
      <c r="BN9" s="453">
        <f t="shared" si="26"/>
        <v>2</v>
      </c>
      <c r="BO9" s="155" t="s">
        <v>343</v>
      </c>
      <c r="BP9" s="156" t="s">
        <v>344</v>
      </c>
    </row>
    <row r="10" spans="2:73" s="94" customFormat="1" ht="12.95" customHeight="1" x14ac:dyDescent="0.2">
      <c r="B10" s="151">
        <f>IF(ISNA(Z10),"",IF(OR(Z10=1,Z10=2),"    ",MAX($B$8:B9)+1))</f>
        <v>2</v>
      </c>
      <c r="C10" s="904" t="str">
        <f t="shared" si="0"/>
        <v>Basic Aircraft Handling (2.0%)</v>
      </c>
      <c r="D10" s="904"/>
      <c r="E10" s="904"/>
      <c r="F10" s="905"/>
      <c r="G10" s="133">
        <f t="shared" si="1"/>
        <v>1</v>
      </c>
      <c r="H10" s="134" t="str">
        <f t="shared" si="2"/>
        <v>1*</v>
      </c>
      <c r="I10" s="152">
        <f t="shared" si="2"/>
        <v>2</v>
      </c>
      <c r="J10" s="157"/>
      <c r="K10" s="154"/>
      <c r="L10" s="1015"/>
      <c r="M10" s="1016"/>
      <c r="N10" s="1016"/>
      <c r="O10" s="1016"/>
      <c r="P10" s="1016"/>
      <c r="Q10" s="1016"/>
      <c r="R10" s="1017"/>
      <c r="T10" s="99">
        <v>3</v>
      </c>
      <c r="U10" s="88" t="s">
        <v>551</v>
      </c>
      <c r="V10" s="453">
        <v>1</v>
      </c>
      <c r="W10" s="453" t="s">
        <v>340</v>
      </c>
      <c r="X10" s="453">
        <v>2</v>
      </c>
      <c r="Y10" s="453" t="s">
        <v>340</v>
      </c>
      <c r="Z10" s="146" t="s">
        <v>340</v>
      </c>
      <c r="AA10" s="146">
        <v>1</v>
      </c>
      <c r="AB10" s="146">
        <v>0</v>
      </c>
      <c r="AC10" s="453">
        <v>3</v>
      </c>
      <c r="AD10" s="453">
        <v>2</v>
      </c>
      <c r="AE10" s="453">
        <v>1</v>
      </c>
      <c r="AF10" s="453" t="b">
        <v>1</v>
      </c>
      <c r="AG10" s="453">
        <f t="shared" si="3"/>
        <v>2</v>
      </c>
      <c r="AH10" s="453">
        <f t="shared" si="4"/>
        <v>1</v>
      </c>
      <c r="AI10" s="138">
        <f>IF(NOT(OR(Z10=1,Z10=2)),IF(AQ10&gt;0,$AR$44*AQ10/SUMIF($AQ$8:$AQ$39,"&gt;0"),IF(AU10&gt;0,$AV$44*AU10/SUMIF($AU$8:$AU$39,"&gt;0"),IF(AS10&gt;0,$AT$44*AS10/SUMIF($AS$8:$AS$39,"&gt;0"),""))),IF(SUMIF(AJ11:$AJ$39,"=" &amp; AJ10,AI11:$AI$39)=0,"",SUMIF(AJ11:$AJ$39,"=" &amp; AJ10,AI11:$AI$39)))</f>
        <v>0.02</v>
      </c>
      <c r="AJ10" s="139">
        <f t="shared" ref="AJ10:AJ39" si="34">IF(OR(Z10=1,Z10=2,AA10&lt;AA9),AJ9+1,AJ9)</f>
        <v>0</v>
      </c>
      <c r="AK10" s="453">
        <f t="shared" si="27"/>
        <v>1</v>
      </c>
      <c r="AL10" s="146" t="str">
        <f t="shared" si="28"/>
        <v/>
      </c>
      <c r="AM10" s="146" t="str">
        <f t="shared" ref="AM10:AM39" si="35">IF(ISNUMBER(AK10),IF(ISNUMBER(AL10),1,""),"")</f>
        <v/>
      </c>
      <c r="AN10" s="146" t="str">
        <f t="shared" si="5"/>
        <v/>
      </c>
      <c r="AO10" s="146">
        <f t="shared" si="6"/>
        <v>1</v>
      </c>
      <c r="AP10" s="453" t="b">
        <f t="shared" si="7"/>
        <v>1</v>
      </c>
      <c r="AQ10" s="140">
        <f t="shared" si="29"/>
        <v>0</v>
      </c>
      <c r="AR10" s="141" t="str">
        <f t="shared" si="8"/>
        <v/>
      </c>
      <c r="AS10" s="142">
        <f t="shared" si="30"/>
        <v>2</v>
      </c>
      <c r="AT10" s="141" t="str">
        <f t="shared" si="9"/>
        <v/>
      </c>
      <c r="AU10" s="143">
        <f t="shared" si="10"/>
        <v>0</v>
      </c>
      <c r="AV10" s="144" t="str">
        <f t="shared" si="11"/>
        <v/>
      </c>
      <c r="AW10" s="143" t="b">
        <f t="shared" si="12"/>
        <v>1</v>
      </c>
      <c r="AX10" s="145" t="b">
        <f t="shared" si="13"/>
        <v>0</v>
      </c>
      <c r="AY10" s="143" t="b">
        <f t="shared" si="14"/>
        <v>0</v>
      </c>
      <c r="AZ10" s="145" t="b">
        <f t="shared" si="15"/>
        <v>0</v>
      </c>
      <c r="BA10" s="453" t="b">
        <f t="shared" si="16"/>
        <v>0</v>
      </c>
      <c r="BB10" s="453" t="b">
        <f t="shared" si="17"/>
        <v>0</v>
      </c>
      <c r="BC10" s="143" t="b">
        <f t="shared" si="18"/>
        <v>0</v>
      </c>
      <c r="BD10" s="146" t="b">
        <f t="shared" si="31"/>
        <v>0</v>
      </c>
      <c r="BE10" s="145" t="b">
        <f t="shared" si="19"/>
        <v>0</v>
      </c>
      <c r="BF10" s="147" t="b">
        <f t="shared" si="20"/>
        <v>0</v>
      </c>
      <c r="BG10" s="453" t="b">
        <f t="shared" si="21"/>
        <v>1</v>
      </c>
      <c r="BH10" s="453">
        <f t="shared" si="32"/>
        <v>1</v>
      </c>
      <c r="BI10" s="453">
        <f t="shared" si="22"/>
        <v>1</v>
      </c>
      <c r="BJ10" s="453" t="str">
        <f t="shared" si="23"/>
        <v>1*</v>
      </c>
      <c r="BK10" s="453">
        <f t="shared" si="24"/>
        <v>2</v>
      </c>
      <c r="BL10" s="148">
        <f t="shared" si="33"/>
        <v>1</v>
      </c>
      <c r="BM10" s="453">
        <f t="shared" si="25"/>
        <v>1</v>
      </c>
      <c r="BN10" s="453">
        <f t="shared" si="26"/>
        <v>2</v>
      </c>
      <c r="BO10" s="155">
        <v>0</v>
      </c>
      <c r="BP10" s="156" t="s">
        <v>346</v>
      </c>
    </row>
    <row r="11" spans="2:73" s="94" customFormat="1" ht="12.95" customHeight="1" x14ac:dyDescent="0.2">
      <c r="B11" s="151">
        <f>IF(ISNA(Z11),"",IF(OR(Z11=1,Z11=2),"    ",MAX($B$8:B10)+1))</f>
        <v>3</v>
      </c>
      <c r="C11" s="904" t="str">
        <f t="shared" si="0"/>
        <v>Local Area Proc./Orientation/Comm (2.0%)</v>
      </c>
      <c r="D11" s="904"/>
      <c r="E11" s="904"/>
      <c r="F11" s="905"/>
      <c r="G11" s="133">
        <f t="shared" si="1"/>
        <v>1</v>
      </c>
      <c r="H11" s="134" t="str">
        <f t="shared" si="2"/>
        <v>2*</v>
      </c>
      <c r="I11" s="152">
        <f t="shared" si="2"/>
        <v>3</v>
      </c>
      <c r="J11" s="157"/>
      <c r="K11" s="154"/>
      <c r="L11" s="1015"/>
      <c r="M11" s="1016"/>
      <c r="N11" s="1016"/>
      <c r="O11" s="1016"/>
      <c r="P11" s="1016"/>
      <c r="Q11" s="1016"/>
      <c r="R11" s="1017"/>
      <c r="T11" s="99">
        <v>4</v>
      </c>
      <c r="U11" s="88" t="s">
        <v>345</v>
      </c>
      <c r="V11" s="453">
        <v>1</v>
      </c>
      <c r="W11" s="453" t="s">
        <v>340</v>
      </c>
      <c r="X11" s="453">
        <v>2</v>
      </c>
      <c r="Y11" s="453" t="s">
        <v>340</v>
      </c>
      <c r="Z11" s="146" t="s">
        <v>340</v>
      </c>
      <c r="AA11" s="146">
        <v>1</v>
      </c>
      <c r="AB11" s="146">
        <v>0</v>
      </c>
      <c r="AC11" s="453">
        <v>3</v>
      </c>
      <c r="AD11" s="453">
        <v>3</v>
      </c>
      <c r="AE11" s="453">
        <v>1</v>
      </c>
      <c r="AF11" s="453" t="b">
        <v>1</v>
      </c>
      <c r="AG11" s="453">
        <f t="shared" si="3"/>
        <v>3</v>
      </c>
      <c r="AH11" s="453">
        <f t="shared" si="4"/>
        <v>2</v>
      </c>
      <c r="AI11" s="138">
        <f>IF(NOT(OR(Z11=1,Z11=2)),IF(AQ11&gt;0,$AR$44*AQ11/SUMIF($AQ$8:$AQ$39,"&gt;0"),IF(AU11&gt;0,$AV$44*AU11/SUMIF($AU$8:$AU$39,"&gt;0"),IF(AS11&gt;0,$AT$44*AS11/SUMIF($AS$8:$AS$39,"&gt;0"),""))),IF(SUMIF(AJ12:$AJ$39,"=" &amp; AJ11,AI12:$AI$39)=0,"",SUMIF(AJ12:$AJ$39,"=" &amp; AJ11,AI12:$AI$39)))</f>
        <v>0.02</v>
      </c>
      <c r="AJ11" s="139">
        <f t="shared" si="34"/>
        <v>0</v>
      </c>
      <c r="AK11" s="453">
        <f t="shared" si="27"/>
        <v>2</v>
      </c>
      <c r="AL11" s="146" t="str">
        <f t="shared" si="28"/>
        <v/>
      </c>
      <c r="AM11" s="146" t="str">
        <f t="shared" si="35"/>
        <v/>
      </c>
      <c r="AN11" s="146" t="str">
        <f t="shared" si="5"/>
        <v/>
      </c>
      <c r="AO11" s="146">
        <f t="shared" si="6"/>
        <v>2</v>
      </c>
      <c r="AP11" s="453" t="b">
        <f t="shared" si="7"/>
        <v>1</v>
      </c>
      <c r="AQ11" s="140">
        <f t="shared" si="29"/>
        <v>0</v>
      </c>
      <c r="AR11" s="141" t="str">
        <f t="shared" si="8"/>
        <v/>
      </c>
      <c r="AS11" s="142">
        <f t="shared" si="30"/>
        <v>2</v>
      </c>
      <c r="AT11" s="141" t="str">
        <f t="shared" si="9"/>
        <v/>
      </c>
      <c r="AU11" s="143">
        <f t="shared" si="10"/>
        <v>0</v>
      </c>
      <c r="AV11" s="144" t="str">
        <f t="shared" si="11"/>
        <v/>
      </c>
      <c r="AW11" s="143" t="b">
        <f t="shared" si="12"/>
        <v>1</v>
      </c>
      <c r="AX11" s="145" t="b">
        <f t="shared" si="13"/>
        <v>0</v>
      </c>
      <c r="AY11" s="143" t="b">
        <f t="shared" si="14"/>
        <v>0</v>
      </c>
      <c r="AZ11" s="145" t="b">
        <f t="shared" si="15"/>
        <v>0</v>
      </c>
      <c r="BA11" s="453" t="b">
        <f t="shared" si="16"/>
        <v>0</v>
      </c>
      <c r="BB11" s="453" t="b">
        <f t="shared" si="17"/>
        <v>0</v>
      </c>
      <c r="BC11" s="143" t="b">
        <f t="shared" si="18"/>
        <v>0</v>
      </c>
      <c r="BD11" s="146" t="b">
        <f t="shared" si="31"/>
        <v>0</v>
      </c>
      <c r="BE11" s="145" t="b">
        <f t="shared" si="19"/>
        <v>0</v>
      </c>
      <c r="BF11" s="147" t="b">
        <f t="shared" si="20"/>
        <v>0</v>
      </c>
      <c r="BG11" s="453" t="b">
        <f t="shared" si="21"/>
        <v>1</v>
      </c>
      <c r="BH11" s="453">
        <f t="shared" si="32"/>
        <v>1</v>
      </c>
      <c r="BI11" s="453">
        <f t="shared" si="22"/>
        <v>2</v>
      </c>
      <c r="BJ11" s="453" t="str">
        <f t="shared" si="23"/>
        <v>2*</v>
      </c>
      <c r="BK11" s="453">
        <f t="shared" si="24"/>
        <v>3</v>
      </c>
      <c r="BL11" s="148">
        <f t="shared" si="33"/>
        <v>1</v>
      </c>
      <c r="BM11" s="453">
        <f t="shared" si="25"/>
        <v>2</v>
      </c>
      <c r="BN11" s="453">
        <f t="shared" si="26"/>
        <v>3</v>
      </c>
      <c r="BO11" s="155">
        <v>1</v>
      </c>
      <c r="BP11" s="156" t="s">
        <v>348</v>
      </c>
    </row>
    <row r="12" spans="2:73" s="94" customFormat="1" ht="12.95" customHeight="1" x14ac:dyDescent="0.2">
      <c r="B12" s="151">
        <f>IF(ISNA(Z12),"",IF(OR(Z12=1,Z12=2),"    ",MAX($B$8:B11)+1))</f>
        <v>4</v>
      </c>
      <c r="C12" s="904" t="str">
        <f t="shared" si="0"/>
        <v>Situational Awareness/Judgement (2.0%)</v>
      </c>
      <c r="D12" s="904"/>
      <c r="E12" s="904"/>
      <c r="F12" s="905"/>
      <c r="G12" s="133">
        <f t="shared" si="1"/>
        <v>1</v>
      </c>
      <c r="H12" s="134" t="str">
        <f t="shared" si="2"/>
        <v>2*</v>
      </c>
      <c r="I12" s="152">
        <f t="shared" si="2"/>
        <v>3</v>
      </c>
      <c r="J12" s="157"/>
      <c r="K12" s="154"/>
      <c r="L12" s="1015"/>
      <c r="M12" s="1016"/>
      <c r="N12" s="1016"/>
      <c r="O12" s="1016"/>
      <c r="P12" s="1016"/>
      <c r="Q12" s="1016"/>
      <c r="R12" s="1017"/>
      <c r="T12" s="99">
        <v>5</v>
      </c>
      <c r="U12" s="88" t="s">
        <v>347</v>
      </c>
      <c r="V12" s="453">
        <v>1</v>
      </c>
      <c r="W12" s="453" t="s">
        <v>340</v>
      </c>
      <c r="X12" s="453">
        <v>2</v>
      </c>
      <c r="Y12" s="453" t="s">
        <v>340</v>
      </c>
      <c r="Z12" s="146" t="s">
        <v>340</v>
      </c>
      <c r="AA12" s="146">
        <v>1</v>
      </c>
      <c r="AB12" s="146">
        <v>0</v>
      </c>
      <c r="AC12" s="453">
        <v>3</v>
      </c>
      <c r="AD12" s="453">
        <v>3</v>
      </c>
      <c r="AE12" s="453">
        <v>1</v>
      </c>
      <c r="AF12" s="453" t="b">
        <v>1</v>
      </c>
      <c r="AG12" s="453">
        <f t="shared" si="3"/>
        <v>3</v>
      </c>
      <c r="AH12" s="453">
        <f t="shared" si="4"/>
        <v>2</v>
      </c>
      <c r="AI12" s="138">
        <f>IF(NOT(OR(Z12=1,Z12=2)),IF(AQ12&gt;0,$AR$44*AQ12/SUMIF($AQ$8:$AQ$39,"&gt;0"),IF(AU12&gt;0,$AV$44*AU12/SUMIF($AU$8:$AU$39,"&gt;0"),IF(AS12&gt;0,$AT$44*AS12/SUMIF($AS$8:$AS$39,"&gt;0"),""))),IF(SUMIF(AJ13:$AJ$39,"=" &amp; AJ12,AI13:$AI$39)=0,"",SUMIF(AJ13:$AJ$39,"=" &amp; AJ12,AI13:$AI$39)))</f>
        <v>0.02</v>
      </c>
      <c r="AJ12" s="139">
        <f t="shared" si="34"/>
        <v>0</v>
      </c>
      <c r="AK12" s="453">
        <f t="shared" si="27"/>
        <v>2</v>
      </c>
      <c r="AL12" s="146" t="str">
        <f t="shared" si="28"/>
        <v/>
      </c>
      <c r="AM12" s="146" t="str">
        <f t="shared" si="35"/>
        <v/>
      </c>
      <c r="AN12" s="146" t="str">
        <f t="shared" si="5"/>
        <v/>
      </c>
      <c r="AO12" s="146">
        <f t="shared" si="6"/>
        <v>2</v>
      </c>
      <c r="AP12" s="453" t="b">
        <f t="shared" si="7"/>
        <v>1</v>
      </c>
      <c r="AQ12" s="140">
        <f t="shared" si="29"/>
        <v>0</v>
      </c>
      <c r="AR12" s="141" t="str">
        <f t="shared" si="8"/>
        <v/>
      </c>
      <c r="AS12" s="142">
        <f t="shared" si="30"/>
        <v>2</v>
      </c>
      <c r="AT12" s="141" t="str">
        <f t="shared" si="9"/>
        <v/>
      </c>
      <c r="AU12" s="143">
        <f t="shared" si="10"/>
        <v>0</v>
      </c>
      <c r="AV12" s="144" t="str">
        <f t="shared" si="11"/>
        <v/>
      </c>
      <c r="AW12" s="143" t="b">
        <f t="shared" si="12"/>
        <v>1</v>
      </c>
      <c r="AX12" s="145" t="b">
        <f t="shared" si="13"/>
        <v>0</v>
      </c>
      <c r="AY12" s="143" t="b">
        <f t="shared" si="14"/>
        <v>0</v>
      </c>
      <c r="AZ12" s="145" t="b">
        <f t="shared" si="15"/>
        <v>0</v>
      </c>
      <c r="BA12" s="453" t="b">
        <f t="shared" si="16"/>
        <v>0</v>
      </c>
      <c r="BB12" s="453" t="b">
        <f t="shared" si="17"/>
        <v>0</v>
      </c>
      <c r="BC12" s="143" t="b">
        <f t="shared" si="18"/>
        <v>0</v>
      </c>
      <c r="BD12" s="146" t="b">
        <f t="shared" si="31"/>
        <v>0</v>
      </c>
      <c r="BE12" s="145" t="b">
        <f t="shared" si="19"/>
        <v>0</v>
      </c>
      <c r="BF12" s="147" t="b">
        <f t="shared" si="20"/>
        <v>0</v>
      </c>
      <c r="BG12" s="453" t="b">
        <f t="shared" si="21"/>
        <v>1</v>
      </c>
      <c r="BH12" s="453">
        <f t="shared" si="32"/>
        <v>1</v>
      </c>
      <c r="BI12" s="453">
        <f t="shared" si="22"/>
        <v>2</v>
      </c>
      <c r="BJ12" s="453" t="str">
        <f t="shared" si="23"/>
        <v>2*</v>
      </c>
      <c r="BK12" s="453">
        <f t="shared" si="24"/>
        <v>3</v>
      </c>
      <c r="BL12" s="148">
        <f t="shared" si="33"/>
        <v>1</v>
      </c>
      <c r="BM12" s="453">
        <f t="shared" si="25"/>
        <v>2</v>
      </c>
      <c r="BN12" s="453">
        <f t="shared" si="26"/>
        <v>3</v>
      </c>
      <c r="BO12" s="155">
        <v>2</v>
      </c>
      <c r="BP12" s="156" t="s">
        <v>350</v>
      </c>
    </row>
    <row r="13" spans="2:73" s="94" customFormat="1" ht="12.95" customHeight="1" x14ac:dyDescent="0.2">
      <c r="B13" s="151">
        <f>IF(ISNA(Z13),"",IF(OR(Z13=1,Z13=2),"    ",MAX($B$8:B12)+1))</f>
        <v>5</v>
      </c>
      <c r="C13" s="904" t="str">
        <f t="shared" si="0"/>
        <v>Clearing/Visual Lookout (2.0%)</v>
      </c>
      <c r="D13" s="904"/>
      <c r="E13" s="904"/>
      <c r="F13" s="905"/>
      <c r="G13" s="133">
        <f t="shared" si="1"/>
        <v>1</v>
      </c>
      <c r="H13" s="134" t="str">
        <f t="shared" si="2"/>
        <v>2*</v>
      </c>
      <c r="I13" s="152">
        <f t="shared" si="2"/>
        <v>3</v>
      </c>
      <c r="J13" s="157"/>
      <c r="K13" s="154"/>
      <c r="L13" s="1015"/>
      <c r="M13" s="1016"/>
      <c r="N13" s="1016"/>
      <c r="O13" s="1016"/>
      <c r="P13" s="1016"/>
      <c r="Q13" s="1016"/>
      <c r="R13" s="1017"/>
      <c r="T13" s="99">
        <v>6</v>
      </c>
      <c r="U13" s="88" t="s">
        <v>349</v>
      </c>
      <c r="V13" s="453">
        <v>1</v>
      </c>
      <c r="W13" s="453" t="s">
        <v>340</v>
      </c>
      <c r="X13" s="453">
        <v>2</v>
      </c>
      <c r="Y13" s="453" t="s">
        <v>340</v>
      </c>
      <c r="Z13" s="146" t="s">
        <v>340</v>
      </c>
      <c r="AA13" s="146">
        <v>1</v>
      </c>
      <c r="AB13" s="146">
        <v>0</v>
      </c>
      <c r="AC13" s="453">
        <v>3</v>
      </c>
      <c r="AD13" s="453">
        <v>3</v>
      </c>
      <c r="AE13" s="453">
        <v>1</v>
      </c>
      <c r="AF13" s="453" t="b">
        <v>1</v>
      </c>
      <c r="AG13" s="453">
        <f t="shared" si="3"/>
        <v>3</v>
      </c>
      <c r="AH13" s="453">
        <f t="shared" si="4"/>
        <v>2</v>
      </c>
      <c r="AI13" s="138">
        <f>IF(NOT(OR(Z13=1,Z13=2)),IF(AQ13&gt;0,$AR$44*AQ13/SUMIF($AQ$8:$AQ$39,"&gt;0"),IF(AU13&gt;0,$AV$44*AU13/SUMIF($AU$8:$AU$39,"&gt;0"),IF(AS13&gt;0,$AT$44*AS13/SUMIF($AS$8:$AS$39,"&gt;0"),""))),IF(SUMIF(AJ14:$AJ$39,"=" &amp; AJ13,AI14:$AI$39)=0,"",SUMIF(AJ14:$AJ$39,"=" &amp; AJ13,AI14:$AI$39)))</f>
        <v>0.02</v>
      </c>
      <c r="AJ13" s="139">
        <f t="shared" si="34"/>
        <v>0</v>
      </c>
      <c r="AK13" s="453">
        <f t="shared" si="27"/>
        <v>2</v>
      </c>
      <c r="AL13" s="146" t="str">
        <f t="shared" si="28"/>
        <v/>
      </c>
      <c r="AM13" s="146" t="str">
        <f t="shared" si="35"/>
        <v/>
      </c>
      <c r="AN13" s="146" t="str">
        <f t="shared" si="5"/>
        <v/>
      </c>
      <c r="AO13" s="146">
        <f t="shared" si="6"/>
        <v>2</v>
      </c>
      <c r="AP13" s="453" t="b">
        <f t="shared" si="7"/>
        <v>1</v>
      </c>
      <c r="AQ13" s="140">
        <f t="shared" si="29"/>
        <v>0</v>
      </c>
      <c r="AR13" s="141" t="str">
        <f t="shared" si="8"/>
        <v/>
      </c>
      <c r="AS13" s="142">
        <f t="shared" si="30"/>
        <v>2</v>
      </c>
      <c r="AT13" s="141" t="str">
        <f t="shared" si="9"/>
        <v/>
      </c>
      <c r="AU13" s="143">
        <f t="shared" si="10"/>
        <v>0</v>
      </c>
      <c r="AV13" s="144" t="str">
        <f t="shared" si="11"/>
        <v/>
      </c>
      <c r="AW13" s="143" t="b">
        <f t="shared" si="12"/>
        <v>1</v>
      </c>
      <c r="AX13" s="145" t="b">
        <f t="shared" si="13"/>
        <v>0</v>
      </c>
      <c r="AY13" s="143" t="b">
        <f t="shared" si="14"/>
        <v>0</v>
      </c>
      <c r="AZ13" s="145" t="b">
        <f t="shared" si="15"/>
        <v>0</v>
      </c>
      <c r="BA13" s="453" t="b">
        <f t="shared" si="16"/>
        <v>0</v>
      </c>
      <c r="BB13" s="453" t="b">
        <f t="shared" si="17"/>
        <v>0</v>
      </c>
      <c r="BC13" s="143" t="b">
        <f t="shared" si="18"/>
        <v>0</v>
      </c>
      <c r="BD13" s="146" t="b">
        <f t="shared" si="31"/>
        <v>0</v>
      </c>
      <c r="BE13" s="145" t="b">
        <f t="shared" si="19"/>
        <v>0</v>
      </c>
      <c r="BF13" s="147" t="b">
        <f t="shared" si="20"/>
        <v>0</v>
      </c>
      <c r="BG13" s="453" t="b">
        <f t="shared" si="21"/>
        <v>1</v>
      </c>
      <c r="BH13" s="453">
        <f t="shared" si="32"/>
        <v>1</v>
      </c>
      <c r="BI13" s="453">
        <f t="shared" si="22"/>
        <v>2</v>
      </c>
      <c r="BJ13" s="453" t="str">
        <f t="shared" si="23"/>
        <v>2*</v>
      </c>
      <c r="BK13" s="453">
        <f t="shared" si="24"/>
        <v>3</v>
      </c>
      <c r="BL13" s="148">
        <f t="shared" si="33"/>
        <v>1</v>
      </c>
      <c r="BM13" s="453">
        <f t="shared" si="25"/>
        <v>2</v>
      </c>
      <c r="BN13" s="453">
        <f t="shared" si="26"/>
        <v>3</v>
      </c>
      <c r="BO13" s="155">
        <v>3</v>
      </c>
      <c r="BP13" s="156" t="s">
        <v>352</v>
      </c>
    </row>
    <row r="14" spans="2:73" s="94" customFormat="1" ht="12.95" customHeight="1" x14ac:dyDescent="0.2">
      <c r="B14" s="151" t="str">
        <f>IF(ISNA(Z14),"",IF(OR(Z14=1,Z14=2),"    ",MAX($B$8:B13)+1))</f>
        <v xml:space="preserve">    </v>
      </c>
      <c r="C14" s="904" t="str">
        <f t="shared" si="0"/>
        <v>Academic Tasks</v>
      </c>
      <c r="D14" s="904"/>
      <c r="E14" s="904"/>
      <c r="F14" s="905"/>
      <c r="G14" s="133" t="str">
        <f t="shared" si="1"/>
        <v/>
      </c>
      <c r="H14" s="134" t="str">
        <f t="shared" si="2"/>
        <v/>
      </c>
      <c r="I14" s="152" t="str">
        <f t="shared" si="2"/>
        <v/>
      </c>
      <c r="J14" s="158"/>
      <c r="K14" s="159"/>
      <c r="L14" s="1015"/>
      <c r="M14" s="1016"/>
      <c r="N14" s="1016"/>
      <c r="O14" s="1016"/>
      <c r="P14" s="1016"/>
      <c r="Q14" s="1016"/>
      <c r="R14" s="1017"/>
      <c r="T14" s="99">
        <v>7</v>
      </c>
      <c r="U14" s="88" t="s">
        <v>351</v>
      </c>
      <c r="V14" s="453" t="s">
        <v>340</v>
      </c>
      <c r="W14" s="453" t="s">
        <v>340</v>
      </c>
      <c r="X14" s="453" t="s">
        <v>340</v>
      </c>
      <c r="Y14" s="453" t="s">
        <v>340</v>
      </c>
      <c r="Z14" s="146">
        <v>1</v>
      </c>
      <c r="AA14" s="146">
        <v>0</v>
      </c>
      <c r="AB14" s="146">
        <v>1</v>
      </c>
      <c r="AC14" s="453" t="s">
        <v>340</v>
      </c>
      <c r="AD14" s="453" t="s">
        <v>340</v>
      </c>
      <c r="AE14" s="453">
        <v>0</v>
      </c>
      <c r="AF14" s="453" t="s">
        <v>340</v>
      </c>
      <c r="AG14" s="453" t="str">
        <f t="shared" si="3"/>
        <v/>
      </c>
      <c r="AH14" s="453" t="str">
        <f t="shared" si="4"/>
        <v/>
      </c>
      <c r="AI14" s="138" t="str">
        <f>IF(NOT(OR(Z14=1,Z14=2)),IF(AQ14&gt;0,$AR$44*AQ14/SUMIF($AQ$8:$AQ$39,"&gt;0"),IF(AU14&gt;0,$AV$44*AU14/SUMIF($AU$8:$AU$39,"&gt;0"),IF(AS14&gt;0,$AT$44*AS14/SUMIF($AS$8:$AS$39,"&gt;0"),""))),IF(SUMIF(AJ15:$AJ$39,"=" &amp; AJ14,AI15:$AI$39)=0,"",SUMIF(AJ15:$AJ$39,"=" &amp; AJ14,AI15:$AI$39)))</f>
        <v/>
      </c>
      <c r="AJ14" s="139">
        <f t="shared" si="34"/>
        <v>1</v>
      </c>
      <c r="AK14" s="453" t="str">
        <f t="shared" si="27"/>
        <v/>
      </c>
      <c r="AL14" s="146" t="str">
        <f t="shared" si="28"/>
        <v/>
      </c>
      <c r="AM14" s="146" t="str">
        <f t="shared" si="35"/>
        <v/>
      </c>
      <c r="AN14" s="146" t="str">
        <f t="shared" si="5"/>
        <v/>
      </c>
      <c r="AO14" s="146" t="str">
        <f t="shared" si="6"/>
        <v/>
      </c>
      <c r="AP14" s="453" t="str">
        <f t="shared" si="7"/>
        <v/>
      </c>
      <c r="AQ14" s="140">
        <f t="shared" si="29"/>
        <v>0</v>
      </c>
      <c r="AR14" s="141" t="str">
        <f t="shared" si="8"/>
        <v/>
      </c>
      <c r="AS14" s="142">
        <f t="shared" si="30"/>
        <v>0</v>
      </c>
      <c r="AT14" s="141" t="str">
        <f t="shared" si="9"/>
        <v/>
      </c>
      <c r="AU14" s="143">
        <f t="shared" si="10"/>
        <v>0</v>
      </c>
      <c r="AV14" s="144" t="str">
        <f t="shared" si="11"/>
        <v/>
      </c>
      <c r="AW14" s="143" t="b">
        <f t="shared" si="12"/>
        <v>0</v>
      </c>
      <c r="AX14" s="145" t="b">
        <f t="shared" si="13"/>
        <v>0</v>
      </c>
      <c r="AY14" s="143" t="b">
        <f t="shared" si="14"/>
        <v>0</v>
      </c>
      <c r="AZ14" s="145" t="b">
        <f t="shared" si="15"/>
        <v>0</v>
      </c>
      <c r="BA14" s="453" t="b">
        <f t="shared" si="16"/>
        <v>0</v>
      </c>
      <c r="BB14" s="453" t="b">
        <f t="shared" si="17"/>
        <v>0</v>
      </c>
      <c r="BC14" s="143" t="b">
        <f t="shared" si="18"/>
        <v>0</v>
      </c>
      <c r="BD14" s="146" t="b">
        <f t="shared" si="31"/>
        <v>0</v>
      </c>
      <c r="BE14" s="145" t="b">
        <f t="shared" si="19"/>
        <v>0</v>
      </c>
      <c r="BF14" s="147" t="b">
        <f t="shared" si="20"/>
        <v>0</v>
      </c>
      <c r="BG14" s="453" t="b">
        <f t="shared" si="21"/>
        <v>0</v>
      </c>
      <c r="BH14" s="453" t="str">
        <f t="shared" si="32"/>
        <v/>
      </c>
      <c r="BI14" s="453" t="str">
        <f t="shared" si="22"/>
        <v/>
      </c>
      <c r="BJ14" s="453" t="str">
        <f t="shared" si="23"/>
        <v/>
      </c>
      <c r="BK14" s="453" t="str">
        <f t="shared" si="24"/>
        <v/>
      </c>
      <c r="BL14" s="148" t="str">
        <f t="shared" si="33"/>
        <v/>
      </c>
      <c r="BM14" s="453" t="str">
        <f t="shared" si="25"/>
        <v/>
      </c>
      <c r="BN14" s="453" t="str">
        <f t="shared" si="26"/>
        <v/>
      </c>
      <c r="BO14" s="155">
        <v>4</v>
      </c>
      <c r="BP14" s="156" t="s">
        <v>354</v>
      </c>
    </row>
    <row r="15" spans="2:73" s="94" customFormat="1" ht="12.95" customHeight="1" x14ac:dyDescent="0.2">
      <c r="B15" s="151" t="str">
        <f>IF(ISNA(Z15),"",IF(OR(Z15=1,Z15=2),"    ",MAX($B$8:B14)+1))</f>
        <v xml:space="preserve">    </v>
      </c>
      <c r="C15" s="904" t="str">
        <f t="shared" si="0"/>
        <v>Test Conduct (45.0%)</v>
      </c>
      <c r="D15" s="904"/>
      <c r="E15" s="904"/>
      <c r="F15" s="905"/>
      <c r="G15" s="133" t="str">
        <f t="shared" si="1"/>
        <v/>
      </c>
      <c r="H15" s="134" t="str">
        <f t="shared" si="2"/>
        <v/>
      </c>
      <c r="I15" s="152" t="str">
        <f t="shared" si="2"/>
        <v/>
      </c>
      <c r="J15" s="158"/>
      <c r="K15" s="159"/>
      <c r="L15" s="1015"/>
      <c r="M15" s="1016"/>
      <c r="N15" s="1016"/>
      <c r="O15" s="1016"/>
      <c r="P15" s="1016"/>
      <c r="Q15" s="1016"/>
      <c r="R15" s="1017"/>
      <c r="T15" s="99">
        <v>8</v>
      </c>
      <c r="U15" s="88" t="s">
        <v>353</v>
      </c>
      <c r="V15" s="453" t="s">
        <v>340</v>
      </c>
      <c r="W15" s="453" t="s">
        <v>340</v>
      </c>
      <c r="X15" s="453" t="s">
        <v>340</v>
      </c>
      <c r="Y15" s="453" t="s">
        <v>340</v>
      </c>
      <c r="Z15" s="146">
        <v>2</v>
      </c>
      <c r="AA15" s="146">
        <v>1</v>
      </c>
      <c r="AB15" s="146">
        <v>1</v>
      </c>
      <c r="AC15" s="453" t="s">
        <v>340</v>
      </c>
      <c r="AD15" s="453" t="s">
        <v>340</v>
      </c>
      <c r="AE15" s="453" t="s">
        <v>340</v>
      </c>
      <c r="AF15" s="453" t="s">
        <v>340</v>
      </c>
      <c r="AG15" s="453" t="str">
        <f t="shared" si="3"/>
        <v/>
      </c>
      <c r="AH15" s="453" t="str">
        <f t="shared" si="4"/>
        <v/>
      </c>
      <c r="AI15" s="138">
        <f>IF(NOT(OR(Z15=1,Z15=2)),IF(AQ15&gt;0,$AR$44*AQ15/SUMIF($AQ$8:$AQ$39,"&gt;0"),IF(AU15&gt;0,$AV$44*AU15/SUMIF($AU$8:$AU$39,"&gt;0"),IF(AS15&gt;0,$AT$44*AS15/SUMIF($AS$8:$AS$39,"&gt;0"),""))),IF(SUMIF(AJ16:$AJ$39,"=" &amp; AJ15,AI16:$AI$39)=0,"",SUMIF(AJ16:$AJ$39,"=" &amp; AJ15,AI16:$AI$39)))</f>
        <v>0.45</v>
      </c>
      <c r="AJ15" s="139">
        <f t="shared" si="34"/>
        <v>2</v>
      </c>
      <c r="AK15" s="453" t="str">
        <f t="shared" si="27"/>
        <v/>
      </c>
      <c r="AL15" s="146" t="str">
        <f t="shared" si="28"/>
        <v/>
      </c>
      <c r="AM15" s="146" t="str">
        <f t="shared" si="35"/>
        <v/>
      </c>
      <c r="AN15" s="146" t="str">
        <f t="shared" si="5"/>
        <v/>
      </c>
      <c r="AO15" s="146" t="str">
        <f t="shared" si="6"/>
        <v/>
      </c>
      <c r="AP15" s="453" t="str">
        <f t="shared" si="7"/>
        <v/>
      </c>
      <c r="AQ15" s="140">
        <f t="shared" si="29"/>
        <v>0</v>
      </c>
      <c r="AR15" s="141" t="str">
        <f t="shared" si="8"/>
        <v/>
      </c>
      <c r="AS15" s="142">
        <f t="shared" si="30"/>
        <v>0</v>
      </c>
      <c r="AT15" s="141" t="str">
        <f t="shared" si="9"/>
        <v/>
      </c>
      <c r="AU15" s="143">
        <f t="shared" si="10"/>
        <v>0</v>
      </c>
      <c r="AV15" s="144" t="str">
        <f t="shared" si="11"/>
        <v/>
      </c>
      <c r="AW15" s="143" t="b">
        <f t="shared" si="12"/>
        <v>0</v>
      </c>
      <c r="AX15" s="145" t="b">
        <f t="shared" si="13"/>
        <v>0</v>
      </c>
      <c r="AY15" s="143" t="b">
        <f t="shared" si="14"/>
        <v>0</v>
      </c>
      <c r="AZ15" s="145" t="b">
        <f t="shared" si="15"/>
        <v>0</v>
      </c>
      <c r="BA15" s="453" t="b">
        <f t="shared" si="16"/>
        <v>0</v>
      </c>
      <c r="BB15" s="453" t="b">
        <f t="shared" si="17"/>
        <v>0</v>
      </c>
      <c r="BC15" s="143" t="b">
        <f t="shared" si="18"/>
        <v>0</v>
      </c>
      <c r="BD15" s="146" t="b">
        <f t="shared" si="31"/>
        <v>0</v>
      </c>
      <c r="BE15" s="145" t="b">
        <f t="shared" si="19"/>
        <v>0</v>
      </c>
      <c r="BF15" s="147" t="b">
        <f t="shared" si="20"/>
        <v>0</v>
      </c>
      <c r="BG15" s="453" t="b">
        <f t="shared" si="21"/>
        <v>0</v>
      </c>
      <c r="BH15" s="453" t="str">
        <f t="shared" si="32"/>
        <v/>
      </c>
      <c r="BI15" s="453" t="str">
        <f t="shared" si="22"/>
        <v/>
      </c>
      <c r="BJ15" s="453" t="str">
        <f t="shared" si="23"/>
        <v/>
      </c>
      <c r="BK15" s="453" t="str">
        <f t="shared" si="24"/>
        <v/>
      </c>
      <c r="BL15" s="148" t="str">
        <f t="shared" si="33"/>
        <v/>
      </c>
      <c r="BM15" s="453" t="str">
        <f t="shared" si="25"/>
        <v/>
      </c>
      <c r="BN15" s="453" t="str">
        <f t="shared" si="26"/>
        <v/>
      </c>
      <c r="BO15" s="90"/>
    </row>
    <row r="16" spans="2:73" s="94" customFormat="1" ht="12.95" customHeight="1" x14ac:dyDescent="0.2">
      <c r="B16" s="151">
        <f>IF(ISNA(Z16),"",IF(OR(Z16=1,Z16=2),"    ",MAX($B$8:B15)+1))</f>
        <v>6</v>
      </c>
      <c r="C16" s="904" t="str">
        <f t="shared" si="0"/>
        <v xml:space="preserve">      - Mission Preparation/Prebrief (11.3%)</v>
      </c>
      <c r="D16" s="904"/>
      <c r="E16" s="904"/>
      <c r="F16" s="905"/>
      <c r="G16" s="133">
        <f t="shared" si="1"/>
        <v>1</v>
      </c>
      <c r="H16" s="134" t="str">
        <f t="shared" si="2"/>
        <v>2*</v>
      </c>
      <c r="I16" s="152">
        <f t="shared" si="2"/>
        <v>3</v>
      </c>
      <c r="J16" s="157"/>
      <c r="K16" s="154"/>
      <c r="L16" s="1015"/>
      <c r="M16" s="1016"/>
      <c r="N16" s="1016"/>
      <c r="O16" s="1016"/>
      <c r="P16" s="1016"/>
      <c r="Q16" s="1016"/>
      <c r="R16" s="1017"/>
      <c r="T16" s="99">
        <v>9</v>
      </c>
      <c r="U16" s="88" t="s">
        <v>589</v>
      </c>
      <c r="V16" s="453">
        <v>1</v>
      </c>
      <c r="W16" s="453">
        <v>10</v>
      </c>
      <c r="X16" s="453" t="s">
        <v>340</v>
      </c>
      <c r="Y16" s="453" t="s">
        <v>340</v>
      </c>
      <c r="Z16" s="146" t="s">
        <v>340</v>
      </c>
      <c r="AA16" s="146">
        <v>2</v>
      </c>
      <c r="AB16" s="146">
        <v>1</v>
      </c>
      <c r="AC16" s="453">
        <v>3</v>
      </c>
      <c r="AD16" s="453">
        <v>2</v>
      </c>
      <c r="AE16" s="453">
        <v>1</v>
      </c>
      <c r="AF16" s="453" t="b">
        <v>1</v>
      </c>
      <c r="AG16" s="453">
        <f t="shared" si="3"/>
        <v>2</v>
      </c>
      <c r="AH16" s="453">
        <f t="shared" si="4"/>
        <v>1</v>
      </c>
      <c r="AI16" s="138">
        <f>IF(NOT(OR(Z16=1,Z16=2)),IF(AQ16&gt;0,$AR$44*AQ16/SUMIF($AQ$8:$AQ$39,"&gt;0"),IF(AU16&gt;0,$AV$44*AU16/SUMIF($AU$8:$AU$39,"&gt;0"),IF(AS16&gt;0,$AT$44*AS16/SUMIF($AS$8:$AS$39,"&gt;0"),""))),IF(SUMIF(AJ17:$AJ$39,"=" &amp; AJ16,AI17:$AI$39)=0,"",SUMIF(AJ17:$AJ$39,"=" &amp; AJ16,AI17:$AI$39)))</f>
        <v>0.1125</v>
      </c>
      <c r="AJ16" s="139">
        <f t="shared" si="34"/>
        <v>2</v>
      </c>
      <c r="AK16" s="453">
        <f t="shared" si="27"/>
        <v>2</v>
      </c>
      <c r="AL16" s="146" t="str">
        <f t="shared" si="28"/>
        <v/>
      </c>
      <c r="AM16" s="146" t="str">
        <f t="shared" si="35"/>
        <v/>
      </c>
      <c r="AN16" s="146" t="str">
        <f t="shared" si="5"/>
        <v/>
      </c>
      <c r="AO16" s="146" t="str">
        <f t="shared" si="6"/>
        <v/>
      </c>
      <c r="AP16" s="453" t="b">
        <f t="shared" si="7"/>
        <v>1</v>
      </c>
      <c r="AQ16" s="140">
        <f t="shared" si="29"/>
        <v>10</v>
      </c>
      <c r="AR16" s="141" t="str">
        <f t="shared" si="8"/>
        <v/>
      </c>
      <c r="AS16" s="142">
        <f t="shared" si="30"/>
        <v>0</v>
      </c>
      <c r="AT16" s="141" t="str">
        <f t="shared" si="9"/>
        <v/>
      </c>
      <c r="AU16" s="143">
        <f t="shared" si="10"/>
        <v>0</v>
      </c>
      <c r="AV16" s="144" t="str">
        <f t="shared" si="11"/>
        <v/>
      </c>
      <c r="AW16" s="143" t="b">
        <f t="shared" si="12"/>
        <v>0</v>
      </c>
      <c r="AX16" s="145" t="b">
        <f t="shared" si="13"/>
        <v>1</v>
      </c>
      <c r="AY16" s="143" t="b">
        <f t="shared" si="14"/>
        <v>0</v>
      </c>
      <c r="AZ16" s="145" t="b">
        <f t="shared" si="15"/>
        <v>0</v>
      </c>
      <c r="BA16" s="453" t="b">
        <f t="shared" si="16"/>
        <v>0</v>
      </c>
      <c r="BB16" s="453" t="b">
        <f t="shared" si="17"/>
        <v>0</v>
      </c>
      <c r="BC16" s="143" t="b">
        <f t="shared" si="18"/>
        <v>0</v>
      </c>
      <c r="BD16" s="146" t="b">
        <f t="shared" si="31"/>
        <v>0</v>
      </c>
      <c r="BE16" s="145" t="b">
        <f t="shared" si="19"/>
        <v>0</v>
      </c>
      <c r="BF16" s="147" t="b">
        <f t="shared" si="20"/>
        <v>0</v>
      </c>
      <c r="BG16" s="453" t="b">
        <f t="shared" si="21"/>
        <v>1</v>
      </c>
      <c r="BH16" s="453">
        <f t="shared" si="32"/>
        <v>1</v>
      </c>
      <c r="BI16" s="453">
        <f t="shared" si="22"/>
        <v>2</v>
      </c>
      <c r="BJ16" s="453" t="str">
        <f t="shared" si="23"/>
        <v>2*</v>
      </c>
      <c r="BK16" s="453">
        <f t="shared" si="24"/>
        <v>3</v>
      </c>
      <c r="BL16" s="148">
        <f t="shared" si="33"/>
        <v>1</v>
      </c>
      <c r="BM16" s="453">
        <f t="shared" si="25"/>
        <v>2</v>
      </c>
      <c r="BN16" s="453">
        <f t="shared" si="26"/>
        <v>3</v>
      </c>
      <c r="BO16" s="155"/>
      <c r="BP16" s="160"/>
    </row>
    <row r="17" spans="2:73" s="94" customFormat="1" ht="12.95" customHeight="1" x14ac:dyDescent="0.2">
      <c r="B17" s="151">
        <f>IF(ISNA(Z17),"",IF(OR(Z17=1,Z17=2),"    ",MAX($B$8:B16)+1))</f>
        <v>7</v>
      </c>
      <c r="C17" s="904" t="str">
        <f t="shared" si="0"/>
        <v xml:space="preserve">      - Awareness/Adaptation (11.3%)</v>
      </c>
      <c r="D17" s="904"/>
      <c r="E17" s="904"/>
      <c r="F17" s="905"/>
      <c r="G17" s="133">
        <f t="shared" si="1"/>
        <v>1</v>
      </c>
      <c r="H17" s="134" t="str">
        <f t="shared" si="2"/>
        <v>2*</v>
      </c>
      <c r="I17" s="152">
        <f t="shared" si="2"/>
        <v>3</v>
      </c>
      <c r="J17" s="157"/>
      <c r="K17" s="154"/>
      <c r="L17" s="1015"/>
      <c r="M17" s="1016"/>
      <c r="N17" s="1016"/>
      <c r="O17" s="1016"/>
      <c r="P17" s="1016"/>
      <c r="Q17" s="1016"/>
      <c r="R17" s="1017"/>
      <c r="T17" s="99">
        <v>10</v>
      </c>
      <c r="U17" s="88" t="s">
        <v>499</v>
      </c>
      <c r="V17" s="453">
        <v>1</v>
      </c>
      <c r="W17" s="453">
        <v>10</v>
      </c>
      <c r="X17" s="453" t="s">
        <v>340</v>
      </c>
      <c r="Y17" s="453" t="s">
        <v>340</v>
      </c>
      <c r="Z17" s="146" t="s">
        <v>340</v>
      </c>
      <c r="AA17" s="146">
        <v>2</v>
      </c>
      <c r="AB17" s="146">
        <v>1</v>
      </c>
      <c r="AC17" s="453">
        <v>3</v>
      </c>
      <c r="AD17" s="453">
        <v>2</v>
      </c>
      <c r="AE17" s="453">
        <v>1</v>
      </c>
      <c r="AF17" s="453" t="b">
        <v>1</v>
      </c>
      <c r="AG17" s="453">
        <f t="shared" si="3"/>
        <v>2</v>
      </c>
      <c r="AH17" s="453">
        <f t="shared" si="4"/>
        <v>1</v>
      </c>
      <c r="AI17" s="138">
        <f>IF(NOT(OR(Z17=1,Z17=2)),IF(AQ17&gt;0,$AR$44*AQ17/SUMIF($AQ$8:$AQ$39,"&gt;0"),IF(AU17&gt;0,$AV$44*AU17/SUMIF($AU$8:$AU$39,"&gt;0"),IF(AS17&gt;0,$AT$44*AS17/SUMIF($AS$8:$AS$39,"&gt;0"),""))),IF(SUMIF(AJ18:$AJ$39,"=" &amp; AJ17,AI18:$AI$39)=0,"",SUMIF(AJ18:$AJ$39,"=" &amp; AJ17,AI18:$AI$39)))</f>
        <v>0.1125</v>
      </c>
      <c r="AJ17" s="139">
        <f t="shared" si="34"/>
        <v>2</v>
      </c>
      <c r="AK17" s="453">
        <f t="shared" si="27"/>
        <v>2</v>
      </c>
      <c r="AL17" s="146" t="str">
        <f t="shared" si="28"/>
        <v/>
      </c>
      <c r="AM17" s="146" t="str">
        <f t="shared" si="35"/>
        <v/>
      </c>
      <c r="AN17" s="146" t="str">
        <f t="shared" si="5"/>
        <v/>
      </c>
      <c r="AO17" s="146" t="str">
        <f t="shared" si="6"/>
        <v/>
      </c>
      <c r="AP17" s="453" t="b">
        <f t="shared" si="7"/>
        <v>1</v>
      </c>
      <c r="AQ17" s="140">
        <f t="shared" si="29"/>
        <v>10</v>
      </c>
      <c r="AR17" s="141" t="str">
        <f t="shared" si="8"/>
        <v/>
      </c>
      <c r="AS17" s="142">
        <f t="shared" si="30"/>
        <v>0</v>
      </c>
      <c r="AT17" s="141" t="str">
        <f t="shared" si="9"/>
        <v/>
      </c>
      <c r="AU17" s="143">
        <f t="shared" si="10"/>
        <v>0</v>
      </c>
      <c r="AV17" s="144" t="str">
        <f t="shared" si="11"/>
        <v/>
      </c>
      <c r="AW17" s="143" t="b">
        <f t="shared" si="12"/>
        <v>0</v>
      </c>
      <c r="AX17" s="145" t="b">
        <f t="shared" si="13"/>
        <v>1</v>
      </c>
      <c r="AY17" s="143" t="b">
        <f t="shared" si="14"/>
        <v>0</v>
      </c>
      <c r="AZ17" s="145" t="b">
        <f t="shared" si="15"/>
        <v>0</v>
      </c>
      <c r="BA17" s="453" t="b">
        <f t="shared" si="16"/>
        <v>0</v>
      </c>
      <c r="BB17" s="453" t="b">
        <f t="shared" si="17"/>
        <v>0</v>
      </c>
      <c r="BC17" s="143" t="b">
        <f t="shared" si="18"/>
        <v>0</v>
      </c>
      <c r="BD17" s="146" t="b">
        <f t="shared" si="31"/>
        <v>0</v>
      </c>
      <c r="BE17" s="145" t="b">
        <f t="shared" si="19"/>
        <v>0</v>
      </c>
      <c r="BF17" s="147" t="b">
        <f t="shared" si="20"/>
        <v>0</v>
      </c>
      <c r="BG17" s="453" t="b">
        <f t="shared" si="21"/>
        <v>1</v>
      </c>
      <c r="BH17" s="453">
        <f t="shared" si="32"/>
        <v>1</v>
      </c>
      <c r="BI17" s="453">
        <f t="shared" si="22"/>
        <v>2</v>
      </c>
      <c r="BJ17" s="453" t="str">
        <f t="shared" si="23"/>
        <v>2*</v>
      </c>
      <c r="BK17" s="453">
        <f t="shared" si="24"/>
        <v>3</v>
      </c>
      <c r="BL17" s="148">
        <f t="shared" si="33"/>
        <v>1</v>
      </c>
      <c r="BM17" s="453">
        <f t="shared" si="25"/>
        <v>2</v>
      </c>
      <c r="BN17" s="453">
        <f t="shared" si="26"/>
        <v>3</v>
      </c>
      <c r="BO17" s="90"/>
    </row>
    <row r="18" spans="2:73" s="94" customFormat="1" ht="12.95" customHeight="1" x14ac:dyDescent="0.2">
      <c r="B18" s="151">
        <f>IF(ISNA(Z18),"",IF(OR(Z18=1,Z18=2),"    ",MAX($B$8:B17)+1))</f>
        <v>8</v>
      </c>
      <c r="C18" s="904" t="str">
        <f t="shared" si="0"/>
        <v xml:space="preserve">      - Communication (11.3%)</v>
      </c>
      <c r="D18" s="904"/>
      <c r="E18" s="904"/>
      <c r="F18" s="905"/>
      <c r="G18" s="133">
        <f t="shared" si="1"/>
        <v>1</v>
      </c>
      <c r="H18" s="134" t="str">
        <f t="shared" si="2"/>
        <v>2*</v>
      </c>
      <c r="I18" s="152">
        <f t="shared" si="2"/>
        <v>3</v>
      </c>
      <c r="J18" s="157"/>
      <c r="K18" s="154"/>
      <c r="L18" s="1015"/>
      <c r="M18" s="1016"/>
      <c r="N18" s="1016"/>
      <c r="O18" s="1016"/>
      <c r="P18" s="1016"/>
      <c r="Q18" s="1016"/>
      <c r="R18" s="1017"/>
      <c r="T18" s="99">
        <v>11</v>
      </c>
      <c r="U18" s="88" t="s">
        <v>500</v>
      </c>
      <c r="V18" s="453">
        <v>1</v>
      </c>
      <c r="W18" s="453">
        <v>10</v>
      </c>
      <c r="X18" s="453" t="s">
        <v>340</v>
      </c>
      <c r="Y18" s="453" t="s">
        <v>340</v>
      </c>
      <c r="Z18" s="146" t="s">
        <v>340</v>
      </c>
      <c r="AA18" s="146">
        <v>2</v>
      </c>
      <c r="AB18" s="146">
        <v>1</v>
      </c>
      <c r="AC18" s="453">
        <v>3</v>
      </c>
      <c r="AD18" s="453">
        <v>2</v>
      </c>
      <c r="AE18" s="453">
        <v>1</v>
      </c>
      <c r="AF18" s="453" t="b">
        <v>1</v>
      </c>
      <c r="AG18" s="453">
        <f t="shared" si="3"/>
        <v>2</v>
      </c>
      <c r="AH18" s="453">
        <f t="shared" si="4"/>
        <v>1</v>
      </c>
      <c r="AI18" s="138">
        <f>IF(NOT(OR(Z18=1,Z18=2)),IF(AQ18&gt;0,$AR$44*AQ18/SUMIF($AQ$8:$AQ$39,"&gt;0"),IF(AU18&gt;0,$AV$44*AU18/SUMIF($AU$8:$AU$39,"&gt;0"),IF(AS18&gt;0,$AT$44*AS18/SUMIF($AS$8:$AS$39,"&gt;0"),""))),IF(SUMIF(AJ19:$AJ$39,"=" &amp; AJ18,AI19:$AI$39)=0,"",SUMIF(AJ19:$AJ$39,"=" &amp; AJ18,AI19:$AI$39)))</f>
        <v>0.1125</v>
      </c>
      <c r="AJ18" s="139">
        <f t="shared" si="34"/>
        <v>2</v>
      </c>
      <c r="AK18" s="453">
        <f t="shared" si="27"/>
        <v>2</v>
      </c>
      <c r="AL18" s="146" t="str">
        <f t="shared" si="28"/>
        <v/>
      </c>
      <c r="AM18" s="146" t="str">
        <f t="shared" si="35"/>
        <v/>
      </c>
      <c r="AN18" s="146" t="str">
        <f t="shared" si="5"/>
        <v/>
      </c>
      <c r="AO18" s="146" t="str">
        <f t="shared" si="6"/>
        <v/>
      </c>
      <c r="AP18" s="453" t="b">
        <f t="shared" si="7"/>
        <v>1</v>
      </c>
      <c r="AQ18" s="140">
        <f t="shared" si="29"/>
        <v>10</v>
      </c>
      <c r="AR18" s="141" t="str">
        <f t="shared" si="8"/>
        <v/>
      </c>
      <c r="AS18" s="142">
        <f t="shared" si="30"/>
        <v>0</v>
      </c>
      <c r="AT18" s="141" t="str">
        <f t="shared" si="9"/>
        <v/>
      </c>
      <c r="AU18" s="143">
        <f t="shared" si="10"/>
        <v>0</v>
      </c>
      <c r="AV18" s="144" t="str">
        <f t="shared" si="11"/>
        <v/>
      </c>
      <c r="AW18" s="143" t="b">
        <f t="shared" si="12"/>
        <v>0</v>
      </c>
      <c r="AX18" s="145" t="b">
        <f t="shared" si="13"/>
        <v>1</v>
      </c>
      <c r="AY18" s="143" t="b">
        <f t="shared" si="14"/>
        <v>0</v>
      </c>
      <c r="AZ18" s="145" t="b">
        <f t="shared" si="15"/>
        <v>0</v>
      </c>
      <c r="BA18" s="453" t="b">
        <f t="shared" si="16"/>
        <v>0</v>
      </c>
      <c r="BB18" s="453" t="b">
        <f t="shared" si="17"/>
        <v>0</v>
      </c>
      <c r="BC18" s="143" t="b">
        <f t="shared" si="18"/>
        <v>0</v>
      </c>
      <c r="BD18" s="146" t="b">
        <f t="shared" si="31"/>
        <v>0</v>
      </c>
      <c r="BE18" s="145" t="b">
        <f t="shared" si="19"/>
        <v>0</v>
      </c>
      <c r="BF18" s="147" t="b">
        <f t="shared" si="20"/>
        <v>0</v>
      </c>
      <c r="BG18" s="453" t="b">
        <f t="shared" si="21"/>
        <v>1</v>
      </c>
      <c r="BH18" s="453">
        <f t="shared" si="32"/>
        <v>1</v>
      </c>
      <c r="BI18" s="453">
        <f t="shared" si="22"/>
        <v>2</v>
      </c>
      <c r="BJ18" s="453" t="str">
        <f t="shared" si="23"/>
        <v>2*</v>
      </c>
      <c r="BK18" s="453">
        <f t="shared" si="24"/>
        <v>3</v>
      </c>
      <c r="BL18" s="148">
        <f t="shared" si="33"/>
        <v>1</v>
      </c>
      <c r="BM18" s="453">
        <f t="shared" si="25"/>
        <v>2</v>
      </c>
      <c r="BN18" s="453">
        <f t="shared" si="26"/>
        <v>3</v>
      </c>
      <c r="BO18" s="300"/>
      <c r="BP18" s="160" t="s">
        <v>355</v>
      </c>
      <c r="BQ18" s="161"/>
      <c r="BR18" s="161"/>
      <c r="BS18" s="161"/>
      <c r="BT18" s="161"/>
      <c r="BU18" s="161"/>
    </row>
    <row r="19" spans="2:73" s="94" customFormat="1" ht="12.95" customHeight="1" x14ac:dyDescent="0.2">
      <c r="B19" s="151">
        <f>IF(ISNA(Z19),"",IF(OR(Z19=1,Z19=2),"    ",MAX($B$8:B18)+1))</f>
        <v>9</v>
      </c>
      <c r="C19" s="904" t="str">
        <f t="shared" si="0"/>
        <v xml:space="preserve">      - Teamwork (11.3%)</v>
      </c>
      <c r="D19" s="904"/>
      <c r="E19" s="904"/>
      <c r="F19" s="905"/>
      <c r="G19" s="133">
        <f t="shared" si="1"/>
        <v>1</v>
      </c>
      <c r="H19" s="134" t="str">
        <f t="shared" si="2"/>
        <v>2*</v>
      </c>
      <c r="I19" s="152">
        <f t="shared" si="2"/>
        <v>3</v>
      </c>
      <c r="J19" s="157"/>
      <c r="K19" s="154"/>
      <c r="L19" s="1015"/>
      <c r="M19" s="1016"/>
      <c r="N19" s="1016"/>
      <c r="O19" s="1016"/>
      <c r="P19" s="1016"/>
      <c r="Q19" s="1016"/>
      <c r="R19" s="1017"/>
      <c r="T19" s="99">
        <v>12</v>
      </c>
      <c r="U19" s="88" t="s">
        <v>501</v>
      </c>
      <c r="V19" s="453">
        <v>1</v>
      </c>
      <c r="W19" s="453">
        <v>10</v>
      </c>
      <c r="X19" s="453" t="s">
        <v>340</v>
      </c>
      <c r="Y19" s="453" t="s">
        <v>340</v>
      </c>
      <c r="Z19" s="146" t="s">
        <v>340</v>
      </c>
      <c r="AA19" s="146">
        <v>2</v>
      </c>
      <c r="AB19" s="146">
        <v>1</v>
      </c>
      <c r="AC19" s="453">
        <v>3</v>
      </c>
      <c r="AD19" s="453">
        <v>2</v>
      </c>
      <c r="AE19" s="453">
        <v>1</v>
      </c>
      <c r="AF19" s="453" t="b">
        <v>1</v>
      </c>
      <c r="AG19" s="453">
        <f t="shared" si="3"/>
        <v>2</v>
      </c>
      <c r="AH19" s="453">
        <f t="shared" si="4"/>
        <v>1</v>
      </c>
      <c r="AI19" s="138">
        <f>IF(NOT(OR(Z19=1,Z19=2)),IF(AQ19&gt;0,$AR$44*AQ19/SUMIF($AQ$8:$AQ$39,"&gt;0"),IF(AU19&gt;0,$AV$44*AU19/SUMIF($AU$8:$AU$39,"&gt;0"),IF(AS19&gt;0,$AT$44*AS19/SUMIF($AS$8:$AS$39,"&gt;0"),""))),IF(SUMIF(AJ20:$AJ$39,"=" &amp; AJ19,AI20:$AI$39)=0,"",SUMIF(AJ20:$AJ$39,"=" &amp; AJ19,AI20:$AI$39)))</f>
        <v>0.1125</v>
      </c>
      <c r="AJ19" s="139">
        <f t="shared" si="34"/>
        <v>2</v>
      </c>
      <c r="AK19" s="453">
        <f t="shared" si="27"/>
        <v>2</v>
      </c>
      <c r="AL19" s="146" t="str">
        <f t="shared" si="28"/>
        <v/>
      </c>
      <c r="AM19" s="146" t="str">
        <f t="shared" si="35"/>
        <v/>
      </c>
      <c r="AN19" s="146" t="str">
        <f t="shared" si="5"/>
        <v/>
      </c>
      <c r="AO19" s="146" t="str">
        <f t="shared" si="6"/>
        <v/>
      </c>
      <c r="AP19" s="453" t="b">
        <f t="shared" si="7"/>
        <v>1</v>
      </c>
      <c r="AQ19" s="140">
        <f t="shared" si="29"/>
        <v>10</v>
      </c>
      <c r="AR19" s="141" t="str">
        <f t="shared" si="8"/>
        <v/>
      </c>
      <c r="AS19" s="142">
        <f t="shared" si="30"/>
        <v>0</v>
      </c>
      <c r="AT19" s="141" t="str">
        <f t="shared" si="9"/>
        <v/>
      </c>
      <c r="AU19" s="143">
        <f t="shared" si="10"/>
        <v>0</v>
      </c>
      <c r="AV19" s="144" t="str">
        <f t="shared" si="11"/>
        <v/>
      </c>
      <c r="AW19" s="143" t="b">
        <f t="shared" si="12"/>
        <v>0</v>
      </c>
      <c r="AX19" s="145" t="b">
        <f t="shared" si="13"/>
        <v>1</v>
      </c>
      <c r="AY19" s="143" t="b">
        <f t="shared" si="14"/>
        <v>0</v>
      </c>
      <c r="AZ19" s="145" t="b">
        <f t="shared" si="15"/>
        <v>0</v>
      </c>
      <c r="BA19" s="453" t="b">
        <f t="shared" si="16"/>
        <v>0</v>
      </c>
      <c r="BB19" s="453" t="b">
        <f t="shared" si="17"/>
        <v>0</v>
      </c>
      <c r="BC19" s="143" t="b">
        <f t="shared" si="18"/>
        <v>0</v>
      </c>
      <c r="BD19" s="146" t="b">
        <f t="shared" si="31"/>
        <v>0</v>
      </c>
      <c r="BE19" s="145" t="b">
        <f t="shared" si="19"/>
        <v>0</v>
      </c>
      <c r="BF19" s="147" t="b">
        <f t="shared" si="20"/>
        <v>0</v>
      </c>
      <c r="BG19" s="453" t="b">
        <f t="shared" si="21"/>
        <v>1</v>
      </c>
      <c r="BH19" s="453">
        <f t="shared" si="32"/>
        <v>1</v>
      </c>
      <c r="BI19" s="453">
        <f t="shared" si="22"/>
        <v>2</v>
      </c>
      <c r="BJ19" s="453" t="str">
        <f t="shared" si="23"/>
        <v>2*</v>
      </c>
      <c r="BK19" s="453">
        <f t="shared" si="24"/>
        <v>3</v>
      </c>
      <c r="BL19" s="148">
        <f t="shared" si="33"/>
        <v>1</v>
      </c>
      <c r="BM19" s="453">
        <f t="shared" si="25"/>
        <v>2</v>
      </c>
      <c r="BN19" s="453">
        <f t="shared" si="26"/>
        <v>3</v>
      </c>
      <c r="BO19" s="300"/>
      <c r="BP19" s="150"/>
      <c r="BQ19" s="935" t="s">
        <v>356</v>
      </c>
      <c r="BR19" s="935"/>
      <c r="BS19" s="935"/>
      <c r="BT19" s="935"/>
      <c r="BU19" s="935"/>
    </row>
    <row r="20" spans="2:73" s="94" customFormat="1" ht="12.95" customHeight="1" x14ac:dyDescent="0.2">
      <c r="B20" s="151" t="str">
        <f>IF(ISNA(Z20),"",IF(OR(Z20=1,Z20=2),"    ",MAX($B$8:B19)+1))</f>
        <v xml:space="preserve">    </v>
      </c>
      <c r="C20" s="904" t="str">
        <f t="shared" si="0"/>
        <v>Test Points/Procedures (39.4%)</v>
      </c>
      <c r="D20" s="904"/>
      <c r="E20" s="904"/>
      <c r="F20" s="905"/>
      <c r="G20" s="133" t="str">
        <f t="shared" si="1"/>
        <v/>
      </c>
      <c r="H20" s="134" t="str">
        <f t="shared" si="2"/>
        <v/>
      </c>
      <c r="I20" s="152" t="str">
        <f t="shared" si="2"/>
        <v/>
      </c>
      <c r="J20" s="158"/>
      <c r="K20" s="159"/>
      <c r="L20" s="1015"/>
      <c r="M20" s="1016"/>
      <c r="N20" s="1016"/>
      <c r="O20" s="1016"/>
      <c r="P20" s="1016"/>
      <c r="Q20" s="1016"/>
      <c r="R20" s="1017"/>
      <c r="T20" s="99">
        <v>13</v>
      </c>
      <c r="U20" s="88" t="s">
        <v>590</v>
      </c>
      <c r="V20" s="453" t="s">
        <v>340</v>
      </c>
      <c r="W20" s="453" t="s">
        <v>340</v>
      </c>
      <c r="X20" s="453" t="s">
        <v>340</v>
      </c>
      <c r="Y20" s="453" t="s">
        <v>340</v>
      </c>
      <c r="Z20" s="146">
        <v>2</v>
      </c>
      <c r="AA20" s="146">
        <v>1</v>
      </c>
      <c r="AB20" s="146">
        <v>1</v>
      </c>
      <c r="AC20" s="453" t="s">
        <v>340</v>
      </c>
      <c r="AD20" s="453" t="s">
        <v>340</v>
      </c>
      <c r="AE20" s="453" t="s">
        <v>340</v>
      </c>
      <c r="AF20" s="453" t="s">
        <v>340</v>
      </c>
      <c r="AG20" s="453" t="str">
        <f t="shared" si="3"/>
        <v/>
      </c>
      <c r="AH20" s="453" t="str">
        <f t="shared" si="4"/>
        <v/>
      </c>
      <c r="AI20" s="138">
        <f>IF(NOT(OR(Z20=1,Z20=2)),IF(AQ20&gt;0,$AR$44*AQ20/SUMIF($AQ$8:$AQ$39,"&gt;0"),IF(AU20&gt;0,$AV$44*AU20/SUMIF($AU$8:$AU$39,"&gt;0"),IF(AS20&gt;0,$AT$44*AS20/SUMIF($AS$8:$AS$39,"&gt;0"),""))),IF(SUMIF(AJ21:$AJ$39,"=" &amp; AJ20,AI21:$AI$39)=0,"",SUMIF(AJ21:$AJ$39,"=" &amp; AJ20,AI21:$AI$39)))</f>
        <v>0.39375000000000004</v>
      </c>
      <c r="AJ20" s="139">
        <f t="shared" si="34"/>
        <v>3</v>
      </c>
      <c r="AK20" s="453" t="str">
        <f t="shared" si="27"/>
        <v/>
      </c>
      <c r="AL20" s="146" t="str">
        <f t="shared" si="28"/>
        <v/>
      </c>
      <c r="AM20" s="146" t="str">
        <f t="shared" si="35"/>
        <v/>
      </c>
      <c r="AN20" s="146" t="str">
        <f t="shared" si="5"/>
        <v/>
      </c>
      <c r="AO20" s="146" t="str">
        <f t="shared" si="6"/>
        <v/>
      </c>
      <c r="AP20" s="453" t="str">
        <f t="shared" si="7"/>
        <v/>
      </c>
      <c r="AQ20" s="140">
        <f t="shared" si="29"/>
        <v>0</v>
      </c>
      <c r="AR20" s="141" t="str">
        <f t="shared" si="8"/>
        <v/>
      </c>
      <c r="AS20" s="142">
        <f t="shared" si="30"/>
        <v>0</v>
      </c>
      <c r="AT20" s="141" t="str">
        <f t="shared" si="9"/>
        <v/>
      </c>
      <c r="AU20" s="143">
        <f t="shared" si="10"/>
        <v>0</v>
      </c>
      <c r="AV20" s="144" t="str">
        <f t="shared" si="11"/>
        <v/>
      </c>
      <c r="AW20" s="143" t="b">
        <f t="shared" si="12"/>
        <v>0</v>
      </c>
      <c r="AX20" s="145" t="b">
        <f t="shared" si="13"/>
        <v>0</v>
      </c>
      <c r="AY20" s="143" t="b">
        <f t="shared" si="14"/>
        <v>0</v>
      </c>
      <c r="AZ20" s="145" t="b">
        <f t="shared" si="15"/>
        <v>0</v>
      </c>
      <c r="BA20" s="453" t="b">
        <f t="shared" si="16"/>
        <v>0</v>
      </c>
      <c r="BB20" s="453" t="b">
        <f t="shared" si="17"/>
        <v>0</v>
      </c>
      <c r="BC20" s="143" t="b">
        <f t="shared" si="18"/>
        <v>0</v>
      </c>
      <c r="BD20" s="146" t="b">
        <f t="shared" si="31"/>
        <v>0</v>
      </c>
      <c r="BE20" s="145" t="b">
        <f t="shared" si="19"/>
        <v>0</v>
      </c>
      <c r="BF20" s="147" t="b">
        <f t="shared" si="20"/>
        <v>0</v>
      </c>
      <c r="BG20" s="453" t="b">
        <f t="shared" si="21"/>
        <v>0</v>
      </c>
      <c r="BH20" s="453" t="str">
        <f t="shared" si="32"/>
        <v/>
      </c>
      <c r="BI20" s="453" t="str">
        <f t="shared" si="22"/>
        <v/>
      </c>
      <c r="BJ20" s="453" t="str">
        <f t="shared" si="23"/>
        <v/>
      </c>
      <c r="BK20" s="453" t="str">
        <f t="shared" si="24"/>
        <v/>
      </c>
      <c r="BL20" s="148" t="str">
        <f t="shared" si="33"/>
        <v/>
      </c>
      <c r="BM20" s="453" t="str">
        <f t="shared" si="25"/>
        <v/>
      </c>
      <c r="BN20" s="453" t="str">
        <f t="shared" si="26"/>
        <v/>
      </c>
      <c r="BO20" s="300"/>
      <c r="BP20" s="300"/>
      <c r="BQ20" s="300">
        <v>0</v>
      </c>
      <c r="BR20" s="300">
        <v>1</v>
      </c>
      <c r="BS20" s="300">
        <v>2</v>
      </c>
      <c r="BT20" s="300">
        <v>3</v>
      </c>
      <c r="BU20" s="300">
        <v>4</v>
      </c>
    </row>
    <row r="21" spans="2:73" s="94" customFormat="1" ht="12.95" customHeight="1" x14ac:dyDescent="0.2">
      <c r="B21" s="151">
        <f>IF(ISNA(Z21),"",IF(OR(Z21=1,Z21=2),"    ",MAX($B$8:B20)+1))</f>
        <v>10</v>
      </c>
      <c r="C21" s="904" t="str">
        <f t="shared" si="0"/>
        <v xml:space="preserve">      - Power Off/On Stalls (5.6%)</v>
      </c>
      <c r="D21" s="904"/>
      <c r="E21" s="904"/>
      <c r="F21" s="905"/>
      <c r="G21" s="133">
        <f t="shared" si="1"/>
        <v>1</v>
      </c>
      <c r="H21" s="134" t="str">
        <f t="shared" si="2"/>
        <v>2</v>
      </c>
      <c r="I21" s="152">
        <f t="shared" si="2"/>
        <v>3</v>
      </c>
      <c r="J21" s="157"/>
      <c r="K21" s="154"/>
      <c r="L21" s="1015"/>
      <c r="M21" s="1016"/>
      <c r="N21" s="1016"/>
      <c r="O21" s="1016"/>
      <c r="P21" s="1016"/>
      <c r="Q21" s="1016"/>
      <c r="R21" s="1017"/>
      <c r="T21" s="99">
        <v>14</v>
      </c>
      <c r="U21" s="88" t="s">
        <v>781</v>
      </c>
      <c r="V21" s="453">
        <v>1</v>
      </c>
      <c r="W21" s="453">
        <v>5</v>
      </c>
      <c r="X21" s="453" t="s">
        <v>340</v>
      </c>
      <c r="Y21" s="453" t="s">
        <v>340</v>
      </c>
      <c r="Z21" s="146" t="s">
        <v>340</v>
      </c>
      <c r="AA21" s="146">
        <v>2</v>
      </c>
      <c r="AB21" s="146">
        <v>1</v>
      </c>
      <c r="AC21" s="453">
        <v>3</v>
      </c>
      <c r="AD21" s="453">
        <v>2</v>
      </c>
      <c r="AE21" s="453">
        <v>0</v>
      </c>
      <c r="AF21" s="453" t="b">
        <v>1</v>
      </c>
      <c r="AG21" s="453">
        <f t="shared" si="3"/>
        <v>2</v>
      </c>
      <c r="AH21" s="453">
        <f t="shared" si="4"/>
        <v>1</v>
      </c>
      <c r="AI21" s="138">
        <f>IF(NOT(OR(Z21=1,Z21=2)),IF(AQ21&gt;0,$AR$44*AQ21/SUMIF($AQ$8:$AQ$39,"&gt;0"),IF(AU21&gt;0,$AV$44*AU21/SUMIF($AU$8:$AU$39,"&gt;0"),IF(AS21&gt;0,$AT$44*AS21/SUMIF($AS$8:$AS$39,"&gt;0"),""))),IF(SUMIF(AJ22:$AJ$39,"=" &amp; AJ21,AI22:$AI$39)=0,"",SUMIF(AJ22:$AJ$39,"=" &amp; AJ21,AI22:$AI$39)))</f>
        <v>5.6250000000000001E-2</v>
      </c>
      <c r="AJ21" s="139">
        <f t="shared" si="34"/>
        <v>3</v>
      </c>
      <c r="AK21" s="453">
        <f t="shared" si="27"/>
        <v>2</v>
      </c>
      <c r="AL21" s="146" t="str">
        <f t="shared" si="28"/>
        <v/>
      </c>
      <c r="AM21" s="146" t="str">
        <f t="shared" si="35"/>
        <v/>
      </c>
      <c r="AN21" s="146" t="str">
        <f t="shared" si="5"/>
        <v/>
      </c>
      <c r="AO21" s="146" t="str">
        <f t="shared" si="6"/>
        <v/>
      </c>
      <c r="AP21" s="453" t="b">
        <f t="shared" si="7"/>
        <v>1</v>
      </c>
      <c r="AQ21" s="140">
        <f t="shared" si="29"/>
        <v>5</v>
      </c>
      <c r="AR21" s="141" t="str">
        <f t="shared" si="8"/>
        <v/>
      </c>
      <c r="AS21" s="142">
        <f t="shared" si="30"/>
        <v>0</v>
      </c>
      <c r="AT21" s="141" t="str">
        <f t="shared" si="9"/>
        <v/>
      </c>
      <c r="AU21" s="143">
        <f t="shared" si="10"/>
        <v>0</v>
      </c>
      <c r="AV21" s="144" t="str">
        <f t="shared" si="11"/>
        <v/>
      </c>
      <c r="AW21" s="143" t="b">
        <f t="shared" si="12"/>
        <v>0</v>
      </c>
      <c r="AX21" s="145" t="b">
        <f t="shared" si="13"/>
        <v>1</v>
      </c>
      <c r="AY21" s="143" t="b">
        <f t="shared" si="14"/>
        <v>0</v>
      </c>
      <c r="AZ21" s="145" t="b">
        <f t="shared" si="15"/>
        <v>0</v>
      </c>
      <c r="BA21" s="453" t="b">
        <f t="shared" si="16"/>
        <v>0</v>
      </c>
      <c r="BB21" s="453" t="b">
        <f t="shared" si="17"/>
        <v>0</v>
      </c>
      <c r="BC21" s="143" t="b">
        <f t="shared" si="18"/>
        <v>0</v>
      </c>
      <c r="BD21" s="146" t="b">
        <f t="shared" si="31"/>
        <v>0</v>
      </c>
      <c r="BE21" s="145" t="b">
        <f t="shared" si="19"/>
        <v>0</v>
      </c>
      <c r="BF21" s="147" t="b">
        <f t="shared" si="20"/>
        <v>0</v>
      </c>
      <c r="BG21" s="453" t="b">
        <f t="shared" si="21"/>
        <v>1</v>
      </c>
      <c r="BH21" s="453">
        <f t="shared" si="32"/>
        <v>1</v>
      </c>
      <c r="BI21" s="453">
        <f t="shared" si="22"/>
        <v>2</v>
      </c>
      <c r="BJ21" s="453" t="str">
        <f t="shared" si="23"/>
        <v>2</v>
      </c>
      <c r="BK21" s="453">
        <f t="shared" si="24"/>
        <v>3</v>
      </c>
      <c r="BL21" s="148">
        <f t="shared" si="33"/>
        <v>1</v>
      </c>
      <c r="BM21" s="453">
        <f t="shared" si="25"/>
        <v>2</v>
      </c>
      <c r="BN21" s="453">
        <f t="shared" si="26"/>
        <v>3</v>
      </c>
      <c r="BO21" s="936" t="s">
        <v>358</v>
      </c>
      <c r="BP21" s="300" t="s">
        <v>359</v>
      </c>
      <c r="BQ21" s="162">
        <f t="shared" ref="BQ21:BU29" si="36">AR50</f>
        <v>0.7</v>
      </c>
      <c r="BR21" s="163">
        <f t="shared" si="36"/>
        <v>0.9</v>
      </c>
      <c r="BS21" s="163">
        <f t="shared" si="36"/>
        <v>0.93330000000000002</v>
      </c>
      <c r="BT21" s="163">
        <f t="shared" si="36"/>
        <v>0.9667</v>
      </c>
      <c r="BU21" s="164">
        <f t="shared" si="36"/>
        <v>1</v>
      </c>
    </row>
    <row r="22" spans="2:73" s="94" customFormat="1" ht="12.95" customHeight="1" x14ac:dyDescent="0.2">
      <c r="B22" s="151">
        <f>IF(ISNA(Z22),"",IF(OR(Z22=1,Z22=2),"    ",MAX($B$8:B21)+1))</f>
        <v>11</v>
      </c>
      <c r="C22" s="904" t="str">
        <f t="shared" si="0"/>
        <v xml:space="preserve">      - Steady Heading Sideslips (5.6%)</v>
      </c>
      <c r="D22" s="904"/>
      <c r="E22" s="904"/>
      <c r="F22" s="905"/>
      <c r="G22" s="133">
        <f t="shared" si="1"/>
        <v>1</v>
      </c>
      <c r="H22" s="134" t="str">
        <f t="shared" si="2"/>
        <v>2</v>
      </c>
      <c r="I22" s="152">
        <f t="shared" si="2"/>
        <v>3</v>
      </c>
      <c r="J22" s="157"/>
      <c r="K22" s="154"/>
      <c r="L22" s="1015"/>
      <c r="M22" s="1016"/>
      <c r="N22" s="1016"/>
      <c r="O22" s="1016"/>
      <c r="P22" s="1016"/>
      <c r="Q22" s="1016"/>
      <c r="R22" s="1017"/>
      <c r="T22" s="99">
        <v>15</v>
      </c>
      <c r="U22" s="88" t="s">
        <v>782</v>
      </c>
      <c r="V22" s="453">
        <v>1</v>
      </c>
      <c r="W22" s="453">
        <v>5</v>
      </c>
      <c r="X22" s="453" t="s">
        <v>340</v>
      </c>
      <c r="Y22" s="453" t="s">
        <v>340</v>
      </c>
      <c r="Z22" s="146" t="s">
        <v>340</v>
      </c>
      <c r="AA22" s="146">
        <v>2</v>
      </c>
      <c r="AB22" s="146">
        <v>1</v>
      </c>
      <c r="AC22" s="453">
        <v>3</v>
      </c>
      <c r="AD22" s="453">
        <v>2</v>
      </c>
      <c r="AE22" s="453">
        <v>0</v>
      </c>
      <c r="AF22" s="453" t="b">
        <v>1</v>
      </c>
      <c r="AG22" s="453">
        <f t="shared" si="3"/>
        <v>2</v>
      </c>
      <c r="AH22" s="453">
        <f t="shared" si="4"/>
        <v>1</v>
      </c>
      <c r="AI22" s="138">
        <f>IF(NOT(OR(Z22=1,Z22=2)),IF(AQ22&gt;0,$AR$44*AQ22/SUMIF($AQ$8:$AQ$39,"&gt;0"),IF(AU22&gt;0,$AV$44*AU22/SUMIF($AU$8:$AU$39,"&gt;0"),IF(AS22&gt;0,$AT$44*AS22/SUMIF($AS$8:$AS$39,"&gt;0"),""))),IF(SUMIF(AJ23:$AJ$39,"=" &amp; AJ22,AI23:$AI$39)=0,"",SUMIF(AJ23:$AJ$39,"=" &amp; AJ22,AI23:$AI$39)))</f>
        <v>5.6250000000000001E-2</v>
      </c>
      <c r="AJ22" s="139">
        <f t="shared" si="34"/>
        <v>3</v>
      </c>
      <c r="AK22" s="453">
        <f t="shared" si="27"/>
        <v>2</v>
      </c>
      <c r="AL22" s="146" t="str">
        <f t="shared" si="28"/>
        <v/>
      </c>
      <c r="AM22" s="146" t="str">
        <f t="shared" si="35"/>
        <v/>
      </c>
      <c r="AN22" s="146" t="str">
        <f t="shared" si="5"/>
        <v/>
      </c>
      <c r="AO22" s="146" t="str">
        <f t="shared" si="6"/>
        <v/>
      </c>
      <c r="AP22" s="453" t="b">
        <f t="shared" si="7"/>
        <v>1</v>
      </c>
      <c r="AQ22" s="140">
        <f t="shared" si="29"/>
        <v>5</v>
      </c>
      <c r="AR22" s="141" t="str">
        <f t="shared" si="8"/>
        <v/>
      </c>
      <c r="AS22" s="142">
        <f t="shared" si="30"/>
        <v>0</v>
      </c>
      <c r="AT22" s="141" t="str">
        <f t="shared" si="9"/>
        <v/>
      </c>
      <c r="AU22" s="143">
        <f t="shared" si="10"/>
        <v>0</v>
      </c>
      <c r="AV22" s="144" t="str">
        <f t="shared" si="11"/>
        <v/>
      </c>
      <c r="AW22" s="143" t="b">
        <f t="shared" si="12"/>
        <v>0</v>
      </c>
      <c r="AX22" s="145" t="b">
        <f t="shared" si="13"/>
        <v>1</v>
      </c>
      <c r="AY22" s="143" t="b">
        <f t="shared" si="14"/>
        <v>0</v>
      </c>
      <c r="AZ22" s="145" t="b">
        <f t="shared" si="15"/>
        <v>0</v>
      </c>
      <c r="BA22" s="453" t="b">
        <f t="shared" si="16"/>
        <v>0</v>
      </c>
      <c r="BB22" s="453" t="b">
        <f t="shared" si="17"/>
        <v>0</v>
      </c>
      <c r="BC22" s="143" t="b">
        <f t="shared" si="18"/>
        <v>0</v>
      </c>
      <c r="BD22" s="146" t="b">
        <f t="shared" si="31"/>
        <v>0</v>
      </c>
      <c r="BE22" s="145" t="b">
        <f>IF(OR(ISNA($Z22),K22&lt;&gt;"D"),FALSE,IF(OR(AND(H22="NG",J22=0),AND(H22&lt;&gt;"NG",NOT(OR(J22="NA",J22=0)))),TRUE,FALSE))</f>
        <v>0</v>
      </c>
      <c r="BF22" s="147" t="b">
        <f t="shared" si="20"/>
        <v>0</v>
      </c>
      <c r="BG22" s="453" t="b">
        <f>IF(ISNA($Z22),"NA",IF(OR(AZ22,AY22,AX22,AW22,AP22,BA22,BB22),TRUE,FALSE))</f>
        <v>1</v>
      </c>
      <c r="BH22" s="453">
        <f t="shared" si="32"/>
        <v>1</v>
      </c>
      <c r="BI22" s="453">
        <f t="shared" si="22"/>
        <v>2</v>
      </c>
      <c r="BJ22" s="453" t="str">
        <f t="shared" si="23"/>
        <v>2</v>
      </c>
      <c r="BK22" s="453">
        <f t="shared" si="24"/>
        <v>3</v>
      </c>
      <c r="BL22" s="148">
        <f t="shared" si="33"/>
        <v>1</v>
      </c>
      <c r="BM22" s="453">
        <f t="shared" si="25"/>
        <v>2</v>
      </c>
      <c r="BN22" s="453">
        <f t="shared" si="26"/>
        <v>3</v>
      </c>
      <c r="BO22" s="936"/>
      <c r="BP22" s="300" t="s">
        <v>360</v>
      </c>
      <c r="BQ22" s="165">
        <f t="shared" si="36"/>
        <v>0.7</v>
      </c>
      <c r="BR22" s="166">
        <f t="shared" si="36"/>
        <v>0.8</v>
      </c>
      <c r="BS22" s="166">
        <f t="shared" si="36"/>
        <v>0.9</v>
      </c>
      <c r="BT22" s="166">
        <f t="shared" si="36"/>
        <v>0.95</v>
      </c>
      <c r="BU22" s="167">
        <f t="shared" si="36"/>
        <v>1</v>
      </c>
    </row>
    <row r="23" spans="2:73" s="94" customFormat="1" ht="12.95" customHeight="1" x14ac:dyDescent="0.2">
      <c r="B23" s="151">
        <f>IF(ISNA(Z23),"",IF(OR(Z23=1,Z23=2),"    ",MAX($B$8:B22)+1))</f>
        <v>12</v>
      </c>
      <c r="C23" s="904" t="str">
        <f t="shared" si="0"/>
        <v xml:space="preserve">      - Static Vmca (5.6%)</v>
      </c>
      <c r="D23" s="904"/>
      <c r="E23" s="904"/>
      <c r="F23" s="905"/>
      <c r="G23" s="133">
        <f t="shared" si="1"/>
        <v>1</v>
      </c>
      <c r="H23" s="134" t="str">
        <f t="shared" si="2"/>
        <v>2</v>
      </c>
      <c r="I23" s="152">
        <f t="shared" si="2"/>
        <v>3</v>
      </c>
      <c r="J23" s="157"/>
      <c r="K23" s="154"/>
      <c r="L23" s="1015"/>
      <c r="M23" s="1016"/>
      <c r="N23" s="1016"/>
      <c r="O23" s="1016"/>
      <c r="P23" s="1016"/>
      <c r="Q23" s="1016"/>
      <c r="R23" s="1017"/>
      <c r="T23" s="99">
        <v>16</v>
      </c>
      <c r="U23" s="88" t="s">
        <v>783</v>
      </c>
      <c r="V23" s="453">
        <v>1</v>
      </c>
      <c r="W23" s="453">
        <v>5</v>
      </c>
      <c r="X23" s="453" t="s">
        <v>340</v>
      </c>
      <c r="Y23" s="453" t="s">
        <v>340</v>
      </c>
      <c r="Z23" s="146" t="s">
        <v>340</v>
      </c>
      <c r="AA23" s="146">
        <v>2</v>
      </c>
      <c r="AB23" s="146">
        <v>1</v>
      </c>
      <c r="AC23" s="453">
        <v>3</v>
      </c>
      <c r="AD23" s="453">
        <v>2</v>
      </c>
      <c r="AE23" s="453">
        <v>0</v>
      </c>
      <c r="AF23" s="453" t="b">
        <v>1</v>
      </c>
      <c r="AG23" s="453">
        <f t="shared" si="3"/>
        <v>2</v>
      </c>
      <c r="AH23" s="453">
        <f t="shared" si="4"/>
        <v>1</v>
      </c>
      <c r="AI23" s="138">
        <f>IF(NOT(OR(Z23=1,Z23=2)),IF(AQ23&gt;0,$AR$44*AQ23/SUMIF($AQ$8:$AQ$39,"&gt;0"),IF(AU23&gt;0,$AV$44*AU23/SUMIF($AU$8:$AU$39,"&gt;0"),IF(AS23&gt;0,$AT$44*AS23/SUMIF($AS$8:$AS$39,"&gt;0"),""))),IF(SUMIF(AJ24:$AJ$39,"=" &amp; AJ23,AI24:$AI$39)=0,"",SUMIF(AJ24:$AJ$39,"=" &amp; AJ23,AI24:$AI$39)))</f>
        <v>5.6250000000000001E-2</v>
      </c>
      <c r="AJ23" s="139">
        <f t="shared" si="34"/>
        <v>3</v>
      </c>
      <c r="AK23" s="453">
        <f t="shared" si="27"/>
        <v>2</v>
      </c>
      <c r="AL23" s="146" t="str">
        <f t="shared" si="28"/>
        <v/>
      </c>
      <c r="AM23" s="146" t="str">
        <f t="shared" si="35"/>
        <v/>
      </c>
      <c r="AN23" s="146" t="str">
        <f t="shared" si="5"/>
        <v/>
      </c>
      <c r="AO23" s="146" t="str">
        <f t="shared" si="6"/>
        <v/>
      </c>
      <c r="AP23" s="453" t="b">
        <f t="shared" si="7"/>
        <v>1</v>
      </c>
      <c r="AQ23" s="140">
        <f t="shared" si="29"/>
        <v>5</v>
      </c>
      <c r="AR23" s="141" t="str">
        <f t="shared" si="8"/>
        <v/>
      </c>
      <c r="AS23" s="142">
        <f t="shared" si="30"/>
        <v>0</v>
      </c>
      <c r="AT23" s="141" t="str">
        <f t="shared" si="9"/>
        <v/>
      </c>
      <c r="AU23" s="143">
        <f t="shared" si="10"/>
        <v>0</v>
      </c>
      <c r="AV23" s="144" t="str">
        <f t="shared" si="11"/>
        <v/>
      </c>
      <c r="AW23" s="143" t="b">
        <f t="shared" si="12"/>
        <v>0</v>
      </c>
      <c r="AX23" s="145" t="b">
        <f t="shared" si="13"/>
        <v>1</v>
      </c>
      <c r="AY23" s="143" t="b">
        <f t="shared" si="14"/>
        <v>0</v>
      </c>
      <c r="AZ23" s="145" t="b">
        <f t="shared" si="15"/>
        <v>0</v>
      </c>
      <c r="BA23" s="453" t="b">
        <f t="shared" si="16"/>
        <v>0</v>
      </c>
      <c r="BB23" s="453" t="b">
        <f t="shared" si="17"/>
        <v>0</v>
      </c>
      <c r="BC23" s="143" t="b">
        <f t="shared" si="18"/>
        <v>0</v>
      </c>
      <c r="BD23" s="146" t="b">
        <f t="shared" si="31"/>
        <v>0</v>
      </c>
      <c r="BE23" s="145" t="b">
        <f t="shared" ref="BE23:BE39" si="37">IF(OR(ISNA($Z23),K23&lt;&gt;"D"),FALSE,IF(OR(AND(H23="NG",J23=0),AND(H23&lt;&gt;"NG",NOT(OR(J23="NA",J23=0)))),TRUE,FALSE))</f>
        <v>0</v>
      </c>
      <c r="BF23" s="147" t="b">
        <f t="shared" si="20"/>
        <v>0</v>
      </c>
      <c r="BG23" s="453" t="b">
        <f t="shared" ref="BG23:BG39" si="38">IF(ISNA($Z23),"NA",IF(OR(AZ23,AY23,AX23,AW23,AP23,BA23,BB23),TRUE,FALSE))</f>
        <v>1</v>
      </c>
      <c r="BH23" s="453">
        <f t="shared" si="32"/>
        <v>1</v>
      </c>
      <c r="BI23" s="453">
        <f t="shared" si="22"/>
        <v>2</v>
      </c>
      <c r="BJ23" s="453" t="str">
        <f t="shared" si="23"/>
        <v>2</v>
      </c>
      <c r="BK23" s="453">
        <f t="shared" si="24"/>
        <v>3</v>
      </c>
      <c r="BL23" s="148">
        <f t="shared" si="33"/>
        <v>1</v>
      </c>
      <c r="BM23" s="453">
        <f t="shared" si="25"/>
        <v>2</v>
      </c>
      <c r="BN23" s="453">
        <f t="shared" si="26"/>
        <v>3</v>
      </c>
      <c r="BO23" s="936"/>
      <c r="BP23" s="300" t="s">
        <v>361</v>
      </c>
      <c r="BQ23" s="165">
        <f t="shared" si="36"/>
        <v>0.7</v>
      </c>
      <c r="BR23" s="166">
        <f t="shared" si="36"/>
        <v>0.76670000000000005</v>
      </c>
      <c r="BS23" s="166">
        <f t="shared" si="36"/>
        <v>0.83330000000000004</v>
      </c>
      <c r="BT23" s="166">
        <f t="shared" si="36"/>
        <v>0.9</v>
      </c>
      <c r="BU23" s="167">
        <f t="shared" si="36"/>
        <v>1</v>
      </c>
    </row>
    <row r="24" spans="2:73" s="94" customFormat="1" ht="12.95" customHeight="1" x14ac:dyDescent="0.2">
      <c r="B24" s="151">
        <f>IF(ISNA(Z24),"",IF(OR(Z24=1,Z24=2),"    ",MAX($B$8:B23)+1))</f>
        <v>13</v>
      </c>
      <c r="C24" s="904" t="str">
        <f t="shared" si="0"/>
        <v xml:space="preserve">      - Dynamic Vmca (5.6%)</v>
      </c>
      <c r="D24" s="904"/>
      <c r="E24" s="904"/>
      <c r="F24" s="905"/>
      <c r="G24" s="133">
        <f t="shared" si="1"/>
        <v>1</v>
      </c>
      <c r="H24" s="134" t="str">
        <f t="shared" si="2"/>
        <v>2</v>
      </c>
      <c r="I24" s="152">
        <f t="shared" si="2"/>
        <v>3</v>
      </c>
      <c r="J24" s="157"/>
      <c r="K24" s="154"/>
      <c r="L24" s="1015"/>
      <c r="M24" s="1016"/>
      <c r="N24" s="1016"/>
      <c r="O24" s="1016"/>
      <c r="P24" s="1016"/>
      <c r="Q24" s="1016"/>
      <c r="R24" s="1017"/>
      <c r="T24" s="99">
        <v>17</v>
      </c>
      <c r="U24" s="88" t="s">
        <v>784</v>
      </c>
      <c r="V24" s="453">
        <v>1</v>
      </c>
      <c r="W24" s="453">
        <v>5</v>
      </c>
      <c r="X24" s="453" t="s">
        <v>340</v>
      </c>
      <c r="Y24" s="453" t="s">
        <v>340</v>
      </c>
      <c r="Z24" s="146" t="s">
        <v>340</v>
      </c>
      <c r="AA24" s="146">
        <v>2</v>
      </c>
      <c r="AB24" s="146">
        <v>1</v>
      </c>
      <c r="AC24" s="453">
        <v>3</v>
      </c>
      <c r="AD24" s="453">
        <v>2</v>
      </c>
      <c r="AE24" s="453">
        <v>0</v>
      </c>
      <c r="AF24" s="453" t="b">
        <v>1</v>
      </c>
      <c r="AG24" s="453">
        <f t="shared" si="3"/>
        <v>2</v>
      </c>
      <c r="AH24" s="453">
        <f t="shared" si="4"/>
        <v>1</v>
      </c>
      <c r="AI24" s="138">
        <f>IF(NOT(OR(Z24=1,Z24=2)),IF(AQ24&gt;0,$AR$44*AQ24/SUMIF($AQ$8:$AQ$39,"&gt;0"),IF(AU24&gt;0,$AV$44*AU24/SUMIF($AU$8:$AU$39,"&gt;0"),IF(AS24&gt;0,$AT$44*AS24/SUMIF($AS$8:$AS$39,"&gt;0"),""))),IF(SUMIF(AJ25:$AJ$39,"=" &amp; AJ24,AI25:$AI$39)=0,"",SUMIF(AJ25:$AJ$39,"=" &amp; AJ24,AI25:$AI$39)))</f>
        <v>5.6250000000000001E-2</v>
      </c>
      <c r="AJ24" s="139">
        <f t="shared" si="34"/>
        <v>3</v>
      </c>
      <c r="AK24" s="453">
        <f t="shared" si="27"/>
        <v>2</v>
      </c>
      <c r="AL24" s="146" t="str">
        <f t="shared" si="28"/>
        <v/>
      </c>
      <c r="AM24" s="146" t="str">
        <f t="shared" si="35"/>
        <v/>
      </c>
      <c r="AN24" s="146" t="str">
        <f t="shared" si="5"/>
        <v/>
      </c>
      <c r="AO24" s="146" t="str">
        <f t="shared" si="6"/>
        <v/>
      </c>
      <c r="AP24" s="453" t="b">
        <f t="shared" si="7"/>
        <v>1</v>
      </c>
      <c r="AQ24" s="140">
        <f t="shared" si="29"/>
        <v>5</v>
      </c>
      <c r="AR24" s="141" t="str">
        <f t="shared" si="8"/>
        <v/>
      </c>
      <c r="AS24" s="142">
        <f t="shared" si="30"/>
        <v>0</v>
      </c>
      <c r="AT24" s="141" t="str">
        <f t="shared" si="9"/>
        <v/>
      </c>
      <c r="AU24" s="143">
        <f t="shared" si="10"/>
        <v>0</v>
      </c>
      <c r="AV24" s="144" t="str">
        <f t="shared" si="11"/>
        <v/>
      </c>
      <c r="AW24" s="143" t="b">
        <f t="shared" si="12"/>
        <v>0</v>
      </c>
      <c r="AX24" s="145" t="b">
        <f t="shared" si="13"/>
        <v>1</v>
      </c>
      <c r="AY24" s="143" t="b">
        <f t="shared" si="14"/>
        <v>0</v>
      </c>
      <c r="AZ24" s="145" t="b">
        <f t="shared" si="15"/>
        <v>0</v>
      </c>
      <c r="BA24" s="453" t="b">
        <f t="shared" si="16"/>
        <v>0</v>
      </c>
      <c r="BB24" s="453" t="b">
        <f t="shared" si="17"/>
        <v>0</v>
      </c>
      <c r="BC24" s="143" t="b">
        <f t="shared" si="18"/>
        <v>0</v>
      </c>
      <c r="BD24" s="146" t="b">
        <f t="shared" si="31"/>
        <v>0</v>
      </c>
      <c r="BE24" s="145" t="b">
        <f t="shared" si="37"/>
        <v>0</v>
      </c>
      <c r="BF24" s="147" t="b">
        <f t="shared" si="20"/>
        <v>0</v>
      </c>
      <c r="BG24" s="453" t="b">
        <f t="shared" si="38"/>
        <v>1</v>
      </c>
      <c r="BH24" s="453">
        <f t="shared" si="32"/>
        <v>1</v>
      </c>
      <c r="BI24" s="453">
        <f t="shared" si="22"/>
        <v>2</v>
      </c>
      <c r="BJ24" s="453" t="str">
        <f t="shared" si="23"/>
        <v>2</v>
      </c>
      <c r="BK24" s="453">
        <f t="shared" si="24"/>
        <v>3</v>
      </c>
      <c r="BL24" s="148">
        <f t="shared" si="33"/>
        <v>1</v>
      </c>
      <c r="BM24" s="453">
        <f t="shared" si="25"/>
        <v>2</v>
      </c>
      <c r="BN24" s="453">
        <f t="shared" si="26"/>
        <v>3</v>
      </c>
      <c r="BO24" s="936"/>
      <c r="BP24" s="300" t="s">
        <v>362</v>
      </c>
      <c r="BQ24" s="165">
        <f t="shared" si="36"/>
        <v>0.6</v>
      </c>
      <c r="BR24" s="166">
        <f t="shared" si="36"/>
        <v>0.9</v>
      </c>
      <c r="BS24" s="166">
        <f t="shared" si="36"/>
        <v>0.93330000000000002</v>
      </c>
      <c r="BT24" s="166">
        <f t="shared" si="36"/>
        <v>0.9667</v>
      </c>
      <c r="BU24" s="167">
        <f t="shared" si="36"/>
        <v>1</v>
      </c>
    </row>
    <row r="25" spans="2:73" s="94" customFormat="1" ht="12.95" customHeight="1" x14ac:dyDescent="0.2">
      <c r="B25" s="151">
        <f>IF(ISNA(Z25),"",IF(OR(Z25=1,Z25=2),"    ",MAX($B$8:B24)+1))</f>
        <v>14</v>
      </c>
      <c r="C25" s="904" t="str">
        <f t="shared" si="0"/>
        <v xml:space="preserve">      - SSE HQ Evaluation (5.6%)</v>
      </c>
      <c r="D25" s="904"/>
      <c r="E25" s="904"/>
      <c r="F25" s="905"/>
      <c r="G25" s="133">
        <f t="shared" si="1"/>
        <v>1</v>
      </c>
      <c r="H25" s="134" t="str">
        <f t="shared" si="2"/>
        <v>2</v>
      </c>
      <c r="I25" s="152">
        <f t="shared" si="2"/>
        <v>3</v>
      </c>
      <c r="J25" s="157"/>
      <c r="K25" s="154"/>
      <c r="L25" s="1015"/>
      <c r="M25" s="1016"/>
      <c r="N25" s="1016"/>
      <c r="O25" s="1016"/>
      <c r="P25" s="1016"/>
      <c r="Q25" s="1016"/>
      <c r="R25" s="1017"/>
      <c r="T25" s="99">
        <v>18</v>
      </c>
      <c r="U25" s="88" t="s">
        <v>785</v>
      </c>
      <c r="V25" s="453">
        <v>1</v>
      </c>
      <c r="W25" s="453">
        <v>5</v>
      </c>
      <c r="X25" s="453" t="s">
        <v>340</v>
      </c>
      <c r="Y25" s="453" t="s">
        <v>340</v>
      </c>
      <c r="Z25" s="146" t="s">
        <v>340</v>
      </c>
      <c r="AA25" s="146">
        <v>2</v>
      </c>
      <c r="AB25" s="146">
        <v>1</v>
      </c>
      <c r="AC25" s="453">
        <v>3</v>
      </c>
      <c r="AD25" s="453">
        <v>2</v>
      </c>
      <c r="AE25" s="453">
        <v>0</v>
      </c>
      <c r="AF25" s="453" t="b">
        <v>1</v>
      </c>
      <c r="AG25" s="453">
        <f t="shared" si="3"/>
        <v>2</v>
      </c>
      <c r="AH25" s="453">
        <f t="shared" si="4"/>
        <v>1</v>
      </c>
      <c r="AI25" s="138">
        <f>IF(NOT(OR(Z25=1,Z25=2)),IF(AQ25&gt;0,$AR$44*AQ25/SUMIF($AQ$8:$AQ$39,"&gt;0"),IF(AU25&gt;0,$AV$44*AU25/SUMIF($AU$8:$AU$39,"&gt;0"),IF(AS25&gt;0,$AT$44*AS25/SUMIF($AS$8:$AS$39,"&gt;0"),""))),IF(SUMIF(AJ26:$AJ$39,"=" &amp; AJ25,AI26:$AI$39)=0,"",SUMIF(AJ26:$AJ$39,"=" &amp; AJ25,AI26:$AI$39)))</f>
        <v>5.6250000000000001E-2</v>
      </c>
      <c r="AJ25" s="139">
        <f t="shared" si="34"/>
        <v>3</v>
      </c>
      <c r="AK25" s="453">
        <f t="shared" si="27"/>
        <v>2</v>
      </c>
      <c r="AL25" s="146" t="str">
        <f t="shared" si="28"/>
        <v/>
      </c>
      <c r="AM25" s="146" t="str">
        <f t="shared" si="35"/>
        <v/>
      </c>
      <c r="AN25" s="146" t="str">
        <f t="shared" si="5"/>
        <v/>
      </c>
      <c r="AO25" s="146" t="str">
        <f t="shared" si="6"/>
        <v/>
      </c>
      <c r="AP25" s="453" t="b">
        <f t="shared" si="7"/>
        <v>1</v>
      </c>
      <c r="AQ25" s="140">
        <f t="shared" si="29"/>
        <v>5</v>
      </c>
      <c r="AR25" s="141" t="str">
        <f t="shared" si="8"/>
        <v/>
      </c>
      <c r="AS25" s="142">
        <f t="shared" si="30"/>
        <v>0</v>
      </c>
      <c r="AT25" s="141" t="str">
        <f t="shared" si="9"/>
        <v/>
      </c>
      <c r="AU25" s="143">
        <f t="shared" si="10"/>
        <v>0</v>
      </c>
      <c r="AV25" s="144" t="str">
        <f t="shared" si="11"/>
        <v/>
      </c>
      <c r="AW25" s="143" t="b">
        <f t="shared" si="12"/>
        <v>0</v>
      </c>
      <c r="AX25" s="145" t="b">
        <f t="shared" si="13"/>
        <v>1</v>
      </c>
      <c r="AY25" s="143" t="b">
        <f t="shared" si="14"/>
        <v>0</v>
      </c>
      <c r="AZ25" s="145" t="b">
        <f t="shared" si="15"/>
        <v>0</v>
      </c>
      <c r="BA25" s="453" t="b">
        <f t="shared" si="16"/>
        <v>0</v>
      </c>
      <c r="BB25" s="453" t="b">
        <f t="shared" si="17"/>
        <v>0</v>
      </c>
      <c r="BC25" s="143" t="b">
        <f t="shared" si="18"/>
        <v>0</v>
      </c>
      <c r="BD25" s="146" t="b">
        <f t="shared" si="31"/>
        <v>0</v>
      </c>
      <c r="BE25" s="145" t="b">
        <f t="shared" si="37"/>
        <v>0</v>
      </c>
      <c r="BF25" s="147" t="b">
        <f t="shared" si="20"/>
        <v>0</v>
      </c>
      <c r="BG25" s="453" t="b">
        <f t="shared" si="38"/>
        <v>1</v>
      </c>
      <c r="BH25" s="453">
        <f t="shared" si="32"/>
        <v>1</v>
      </c>
      <c r="BI25" s="453">
        <f t="shared" si="22"/>
        <v>2</v>
      </c>
      <c r="BJ25" s="453" t="str">
        <f t="shared" si="23"/>
        <v>2</v>
      </c>
      <c r="BK25" s="453">
        <f t="shared" si="24"/>
        <v>3</v>
      </c>
      <c r="BL25" s="148">
        <f t="shared" si="33"/>
        <v>1</v>
      </c>
      <c r="BM25" s="453">
        <f t="shared" si="25"/>
        <v>2</v>
      </c>
      <c r="BN25" s="453">
        <f t="shared" si="26"/>
        <v>3</v>
      </c>
      <c r="BO25" s="936"/>
      <c r="BP25" s="300" t="s">
        <v>363</v>
      </c>
      <c r="BQ25" s="165">
        <f t="shared" si="36"/>
        <v>0.6</v>
      </c>
      <c r="BR25" s="166">
        <f t="shared" si="36"/>
        <v>0.7</v>
      </c>
      <c r="BS25" s="166">
        <f t="shared" si="36"/>
        <v>0.9</v>
      </c>
      <c r="BT25" s="166">
        <f t="shared" si="36"/>
        <v>0.95</v>
      </c>
      <c r="BU25" s="167">
        <f t="shared" si="36"/>
        <v>1</v>
      </c>
    </row>
    <row r="26" spans="2:73" s="94" customFormat="1" ht="12.95" customHeight="1" x14ac:dyDescent="0.2">
      <c r="B26" s="151">
        <f>IF(ISNA(Z26),"",IF(OR(Z26=1,Z26=2),"    ",MAX($B$8:B25)+1))</f>
        <v>15</v>
      </c>
      <c r="C26" s="904" t="str">
        <f t="shared" si="0"/>
        <v xml:space="preserve">      - SSE Min Trim Determination (5.6%)</v>
      </c>
      <c r="D26" s="904"/>
      <c r="E26" s="904"/>
      <c r="F26" s="905"/>
      <c r="G26" s="133">
        <f t="shared" si="1"/>
        <v>1</v>
      </c>
      <c r="H26" s="134" t="str">
        <f t="shared" si="2"/>
        <v>2</v>
      </c>
      <c r="I26" s="152">
        <f t="shared" si="2"/>
        <v>3</v>
      </c>
      <c r="J26" s="157"/>
      <c r="K26" s="154"/>
      <c r="L26" s="1015"/>
      <c r="M26" s="1016"/>
      <c r="N26" s="1016"/>
      <c r="O26" s="1016"/>
      <c r="P26" s="1016"/>
      <c r="Q26" s="1016"/>
      <c r="R26" s="1017"/>
      <c r="T26" s="99">
        <v>19</v>
      </c>
      <c r="U26" s="88" t="s">
        <v>786</v>
      </c>
      <c r="V26" s="453">
        <v>1</v>
      </c>
      <c r="W26" s="453">
        <v>5</v>
      </c>
      <c r="X26" s="453" t="s">
        <v>340</v>
      </c>
      <c r="Y26" s="453" t="s">
        <v>340</v>
      </c>
      <c r="Z26" s="146" t="s">
        <v>340</v>
      </c>
      <c r="AA26" s="146">
        <v>2</v>
      </c>
      <c r="AB26" s="146">
        <v>1</v>
      </c>
      <c r="AC26" s="453">
        <v>3</v>
      </c>
      <c r="AD26" s="453">
        <v>2</v>
      </c>
      <c r="AE26" s="453">
        <v>0</v>
      </c>
      <c r="AF26" s="453" t="b">
        <v>1</v>
      </c>
      <c r="AG26" s="453">
        <f t="shared" si="3"/>
        <v>2</v>
      </c>
      <c r="AH26" s="453">
        <f t="shared" si="4"/>
        <v>1</v>
      </c>
      <c r="AI26" s="138">
        <f>IF(NOT(OR(Z26=1,Z26=2)),IF(AQ26&gt;0,$AR$44*AQ26/SUMIF($AQ$8:$AQ$39,"&gt;0"),IF(AU26&gt;0,$AV$44*AU26/SUMIF($AU$8:$AU$39,"&gt;0"),IF(AS26&gt;0,$AT$44*AS26/SUMIF($AS$8:$AS$39,"&gt;0"),""))),IF(SUMIF(AJ27:$AJ$39,"=" &amp; AJ26,AI27:$AI$39)=0,"",SUMIF(AJ27:$AJ$39,"=" &amp; AJ26,AI27:$AI$39)))</f>
        <v>5.6250000000000001E-2</v>
      </c>
      <c r="AJ26" s="139">
        <f t="shared" si="34"/>
        <v>3</v>
      </c>
      <c r="AK26" s="453">
        <f t="shared" si="27"/>
        <v>2</v>
      </c>
      <c r="AL26" s="146" t="str">
        <f t="shared" si="28"/>
        <v/>
      </c>
      <c r="AM26" s="146" t="str">
        <f t="shared" si="35"/>
        <v/>
      </c>
      <c r="AN26" s="146" t="str">
        <f t="shared" si="5"/>
        <v/>
      </c>
      <c r="AO26" s="146" t="str">
        <f t="shared" si="6"/>
        <v/>
      </c>
      <c r="AP26" s="453" t="b">
        <f t="shared" si="7"/>
        <v>1</v>
      </c>
      <c r="AQ26" s="140">
        <f t="shared" si="29"/>
        <v>5</v>
      </c>
      <c r="AR26" s="141" t="str">
        <f t="shared" si="8"/>
        <v/>
      </c>
      <c r="AS26" s="142">
        <f t="shared" si="30"/>
        <v>0</v>
      </c>
      <c r="AT26" s="141" t="str">
        <f t="shared" si="9"/>
        <v/>
      </c>
      <c r="AU26" s="143">
        <f t="shared" si="10"/>
        <v>0</v>
      </c>
      <c r="AV26" s="144" t="str">
        <f t="shared" si="11"/>
        <v/>
      </c>
      <c r="AW26" s="143" t="b">
        <f t="shared" si="12"/>
        <v>0</v>
      </c>
      <c r="AX26" s="145" t="b">
        <f t="shared" si="13"/>
        <v>1</v>
      </c>
      <c r="AY26" s="143" t="b">
        <f t="shared" si="14"/>
        <v>0</v>
      </c>
      <c r="AZ26" s="145" t="b">
        <f t="shared" si="15"/>
        <v>0</v>
      </c>
      <c r="BA26" s="453" t="b">
        <f t="shared" si="16"/>
        <v>0</v>
      </c>
      <c r="BB26" s="453" t="b">
        <f t="shared" si="17"/>
        <v>0</v>
      </c>
      <c r="BC26" s="143" t="b">
        <f t="shared" si="18"/>
        <v>0</v>
      </c>
      <c r="BD26" s="146" t="b">
        <f t="shared" si="31"/>
        <v>0</v>
      </c>
      <c r="BE26" s="145" t="b">
        <f t="shared" si="37"/>
        <v>0</v>
      </c>
      <c r="BF26" s="147" t="b">
        <f t="shared" si="20"/>
        <v>0</v>
      </c>
      <c r="BG26" s="453" t="b">
        <f t="shared" si="38"/>
        <v>1</v>
      </c>
      <c r="BH26" s="453">
        <f t="shared" si="32"/>
        <v>1</v>
      </c>
      <c r="BI26" s="453">
        <f t="shared" si="22"/>
        <v>2</v>
      </c>
      <c r="BJ26" s="453" t="str">
        <f t="shared" si="23"/>
        <v>2</v>
      </c>
      <c r="BK26" s="453">
        <f t="shared" si="24"/>
        <v>3</v>
      </c>
      <c r="BL26" s="148">
        <f t="shared" si="33"/>
        <v>1</v>
      </c>
      <c r="BM26" s="453">
        <f t="shared" si="25"/>
        <v>2</v>
      </c>
      <c r="BN26" s="453">
        <f t="shared" si="26"/>
        <v>3</v>
      </c>
      <c r="BO26" s="936"/>
      <c r="BP26" s="300" t="s">
        <v>364</v>
      </c>
      <c r="BQ26" s="165">
        <f t="shared" si="36"/>
        <v>0.6</v>
      </c>
      <c r="BR26" s="166">
        <f t="shared" si="36"/>
        <v>0.7</v>
      </c>
      <c r="BS26" s="166">
        <f t="shared" si="36"/>
        <v>0.8</v>
      </c>
      <c r="BT26" s="166">
        <f t="shared" si="36"/>
        <v>0.9</v>
      </c>
      <c r="BU26" s="167">
        <f t="shared" si="36"/>
        <v>1</v>
      </c>
    </row>
    <row r="27" spans="2:73" s="94" customFormat="1" ht="12.95" customHeight="1" x14ac:dyDescent="0.2">
      <c r="B27" s="151">
        <f>IF(ISNA(Z27),"",IF(OR(Z27=1,Z27=2),"    ",MAX($B$8:B26)+1))</f>
        <v>16</v>
      </c>
      <c r="C27" s="904" t="str">
        <f t="shared" si="0"/>
        <v xml:space="preserve">      - Bank Angle Effects Demo</v>
      </c>
      <c r="D27" s="904"/>
      <c r="E27" s="904"/>
      <c r="F27" s="905"/>
      <c r="G27" s="133">
        <f t="shared" si="1"/>
        <v>1</v>
      </c>
      <c r="H27" s="134" t="str">
        <f t="shared" si="2"/>
        <v>NG</v>
      </c>
      <c r="I27" s="152" t="str">
        <f t="shared" si="2"/>
        <v/>
      </c>
      <c r="J27" s="157"/>
      <c r="K27" s="154"/>
      <c r="L27" s="1015"/>
      <c r="M27" s="1016"/>
      <c r="N27" s="1016"/>
      <c r="O27" s="1016"/>
      <c r="P27" s="1016"/>
      <c r="Q27" s="1016"/>
      <c r="R27" s="1017"/>
      <c r="T27" s="99">
        <v>20</v>
      </c>
      <c r="U27" s="88" t="s">
        <v>787</v>
      </c>
      <c r="V27" s="453">
        <v>1</v>
      </c>
      <c r="W27" s="453" t="s">
        <v>340</v>
      </c>
      <c r="X27" s="453" t="s">
        <v>340</v>
      </c>
      <c r="Y27" s="453" t="s">
        <v>340</v>
      </c>
      <c r="Z27" s="146" t="s">
        <v>340</v>
      </c>
      <c r="AA27" s="146">
        <v>2</v>
      </c>
      <c r="AB27" s="146">
        <v>1</v>
      </c>
      <c r="AC27" s="453" t="s">
        <v>340</v>
      </c>
      <c r="AD27" s="453" t="s">
        <v>357</v>
      </c>
      <c r="AE27" s="453" t="s">
        <v>340</v>
      </c>
      <c r="AF27" s="453" t="b">
        <v>1</v>
      </c>
      <c r="AG27" s="453" t="str">
        <f t="shared" si="3"/>
        <v>NG</v>
      </c>
      <c r="AH27" s="453" t="str">
        <f t="shared" si="4"/>
        <v/>
      </c>
      <c r="AI27" s="138" t="str">
        <f>IF(NOT(OR(Z27=1,Z27=2)),IF(AQ27&gt;0,$AR$44*AQ27/SUMIF($AQ$8:$AQ$39,"&gt;0"),IF(AU27&gt;0,$AV$44*AU27/SUMIF($AU$8:$AU$39,"&gt;0"),IF(AS27&gt;0,$AT$44*AS27/SUMIF($AS$8:$AS$39,"&gt;0"),""))),IF(SUMIF(AJ28:$AJ$39,"=" &amp; AJ27,AI28:$AI$39)=0,"",SUMIF(AJ28:$AJ$39,"=" &amp; AJ27,AI28:$AI$39)))</f>
        <v/>
      </c>
      <c r="AJ27" s="139">
        <f t="shared" si="34"/>
        <v>3</v>
      </c>
      <c r="AK27" s="453" t="str">
        <f t="shared" si="27"/>
        <v>NG</v>
      </c>
      <c r="AL27" s="146" t="str">
        <f t="shared" si="28"/>
        <v/>
      </c>
      <c r="AM27" s="146" t="str">
        <f t="shared" si="35"/>
        <v/>
      </c>
      <c r="AN27" s="146" t="str">
        <f t="shared" si="5"/>
        <v/>
      </c>
      <c r="AO27" s="146" t="str">
        <f t="shared" si="6"/>
        <v/>
      </c>
      <c r="AP27" s="453" t="str">
        <f t="shared" si="7"/>
        <v/>
      </c>
      <c r="AQ27" s="140">
        <f t="shared" si="29"/>
        <v>0</v>
      </c>
      <c r="AR27" s="141" t="str">
        <f t="shared" si="8"/>
        <v/>
      </c>
      <c r="AS27" s="142">
        <f t="shared" si="30"/>
        <v>0</v>
      </c>
      <c r="AT27" s="141" t="str">
        <f t="shared" si="9"/>
        <v/>
      </c>
      <c r="AU27" s="143">
        <f t="shared" si="10"/>
        <v>0</v>
      </c>
      <c r="AV27" s="144" t="str">
        <f t="shared" si="11"/>
        <v/>
      </c>
      <c r="AW27" s="143" t="b">
        <f t="shared" si="12"/>
        <v>0</v>
      </c>
      <c r="AX27" s="145" t="b">
        <f t="shared" si="13"/>
        <v>1</v>
      </c>
      <c r="AY27" s="143" t="b">
        <f t="shared" si="14"/>
        <v>0</v>
      </c>
      <c r="AZ27" s="145" t="b">
        <f t="shared" si="15"/>
        <v>0</v>
      </c>
      <c r="BA27" s="453" t="b">
        <f t="shared" si="16"/>
        <v>0</v>
      </c>
      <c r="BB27" s="453" t="b">
        <f t="shared" si="17"/>
        <v>0</v>
      </c>
      <c r="BC27" s="143" t="b">
        <f t="shared" si="18"/>
        <v>0</v>
      </c>
      <c r="BD27" s="146" t="b">
        <f t="shared" si="31"/>
        <v>0</v>
      </c>
      <c r="BE27" s="145" t="b">
        <f t="shared" si="37"/>
        <v>0</v>
      </c>
      <c r="BF27" s="147" t="b">
        <f t="shared" si="20"/>
        <v>0</v>
      </c>
      <c r="BG27" s="453" t="b">
        <f t="shared" si="38"/>
        <v>1</v>
      </c>
      <c r="BH27" s="453">
        <f t="shared" si="32"/>
        <v>1</v>
      </c>
      <c r="BI27" s="453" t="str">
        <f t="shared" si="22"/>
        <v>NG</v>
      </c>
      <c r="BJ27" s="453" t="str">
        <f t="shared" si="23"/>
        <v>NG</v>
      </c>
      <c r="BK27" s="453" t="str">
        <f t="shared" si="24"/>
        <v/>
      </c>
      <c r="BL27" s="148">
        <f t="shared" si="33"/>
        <v>1</v>
      </c>
      <c r="BM27" s="453" t="str">
        <f t="shared" si="25"/>
        <v>D</v>
      </c>
      <c r="BN27" s="453" t="str">
        <f t="shared" si="26"/>
        <v>D</v>
      </c>
      <c r="BO27" s="936"/>
      <c r="BP27" s="300" t="s">
        <v>365</v>
      </c>
      <c r="BQ27" s="165">
        <f t="shared" si="36"/>
        <v>0.3</v>
      </c>
      <c r="BR27" s="166">
        <f t="shared" si="36"/>
        <v>0.6</v>
      </c>
      <c r="BS27" s="166">
        <f t="shared" si="36"/>
        <v>0.9</v>
      </c>
      <c r="BT27" s="166">
        <f t="shared" si="36"/>
        <v>0.95</v>
      </c>
      <c r="BU27" s="167">
        <f t="shared" si="36"/>
        <v>1</v>
      </c>
    </row>
    <row r="28" spans="2:73" s="94" customFormat="1" ht="12.95" customHeight="1" x14ac:dyDescent="0.2">
      <c r="B28" s="151">
        <f>IF(ISNA(Z28),"",IF(OR(Z28=1,Z28=2),"    ",MAX($B$8:B27)+1))</f>
        <v>17</v>
      </c>
      <c r="C28" s="904" t="str">
        <f t="shared" si="0"/>
        <v xml:space="preserve">      - SSE Instrument Approach (5.6%)</v>
      </c>
      <c r="D28" s="904"/>
      <c r="E28" s="904"/>
      <c r="F28" s="905"/>
      <c r="G28" s="133">
        <f t="shared" si="1"/>
        <v>1</v>
      </c>
      <c r="H28" s="134" t="str">
        <f t="shared" si="2"/>
        <v>2</v>
      </c>
      <c r="I28" s="152">
        <f t="shared" si="2"/>
        <v>3</v>
      </c>
      <c r="J28" s="157"/>
      <c r="K28" s="154"/>
      <c r="L28" s="1015"/>
      <c r="M28" s="1016"/>
      <c r="N28" s="1016"/>
      <c r="O28" s="1016"/>
      <c r="P28" s="1016"/>
      <c r="Q28" s="1016"/>
      <c r="R28" s="1017"/>
      <c r="T28" s="99">
        <v>21</v>
      </c>
      <c r="U28" s="88" t="s">
        <v>788</v>
      </c>
      <c r="V28" s="453">
        <v>1</v>
      </c>
      <c r="W28" s="453">
        <v>5</v>
      </c>
      <c r="X28" s="453" t="s">
        <v>340</v>
      </c>
      <c r="Y28" s="453" t="s">
        <v>340</v>
      </c>
      <c r="Z28" s="146" t="s">
        <v>340</v>
      </c>
      <c r="AA28" s="146">
        <v>2</v>
      </c>
      <c r="AB28" s="146">
        <v>1</v>
      </c>
      <c r="AC28" s="453">
        <v>3</v>
      </c>
      <c r="AD28" s="453">
        <v>2</v>
      </c>
      <c r="AE28" s="453">
        <v>0</v>
      </c>
      <c r="AF28" s="453" t="b">
        <v>1</v>
      </c>
      <c r="AG28" s="453">
        <f t="shared" si="3"/>
        <v>2</v>
      </c>
      <c r="AH28" s="453">
        <f t="shared" si="4"/>
        <v>1</v>
      </c>
      <c r="AI28" s="138">
        <f>IF(NOT(OR(Z28=1,Z28=2)),IF(AQ28&gt;0,$AR$44*AQ28/SUMIF($AQ$8:$AQ$39,"&gt;0"),IF(AU28&gt;0,$AV$44*AU28/SUMIF($AU$8:$AU$39,"&gt;0"),IF(AS28&gt;0,$AT$44*AS28/SUMIF($AS$8:$AS$39,"&gt;0"),""))),IF(SUMIF(AJ29:$AJ$39,"=" &amp; AJ28,AI29:$AI$39)=0,"",SUMIF(AJ29:$AJ$39,"=" &amp; AJ28,AI29:$AI$39)))</f>
        <v>5.6250000000000001E-2</v>
      </c>
      <c r="AJ28" s="139">
        <f t="shared" si="34"/>
        <v>3</v>
      </c>
      <c r="AK28" s="453">
        <f t="shared" si="27"/>
        <v>2</v>
      </c>
      <c r="AL28" s="146" t="str">
        <f t="shared" si="28"/>
        <v/>
      </c>
      <c r="AM28" s="146" t="str">
        <f t="shared" si="35"/>
        <v/>
      </c>
      <c r="AN28" s="146" t="str">
        <f t="shared" si="5"/>
        <v/>
      </c>
      <c r="AO28" s="146" t="str">
        <f t="shared" si="6"/>
        <v/>
      </c>
      <c r="AP28" s="453" t="b">
        <f t="shared" si="7"/>
        <v>1</v>
      </c>
      <c r="AQ28" s="140">
        <f t="shared" si="29"/>
        <v>5</v>
      </c>
      <c r="AR28" s="141" t="str">
        <f t="shared" si="8"/>
        <v/>
      </c>
      <c r="AS28" s="142">
        <f t="shared" si="30"/>
        <v>0</v>
      </c>
      <c r="AT28" s="141" t="str">
        <f t="shared" si="9"/>
        <v/>
      </c>
      <c r="AU28" s="143">
        <f t="shared" si="10"/>
        <v>0</v>
      </c>
      <c r="AV28" s="144" t="str">
        <f t="shared" si="11"/>
        <v/>
      </c>
      <c r="AW28" s="143" t="b">
        <f t="shared" si="12"/>
        <v>0</v>
      </c>
      <c r="AX28" s="145" t="b">
        <f t="shared" si="13"/>
        <v>1</v>
      </c>
      <c r="AY28" s="143" t="b">
        <f t="shared" si="14"/>
        <v>0</v>
      </c>
      <c r="AZ28" s="145" t="b">
        <f t="shared" si="15"/>
        <v>0</v>
      </c>
      <c r="BA28" s="453" t="b">
        <f t="shared" si="16"/>
        <v>0</v>
      </c>
      <c r="BB28" s="453" t="b">
        <f t="shared" si="17"/>
        <v>0</v>
      </c>
      <c r="BC28" s="143" t="b">
        <f t="shared" si="18"/>
        <v>0</v>
      </c>
      <c r="BD28" s="146" t="b">
        <f t="shared" si="31"/>
        <v>0</v>
      </c>
      <c r="BE28" s="145" t="b">
        <f t="shared" si="37"/>
        <v>0</v>
      </c>
      <c r="BF28" s="147" t="b">
        <f t="shared" si="20"/>
        <v>0</v>
      </c>
      <c r="BG28" s="453" t="b">
        <f t="shared" si="38"/>
        <v>1</v>
      </c>
      <c r="BH28" s="453">
        <f t="shared" si="32"/>
        <v>1</v>
      </c>
      <c r="BI28" s="453">
        <f t="shared" si="22"/>
        <v>2</v>
      </c>
      <c r="BJ28" s="453" t="str">
        <f t="shared" si="23"/>
        <v>2</v>
      </c>
      <c r="BK28" s="453">
        <f t="shared" si="24"/>
        <v>3</v>
      </c>
      <c r="BL28" s="148">
        <f t="shared" si="33"/>
        <v>1</v>
      </c>
      <c r="BM28" s="453">
        <f t="shared" si="25"/>
        <v>2</v>
      </c>
      <c r="BN28" s="453">
        <f t="shared" si="26"/>
        <v>3</v>
      </c>
      <c r="BO28" s="936"/>
      <c r="BP28" s="300" t="s">
        <v>366</v>
      </c>
      <c r="BQ28" s="165">
        <f t="shared" si="36"/>
        <v>0.3</v>
      </c>
      <c r="BR28" s="166">
        <f t="shared" si="36"/>
        <v>0.6</v>
      </c>
      <c r="BS28" s="166">
        <f t="shared" si="36"/>
        <v>0.7</v>
      </c>
      <c r="BT28" s="166">
        <f t="shared" si="36"/>
        <v>0.9</v>
      </c>
      <c r="BU28" s="167">
        <f t="shared" si="36"/>
        <v>1</v>
      </c>
    </row>
    <row r="29" spans="2:73" s="94" customFormat="1" ht="12.95" customHeight="1" x14ac:dyDescent="0.2">
      <c r="B29" s="151" t="str">
        <f>IF(ISNA(Z29),"",IF(OR(Z29=1,Z29=2),"    ",MAX($B$8:B28)+1))</f>
        <v xml:space="preserve">    </v>
      </c>
      <c r="C29" s="904" t="str">
        <f t="shared" si="0"/>
        <v>Post Flight (5.6%)</v>
      </c>
      <c r="D29" s="904"/>
      <c r="E29" s="904"/>
      <c r="F29" s="905"/>
      <c r="G29" s="133" t="str">
        <f t="shared" si="1"/>
        <v/>
      </c>
      <c r="H29" s="134" t="str">
        <f t="shared" si="2"/>
        <v/>
      </c>
      <c r="I29" s="152" t="str">
        <f t="shared" si="2"/>
        <v/>
      </c>
      <c r="J29" s="158"/>
      <c r="K29" s="159"/>
      <c r="L29" s="1015"/>
      <c r="M29" s="1016"/>
      <c r="N29" s="1016"/>
      <c r="O29" s="1016"/>
      <c r="P29" s="1016"/>
      <c r="Q29" s="1016"/>
      <c r="R29" s="1017"/>
      <c r="T29" s="99">
        <v>22</v>
      </c>
      <c r="U29" s="88" t="s">
        <v>502</v>
      </c>
      <c r="V29" s="453" t="s">
        <v>340</v>
      </c>
      <c r="W29" s="453" t="s">
        <v>340</v>
      </c>
      <c r="X29" s="453" t="s">
        <v>340</v>
      </c>
      <c r="Y29" s="453" t="s">
        <v>340</v>
      </c>
      <c r="Z29" s="146">
        <v>2</v>
      </c>
      <c r="AA29" s="146">
        <v>1</v>
      </c>
      <c r="AB29" s="146">
        <v>1</v>
      </c>
      <c r="AC29" s="453" t="s">
        <v>340</v>
      </c>
      <c r="AD29" s="453" t="s">
        <v>340</v>
      </c>
      <c r="AE29" s="453" t="s">
        <v>340</v>
      </c>
      <c r="AF29" s="453" t="s">
        <v>340</v>
      </c>
      <c r="AG29" s="453" t="str">
        <f t="shared" si="3"/>
        <v/>
      </c>
      <c r="AH29" s="453" t="str">
        <f t="shared" si="4"/>
        <v/>
      </c>
      <c r="AI29" s="138">
        <f>IF(NOT(OR(Z29=1,Z29=2)),IF(AQ29&gt;0,$AR$44*AQ29/SUMIF($AQ$8:$AQ$39,"&gt;0"),IF(AU29&gt;0,$AV$44*AU29/SUMIF($AU$8:$AU$39,"&gt;0"),IF(AS29&gt;0,$AT$44*AS29/SUMIF($AS$8:$AS$39,"&gt;0"),""))),IF(SUMIF(AJ30:$AJ$39,"=" &amp; AJ29,AI30:$AI$39)=0,"",SUMIF(AJ30:$AJ$39,"=" &amp; AJ29,AI30:$AI$39)))</f>
        <v>5.6250000000000001E-2</v>
      </c>
      <c r="AJ29" s="139">
        <f t="shared" si="34"/>
        <v>4</v>
      </c>
      <c r="AK29" s="453" t="str">
        <f t="shared" si="27"/>
        <v/>
      </c>
      <c r="AL29" s="146" t="str">
        <f t="shared" si="28"/>
        <v/>
      </c>
      <c r="AM29" s="146" t="str">
        <f t="shared" si="35"/>
        <v/>
      </c>
      <c r="AN29" s="146" t="str">
        <f t="shared" si="5"/>
        <v/>
      </c>
      <c r="AO29" s="146" t="str">
        <f t="shared" si="6"/>
        <v/>
      </c>
      <c r="AP29" s="453" t="str">
        <f t="shared" si="7"/>
        <v/>
      </c>
      <c r="AQ29" s="140">
        <f t="shared" si="29"/>
        <v>0</v>
      </c>
      <c r="AR29" s="141" t="str">
        <f t="shared" si="8"/>
        <v/>
      </c>
      <c r="AS29" s="142">
        <f t="shared" si="30"/>
        <v>0</v>
      </c>
      <c r="AT29" s="141" t="str">
        <f t="shared" si="9"/>
        <v/>
      </c>
      <c r="AU29" s="143">
        <f t="shared" si="10"/>
        <v>0</v>
      </c>
      <c r="AV29" s="144" t="str">
        <f t="shared" si="11"/>
        <v/>
      </c>
      <c r="AW29" s="143" t="b">
        <f t="shared" si="12"/>
        <v>0</v>
      </c>
      <c r="AX29" s="145" t="b">
        <f t="shared" si="13"/>
        <v>0</v>
      </c>
      <c r="AY29" s="143" t="b">
        <f t="shared" si="14"/>
        <v>0</v>
      </c>
      <c r="AZ29" s="145" t="b">
        <f t="shared" si="15"/>
        <v>0</v>
      </c>
      <c r="BA29" s="453" t="b">
        <f t="shared" si="16"/>
        <v>0</v>
      </c>
      <c r="BB29" s="453" t="b">
        <f t="shared" si="17"/>
        <v>0</v>
      </c>
      <c r="BC29" s="143" t="b">
        <f t="shared" si="18"/>
        <v>0</v>
      </c>
      <c r="BD29" s="146" t="b">
        <f t="shared" si="31"/>
        <v>0</v>
      </c>
      <c r="BE29" s="145" t="b">
        <f t="shared" si="37"/>
        <v>0</v>
      </c>
      <c r="BF29" s="147" t="b">
        <f t="shared" si="20"/>
        <v>0</v>
      </c>
      <c r="BG29" s="453" t="b">
        <f t="shared" si="38"/>
        <v>0</v>
      </c>
      <c r="BH29" s="453" t="str">
        <f t="shared" si="32"/>
        <v/>
      </c>
      <c r="BI29" s="453" t="str">
        <f t="shared" si="22"/>
        <v/>
      </c>
      <c r="BJ29" s="453" t="str">
        <f t="shared" si="23"/>
        <v/>
      </c>
      <c r="BK29" s="453" t="str">
        <f t="shared" si="24"/>
        <v/>
      </c>
      <c r="BL29" s="148" t="str">
        <f t="shared" si="33"/>
        <v/>
      </c>
      <c r="BM29" s="453" t="str">
        <f t="shared" si="25"/>
        <v/>
      </c>
      <c r="BN29" s="453" t="str">
        <f t="shared" si="26"/>
        <v/>
      </c>
      <c r="BO29" s="936"/>
      <c r="BP29" s="300" t="s">
        <v>367</v>
      </c>
      <c r="BQ29" s="168">
        <f t="shared" si="36"/>
        <v>0</v>
      </c>
      <c r="BR29" s="169">
        <f t="shared" si="36"/>
        <v>0.3</v>
      </c>
      <c r="BS29" s="169">
        <f t="shared" si="36"/>
        <v>0.6</v>
      </c>
      <c r="BT29" s="169">
        <f t="shared" si="36"/>
        <v>0.9</v>
      </c>
      <c r="BU29" s="170">
        <f t="shared" si="36"/>
        <v>1</v>
      </c>
    </row>
    <row r="30" spans="2:73" s="94" customFormat="1" ht="12.95" customHeight="1" x14ac:dyDescent="0.2">
      <c r="B30" s="151">
        <f>IF(ISNA(Z30),"",IF(OR(Z30=1,Z30=2),"    ",MAX($B$8:B29)+1))</f>
        <v>18</v>
      </c>
      <c r="C30" s="904" t="str">
        <f t="shared" si="0"/>
        <v xml:space="preserve">      - Data Analysis &amp; Evaluation (5.6%)</v>
      </c>
      <c r="D30" s="904"/>
      <c r="E30" s="904"/>
      <c r="F30" s="905"/>
      <c r="G30" s="133">
        <f t="shared" si="1"/>
        <v>1</v>
      </c>
      <c r="H30" s="134" t="str">
        <f t="shared" si="2"/>
        <v>2</v>
      </c>
      <c r="I30" s="152">
        <f t="shared" si="2"/>
        <v>3</v>
      </c>
      <c r="J30" s="157"/>
      <c r="K30" s="154"/>
      <c r="L30" s="1015"/>
      <c r="M30" s="1016"/>
      <c r="N30" s="1016"/>
      <c r="O30" s="1016"/>
      <c r="P30" s="1016"/>
      <c r="Q30" s="1016"/>
      <c r="R30" s="1017"/>
      <c r="T30" s="99">
        <v>23</v>
      </c>
      <c r="U30" s="88" t="s">
        <v>503</v>
      </c>
      <c r="V30" s="453">
        <v>1</v>
      </c>
      <c r="W30" s="453">
        <v>5</v>
      </c>
      <c r="X30" s="453" t="s">
        <v>340</v>
      </c>
      <c r="Y30" s="453" t="s">
        <v>340</v>
      </c>
      <c r="Z30" s="146" t="s">
        <v>340</v>
      </c>
      <c r="AA30" s="146">
        <v>2</v>
      </c>
      <c r="AB30" s="146">
        <v>1</v>
      </c>
      <c r="AC30" s="453">
        <v>3</v>
      </c>
      <c r="AD30" s="453">
        <v>2</v>
      </c>
      <c r="AE30" s="453">
        <v>0</v>
      </c>
      <c r="AF30" s="453" t="b">
        <v>1</v>
      </c>
      <c r="AG30" s="453">
        <f t="shared" si="3"/>
        <v>2</v>
      </c>
      <c r="AH30" s="453">
        <f t="shared" si="4"/>
        <v>1</v>
      </c>
      <c r="AI30" s="138">
        <f>IF(NOT(OR(Z30=1,Z30=2)),IF(AQ30&gt;0,$AR$44*AQ30/SUMIF($AQ$8:$AQ$39,"&gt;0"),IF(AU30&gt;0,$AV$44*AU30/SUMIF($AU$8:$AU$39,"&gt;0"),IF(AS30&gt;0,$AT$44*AS30/SUMIF($AS$8:$AS$39,"&gt;0"),""))),IF(SUMIF(AJ31:$AJ$39,"=" &amp; AJ30,AI31:$AI$39)=0,"",SUMIF(AJ31:$AJ$39,"=" &amp; AJ30,AI31:$AI$39)))</f>
        <v>5.6250000000000001E-2</v>
      </c>
      <c r="AJ30" s="139">
        <f t="shared" si="34"/>
        <v>4</v>
      </c>
      <c r="AK30" s="453">
        <f t="shared" si="27"/>
        <v>2</v>
      </c>
      <c r="AL30" s="146" t="str">
        <f t="shared" si="28"/>
        <v/>
      </c>
      <c r="AM30" s="146" t="str">
        <f t="shared" si="35"/>
        <v/>
      </c>
      <c r="AN30" s="146" t="str">
        <f t="shared" si="5"/>
        <v/>
      </c>
      <c r="AO30" s="146" t="str">
        <f t="shared" si="6"/>
        <v/>
      </c>
      <c r="AP30" s="453" t="b">
        <f t="shared" si="7"/>
        <v>1</v>
      </c>
      <c r="AQ30" s="140">
        <f t="shared" si="29"/>
        <v>5</v>
      </c>
      <c r="AR30" s="141" t="str">
        <f t="shared" si="8"/>
        <v/>
      </c>
      <c r="AS30" s="142">
        <f t="shared" si="30"/>
        <v>0</v>
      </c>
      <c r="AT30" s="141" t="str">
        <f t="shared" si="9"/>
        <v/>
      </c>
      <c r="AU30" s="143">
        <f t="shared" si="10"/>
        <v>0</v>
      </c>
      <c r="AV30" s="144" t="str">
        <f t="shared" si="11"/>
        <v/>
      </c>
      <c r="AW30" s="143" t="b">
        <f t="shared" si="12"/>
        <v>0</v>
      </c>
      <c r="AX30" s="145" t="b">
        <f t="shared" si="13"/>
        <v>1</v>
      </c>
      <c r="AY30" s="143" t="b">
        <f t="shared" si="14"/>
        <v>0</v>
      </c>
      <c r="AZ30" s="145" t="b">
        <f t="shared" si="15"/>
        <v>0</v>
      </c>
      <c r="BA30" s="453" t="b">
        <f t="shared" si="16"/>
        <v>0</v>
      </c>
      <c r="BB30" s="453" t="b">
        <f t="shared" si="17"/>
        <v>0</v>
      </c>
      <c r="BC30" s="143" t="b">
        <f t="shared" si="18"/>
        <v>0</v>
      </c>
      <c r="BD30" s="146" t="b">
        <f t="shared" si="31"/>
        <v>0</v>
      </c>
      <c r="BE30" s="145" t="b">
        <f t="shared" si="37"/>
        <v>0</v>
      </c>
      <c r="BF30" s="147" t="b">
        <f t="shared" si="20"/>
        <v>0</v>
      </c>
      <c r="BG30" s="453" t="b">
        <f t="shared" si="38"/>
        <v>1</v>
      </c>
      <c r="BH30" s="453">
        <f t="shared" si="32"/>
        <v>1</v>
      </c>
      <c r="BI30" s="453">
        <f t="shared" si="22"/>
        <v>2</v>
      </c>
      <c r="BJ30" s="453" t="str">
        <f t="shared" si="23"/>
        <v>2</v>
      </c>
      <c r="BK30" s="453">
        <f t="shared" si="24"/>
        <v>3</v>
      </c>
      <c r="BL30" s="148">
        <f t="shared" si="33"/>
        <v>1</v>
      </c>
      <c r="BM30" s="453">
        <f t="shared" si="25"/>
        <v>2</v>
      </c>
      <c r="BN30" s="453">
        <f t="shared" si="26"/>
        <v>3</v>
      </c>
      <c r="BO30" s="90"/>
    </row>
    <row r="31" spans="2:73" s="94" customFormat="1" ht="12.95" customHeight="1" x14ac:dyDescent="0.2">
      <c r="B31" s="151" t="str">
        <f>IF(ISNA(Z31),"",IF(OR(Z31=1,Z31=2),"    ",MAX($B$8:B30)+1))</f>
        <v/>
      </c>
      <c r="C31" s="904" t="str">
        <f t="shared" si="0"/>
        <v/>
      </c>
      <c r="D31" s="904"/>
      <c r="E31" s="904"/>
      <c r="F31" s="905"/>
      <c r="G31" s="133" t="str">
        <f t="shared" si="1"/>
        <v/>
      </c>
      <c r="H31" s="134" t="str">
        <f t="shared" si="2"/>
        <v/>
      </c>
      <c r="I31" s="152" t="str">
        <f t="shared" si="2"/>
        <v/>
      </c>
      <c r="J31" s="158"/>
      <c r="K31" s="159"/>
      <c r="L31" s="1015"/>
      <c r="M31" s="1016"/>
      <c r="N31" s="1016"/>
      <c r="O31" s="1016"/>
      <c r="P31" s="1016"/>
      <c r="Q31" s="1016"/>
      <c r="R31" s="1017"/>
      <c r="T31" s="99">
        <v>24</v>
      </c>
      <c r="U31" s="88" t="e">
        <v>#N/A</v>
      </c>
      <c r="V31" s="453" t="e">
        <v>#N/A</v>
      </c>
      <c r="W31" s="453" t="e">
        <v>#N/A</v>
      </c>
      <c r="X31" s="453" t="e">
        <v>#N/A</v>
      </c>
      <c r="Y31" s="453" t="e">
        <v>#N/A</v>
      </c>
      <c r="Z31" s="146" t="e">
        <v>#N/A</v>
      </c>
      <c r="AA31" s="146" t="e">
        <v>#N/A</v>
      </c>
      <c r="AB31" s="146" t="e">
        <v>#N/A</v>
      </c>
      <c r="AC31" s="453" t="e">
        <v>#N/A</v>
      </c>
      <c r="AD31" s="453" t="e">
        <v>#N/A</v>
      </c>
      <c r="AE31" s="453" t="e">
        <v>#N/A</v>
      </c>
      <c r="AF31" s="453" t="e">
        <v>#N/A</v>
      </c>
      <c r="AG31" s="453" t="e">
        <f t="shared" si="3"/>
        <v>#N/A</v>
      </c>
      <c r="AH31" s="453" t="str">
        <f t="shared" si="4"/>
        <v/>
      </c>
      <c r="AI31" s="138" t="e">
        <f>IF(NOT(OR(Z31=1,Z31=2)),IF(AQ31&gt;0,$AR$44*AQ31/SUMIF($AQ$8:$AQ$39,"&gt;0"),IF(AU31&gt;0,$AV$44*AU31/SUMIF($AU$8:$AU$39,"&gt;0"),IF(AS31&gt;0,$AT$44*AS31/SUMIF($AS$8:$AS$39,"&gt;0"),""))),IF(SUMIF(AJ32:$AJ$39,"=" &amp; AJ31,AI32:$AI$39)=0,"",SUMIF(AJ32:$AJ$39,"=" &amp; AJ31,AI32:$AI$39)))</f>
        <v>#N/A</v>
      </c>
      <c r="AJ31" s="139" t="e">
        <f t="shared" si="34"/>
        <v>#N/A</v>
      </c>
      <c r="AK31" s="453" t="str">
        <f t="shared" si="27"/>
        <v/>
      </c>
      <c r="AL31" s="146" t="str">
        <f t="shared" si="28"/>
        <v/>
      </c>
      <c r="AM31" s="146" t="str">
        <f t="shared" si="35"/>
        <v/>
      </c>
      <c r="AN31" s="146" t="str">
        <f t="shared" si="5"/>
        <v/>
      </c>
      <c r="AO31" s="146" t="e">
        <f t="shared" si="6"/>
        <v>#N/A</v>
      </c>
      <c r="AP31" s="453" t="str">
        <f t="shared" si="7"/>
        <v/>
      </c>
      <c r="AQ31" s="140">
        <f t="shared" si="29"/>
        <v>0</v>
      </c>
      <c r="AR31" s="141" t="str">
        <f t="shared" si="8"/>
        <v/>
      </c>
      <c r="AS31" s="142">
        <f t="shared" si="30"/>
        <v>0</v>
      </c>
      <c r="AT31" s="141" t="str">
        <f t="shared" si="9"/>
        <v/>
      </c>
      <c r="AU31" s="143">
        <f t="shared" si="10"/>
        <v>0</v>
      </c>
      <c r="AV31" s="144" t="str">
        <f t="shared" si="11"/>
        <v/>
      </c>
      <c r="AW31" s="143" t="b">
        <f t="shared" si="12"/>
        <v>0</v>
      </c>
      <c r="AX31" s="145" t="b">
        <f t="shared" si="13"/>
        <v>0</v>
      </c>
      <c r="AY31" s="143" t="b">
        <f t="shared" si="14"/>
        <v>0</v>
      </c>
      <c r="AZ31" s="145" t="b">
        <f t="shared" si="15"/>
        <v>0</v>
      </c>
      <c r="BA31" s="453" t="b">
        <f t="shared" si="16"/>
        <v>0</v>
      </c>
      <c r="BB31" s="453" t="b">
        <f t="shared" si="17"/>
        <v>0</v>
      </c>
      <c r="BC31" s="143" t="b">
        <f t="shared" si="18"/>
        <v>0</v>
      </c>
      <c r="BD31" s="146" t="b">
        <f>IF(OR(ISNA($Z31),ISNUMBER($Z31),NOT(ISNUMBER(K31))),FALSE,OR(NOT(ISNUMBER(J31)),J31=0,AND(J31=0,K31&lt;&gt;0)))</f>
        <v>0</v>
      </c>
      <c r="BE31" s="145" t="b">
        <f t="shared" si="37"/>
        <v>0</v>
      </c>
      <c r="BF31" s="147" t="b">
        <f>IF(OR(ISNA($Z31),H31&lt;&gt;"NG"),FALSE,IF(AND(J31="NA",K31&lt;&gt;""),TRUE,FALSE))</f>
        <v>0</v>
      </c>
      <c r="BG31" s="453" t="str">
        <f t="shared" si="38"/>
        <v>NA</v>
      </c>
      <c r="BH31" s="453" t="str">
        <f t="shared" si="32"/>
        <v/>
      </c>
      <c r="BI31" s="453" t="str">
        <f t="shared" si="22"/>
        <v/>
      </c>
      <c r="BJ31" s="453" t="str">
        <f t="shared" si="23"/>
        <v/>
      </c>
      <c r="BK31" s="453" t="str">
        <f t="shared" si="24"/>
        <v/>
      </c>
      <c r="BL31" s="148" t="str">
        <f t="shared" si="33"/>
        <v/>
      </c>
      <c r="BM31" s="453" t="str">
        <f t="shared" si="25"/>
        <v/>
      </c>
      <c r="BN31" s="453" t="str">
        <f t="shared" si="26"/>
        <v/>
      </c>
      <c r="BO31" s="155" t="s">
        <v>368</v>
      </c>
      <c r="BP31" s="161" t="s">
        <v>369</v>
      </c>
    </row>
    <row r="32" spans="2:73" s="94" customFormat="1" ht="12.95" customHeight="1" x14ac:dyDescent="0.2">
      <c r="B32" s="151" t="str">
        <f>IF(ISNA(Z32),"",IF(OR(Z32=1,Z32=2),"    ",MAX($B$8:B31)+1))</f>
        <v/>
      </c>
      <c r="C32" s="904" t="str">
        <f t="shared" si="0"/>
        <v/>
      </c>
      <c r="D32" s="904"/>
      <c r="E32" s="904"/>
      <c r="F32" s="905"/>
      <c r="G32" s="133" t="str">
        <f t="shared" si="1"/>
        <v/>
      </c>
      <c r="H32" s="134" t="str">
        <f t="shared" si="2"/>
        <v/>
      </c>
      <c r="I32" s="152" t="str">
        <f t="shared" si="2"/>
        <v/>
      </c>
      <c r="J32" s="158"/>
      <c r="K32" s="159"/>
      <c r="L32" s="1015"/>
      <c r="M32" s="1016"/>
      <c r="N32" s="1016"/>
      <c r="O32" s="1016"/>
      <c r="P32" s="1016"/>
      <c r="Q32" s="1016"/>
      <c r="R32" s="1017"/>
      <c r="T32" s="99">
        <v>25</v>
      </c>
      <c r="U32" s="88" t="e">
        <v>#N/A</v>
      </c>
      <c r="V32" s="453" t="e">
        <v>#N/A</v>
      </c>
      <c r="W32" s="453" t="e">
        <v>#N/A</v>
      </c>
      <c r="X32" s="453" t="e">
        <v>#N/A</v>
      </c>
      <c r="Y32" s="453" t="e">
        <v>#N/A</v>
      </c>
      <c r="Z32" s="146" t="e">
        <v>#N/A</v>
      </c>
      <c r="AA32" s="146" t="e">
        <v>#N/A</v>
      </c>
      <c r="AB32" s="146" t="e">
        <v>#N/A</v>
      </c>
      <c r="AC32" s="453" t="e">
        <v>#N/A</v>
      </c>
      <c r="AD32" s="453" t="e">
        <v>#N/A</v>
      </c>
      <c r="AE32" s="453" t="e">
        <v>#N/A</v>
      </c>
      <c r="AF32" s="453" t="e">
        <v>#N/A</v>
      </c>
      <c r="AG32" s="453" t="e">
        <f t="shared" si="3"/>
        <v>#N/A</v>
      </c>
      <c r="AH32" s="453" t="str">
        <f t="shared" si="4"/>
        <v/>
      </c>
      <c r="AI32" s="138" t="e">
        <f>IF(NOT(OR(Z32=1,Z32=2)),IF(AQ32&gt;0,$AR$44*AQ32/SUMIF($AQ$8:$AQ$39,"&gt;0"),IF(AU32&gt;0,$AV$44*AU32/SUMIF($AU$8:$AU$39,"&gt;0"),IF(AS32&gt;0,$AT$44*AS32/SUMIF($AS$8:$AS$39,"&gt;0"),""))),IF(SUMIF(AJ33:$AJ$39,"=" &amp; AJ32,AI33:$AI$39)=0,"",SUMIF(AJ33:$AJ$39,"=" &amp; AJ32,AI33:$AI$39)))</f>
        <v>#N/A</v>
      </c>
      <c r="AJ32" s="139" t="e">
        <f t="shared" si="34"/>
        <v>#N/A</v>
      </c>
      <c r="AK32" s="453" t="str">
        <f t="shared" si="27"/>
        <v/>
      </c>
      <c r="AL32" s="146" t="str">
        <f t="shared" si="28"/>
        <v/>
      </c>
      <c r="AM32" s="146" t="str">
        <f t="shared" si="35"/>
        <v/>
      </c>
      <c r="AN32" s="146" t="str">
        <f t="shared" si="5"/>
        <v/>
      </c>
      <c r="AO32" s="146" t="e">
        <f t="shared" si="6"/>
        <v>#N/A</v>
      </c>
      <c r="AP32" s="453" t="str">
        <f t="shared" si="7"/>
        <v/>
      </c>
      <c r="AQ32" s="140">
        <f t="shared" si="29"/>
        <v>0</v>
      </c>
      <c r="AR32" s="141" t="str">
        <f t="shared" si="8"/>
        <v/>
      </c>
      <c r="AS32" s="142">
        <f t="shared" si="30"/>
        <v>0</v>
      </c>
      <c r="AT32" s="141" t="str">
        <f t="shared" si="9"/>
        <v/>
      </c>
      <c r="AU32" s="143">
        <f t="shared" si="10"/>
        <v>0</v>
      </c>
      <c r="AV32" s="144" t="str">
        <f t="shared" si="11"/>
        <v/>
      </c>
      <c r="AW32" s="143" t="b">
        <f t="shared" si="12"/>
        <v>0</v>
      </c>
      <c r="AX32" s="145" t="b">
        <f t="shared" si="13"/>
        <v>0</v>
      </c>
      <c r="AY32" s="143" t="b">
        <f t="shared" si="14"/>
        <v>0</v>
      </c>
      <c r="AZ32" s="145" t="b">
        <f t="shared" si="15"/>
        <v>0</v>
      </c>
      <c r="BA32" s="453" t="b">
        <f t="shared" si="16"/>
        <v>0</v>
      </c>
      <c r="BB32" s="453" t="b">
        <f t="shared" si="17"/>
        <v>0</v>
      </c>
      <c r="BC32" s="143" t="b">
        <f t="shared" si="18"/>
        <v>0</v>
      </c>
      <c r="BD32" s="146" t="b">
        <f t="shared" si="31"/>
        <v>0</v>
      </c>
      <c r="BE32" s="145" t="b">
        <f t="shared" si="37"/>
        <v>0</v>
      </c>
      <c r="BF32" s="147" t="b">
        <f t="shared" ref="BF32:BF39" si="39">IF(OR(ISNA($Z32),H32&lt;&gt;"NG"),FALSE,IF(AND(J32="NA",K32&lt;&gt;""),TRUE,FALSE))</f>
        <v>0</v>
      </c>
      <c r="BG32" s="453" t="str">
        <f t="shared" si="38"/>
        <v>NA</v>
      </c>
      <c r="BH32" s="453" t="str">
        <f t="shared" si="32"/>
        <v/>
      </c>
      <c r="BI32" s="453" t="str">
        <f t="shared" si="22"/>
        <v/>
      </c>
      <c r="BJ32" s="453" t="str">
        <f t="shared" si="23"/>
        <v/>
      </c>
      <c r="BK32" s="453" t="str">
        <f t="shared" si="24"/>
        <v/>
      </c>
      <c r="BL32" s="148" t="str">
        <f t="shared" si="33"/>
        <v/>
      </c>
      <c r="BM32" s="453" t="str">
        <f t="shared" si="25"/>
        <v/>
      </c>
      <c r="BN32" s="453" t="str">
        <f t="shared" si="26"/>
        <v/>
      </c>
      <c r="BO32" s="155" t="s">
        <v>370</v>
      </c>
      <c r="BP32" s="161" t="s">
        <v>371</v>
      </c>
    </row>
    <row r="33" spans="2:73" s="94" customFormat="1" ht="12.95" customHeight="1" x14ac:dyDescent="0.2">
      <c r="B33" s="151" t="str">
        <f>IF(ISNA(Z33),"",IF(OR(Z33=1,Z33=2),"    ",MAX($B$8:B32)+1))</f>
        <v/>
      </c>
      <c r="C33" s="904" t="str">
        <f t="shared" si="0"/>
        <v/>
      </c>
      <c r="D33" s="904"/>
      <c r="E33" s="904"/>
      <c r="F33" s="905"/>
      <c r="G33" s="133" t="str">
        <f t="shared" si="1"/>
        <v/>
      </c>
      <c r="H33" s="134" t="str">
        <f t="shared" si="2"/>
        <v/>
      </c>
      <c r="I33" s="152" t="str">
        <f t="shared" si="2"/>
        <v/>
      </c>
      <c r="J33" s="158"/>
      <c r="K33" s="159"/>
      <c r="L33" s="1015"/>
      <c r="M33" s="1016"/>
      <c r="N33" s="1016"/>
      <c r="O33" s="1016"/>
      <c r="P33" s="1016"/>
      <c r="Q33" s="1016"/>
      <c r="R33" s="1017"/>
      <c r="T33" s="99">
        <v>26</v>
      </c>
      <c r="U33" s="88" t="e">
        <v>#N/A</v>
      </c>
      <c r="V33" s="453" t="e">
        <v>#N/A</v>
      </c>
      <c r="W33" s="453" t="e">
        <v>#N/A</v>
      </c>
      <c r="X33" s="453" t="e">
        <v>#N/A</v>
      </c>
      <c r="Y33" s="453" t="e">
        <v>#N/A</v>
      </c>
      <c r="Z33" s="146" t="e">
        <v>#N/A</v>
      </c>
      <c r="AA33" s="146" t="e">
        <v>#N/A</v>
      </c>
      <c r="AB33" s="146" t="e">
        <v>#N/A</v>
      </c>
      <c r="AC33" s="453" t="e">
        <v>#N/A</v>
      </c>
      <c r="AD33" s="453" t="e">
        <v>#N/A</v>
      </c>
      <c r="AE33" s="453" t="e">
        <v>#N/A</v>
      </c>
      <c r="AF33" s="453" t="e">
        <v>#N/A</v>
      </c>
      <c r="AG33" s="453" t="e">
        <f t="shared" si="3"/>
        <v>#N/A</v>
      </c>
      <c r="AH33" s="453" t="str">
        <f t="shared" si="4"/>
        <v/>
      </c>
      <c r="AI33" s="138" t="e">
        <f>IF(NOT(OR(Z33=1,Z33=2)),IF(AQ33&gt;0,$AR$44*AQ33/SUMIF($AQ$8:$AQ$39,"&gt;0"),IF(AU33&gt;0,$AV$44*AU33/SUMIF($AU$8:$AU$39,"&gt;0"),IF(AS33&gt;0,$AT$44*AS33/SUMIF($AS$8:$AS$39,"&gt;0"),""))),IF(SUMIF(AJ34:$AJ$39,"=" &amp; AJ33,AI34:$AI$39)=0,"",SUMIF(AJ34:$AJ$39,"=" &amp; AJ33,AI34:$AI$39)))</f>
        <v>#N/A</v>
      </c>
      <c r="AJ33" s="139" t="e">
        <f t="shared" si="34"/>
        <v>#N/A</v>
      </c>
      <c r="AK33" s="453" t="str">
        <f t="shared" si="27"/>
        <v/>
      </c>
      <c r="AL33" s="146" t="str">
        <f t="shared" si="28"/>
        <v/>
      </c>
      <c r="AM33" s="146" t="str">
        <f t="shared" si="35"/>
        <v/>
      </c>
      <c r="AN33" s="146" t="str">
        <f t="shared" si="5"/>
        <v/>
      </c>
      <c r="AO33" s="146" t="e">
        <f t="shared" si="6"/>
        <v>#N/A</v>
      </c>
      <c r="AP33" s="453" t="str">
        <f t="shared" si="7"/>
        <v/>
      </c>
      <c r="AQ33" s="140">
        <f t="shared" si="29"/>
        <v>0</v>
      </c>
      <c r="AR33" s="141" t="str">
        <f t="shared" si="8"/>
        <v/>
      </c>
      <c r="AS33" s="142">
        <f t="shared" si="30"/>
        <v>0</v>
      </c>
      <c r="AT33" s="141" t="str">
        <f t="shared" si="9"/>
        <v/>
      </c>
      <c r="AU33" s="143">
        <f t="shared" si="10"/>
        <v>0</v>
      </c>
      <c r="AV33" s="144" t="str">
        <f t="shared" si="11"/>
        <v/>
      </c>
      <c r="AW33" s="143" t="b">
        <f t="shared" si="12"/>
        <v>0</v>
      </c>
      <c r="AX33" s="145" t="b">
        <f t="shared" si="13"/>
        <v>0</v>
      </c>
      <c r="AY33" s="143" t="b">
        <f t="shared" si="14"/>
        <v>0</v>
      </c>
      <c r="AZ33" s="145" t="b">
        <f t="shared" si="15"/>
        <v>0</v>
      </c>
      <c r="BA33" s="453" t="b">
        <f t="shared" si="16"/>
        <v>0</v>
      </c>
      <c r="BB33" s="453" t="b">
        <f t="shared" si="17"/>
        <v>0</v>
      </c>
      <c r="BC33" s="143" t="b">
        <f t="shared" si="18"/>
        <v>0</v>
      </c>
      <c r="BD33" s="146" t="b">
        <f t="shared" si="31"/>
        <v>0</v>
      </c>
      <c r="BE33" s="145" t="b">
        <f t="shared" si="37"/>
        <v>0</v>
      </c>
      <c r="BF33" s="147" t="b">
        <f t="shared" si="39"/>
        <v>0</v>
      </c>
      <c r="BG33" s="453" t="str">
        <f t="shared" si="38"/>
        <v>NA</v>
      </c>
      <c r="BH33" s="453" t="str">
        <f t="shared" si="32"/>
        <v/>
      </c>
      <c r="BI33" s="453" t="str">
        <f t="shared" si="22"/>
        <v/>
      </c>
      <c r="BJ33" s="453" t="str">
        <f t="shared" si="23"/>
        <v/>
      </c>
      <c r="BK33" s="453" t="str">
        <f t="shared" si="24"/>
        <v/>
      </c>
      <c r="BL33" s="148" t="str">
        <f t="shared" si="33"/>
        <v/>
      </c>
      <c r="BM33" s="453" t="str">
        <f t="shared" si="25"/>
        <v/>
      </c>
      <c r="BN33" s="453" t="str">
        <f t="shared" si="26"/>
        <v/>
      </c>
      <c r="BO33" s="150" t="s">
        <v>372</v>
      </c>
      <c r="BP33" s="161"/>
      <c r="BQ33" s="161"/>
      <c r="BR33" s="161"/>
      <c r="BS33" s="161"/>
      <c r="BT33" s="161"/>
      <c r="BU33" s="161"/>
    </row>
    <row r="34" spans="2:73" s="94" customFormat="1" ht="12.95" customHeight="1" x14ac:dyDescent="0.2">
      <c r="B34" s="151" t="str">
        <f>IF(ISNA(Z34),"",IF(OR(Z34=1,Z34=2),"    ",MAX($B$8:B33)+1))</f>
        <v/>
      </c>
      <c r="C34" s="904" t="str">
        <f t="shared" si="0"/>
        <v/>
      </c>
      <c r="D34" s="904"/>
      <c r="E34" s="904"/>
      <c r="F34" s="905"/>
      <c r="G34" s="133" t="str">
        <f t="shared" si="1"/>
        <v/>
      </c>
      <c r="H34" s="134" t="str">
        <f t="shared" si="2"/>
        <v/>
      </c>
      <c r="I34" s="152" t="str">
        <f t="shared" si="2"/>
        <v/>
      </c>
      <c r="J34" s="158"/>
      <c r="K34" s="159"/>
      <c r="L34" s="1015"/>
      <c r="M34" s="1016"/>
      <c r="N34" s="1016"/>
      <c r="O34" s="1016"/>
      <c r="P34" s="1016"/>
      <c r="Q34" s="1016"/>
      <c r="R34" s="1017"/>
      <c r="T34" s="99">
        <v>27</v>
      </c>
      <c r="U34" s="88" t="e">
        <v>#N/A</v>
      </c>
      <c r="V34" s="453" t="e">
        <v>#N/A</v>
      </c>
      <c r="W34" s="453" t="e">
        <v>#N/A</v>
      </c>
      <c r="X34" s="453" t="e">
        <v>#N/A</v>
      </c>
      <c r="Y34" s="453" t="e">
        <v>#N/A</v>
      </c>
      <c r="Z34" s="146" t="e">
        <v>#N/A</v>
      </c>
      <c r="AA34" s="146" t="e">
        <v>#N/A</v>
      </c>
      <c r="AB34" s="146" t="e">
        <v>#N/A</v>
      </c>
      <c r="AC34" s="453" t="e">
        <v>#N/A</v>
      </c>
      <c r="AD34" s="453" t="e">
        <v>#N/A</v>
      </c>
      <c r="AE34" s="453" t="e">
        <v>#N/A</v>
      </c>
      <c r="AF34" s="453" t="e">
        <v>#N/A</v>
      </c>
      <c r="AG34" s="453" t="e">
        <f t="shared" si="3"/>
        <v>#N/A</v>
      </c>
      <c r="AH34" s="453" t="str">
        <f t="shared" si="4"/>
        <v/>
      </c>
      <c r="AI34" s="138" t="e">
        <f>IF(NOT(OR(Z34=1,Z34=2)),IF(AQ34&gt;0,$AR$44*AQ34/SUMIF($AQ$8:$AQ$39,"&gt;0"),IF(AU34&gt;0,$AV$44*AU34/SUMIF($AU$8:$AU$39,"&gt;0"),IF(AS34&gt;0,$AT$44*AS34/SUMIF($AS$8:$AS$39,"&gt;0"),""))),IF(SUMIF(AJ35:$AJ$39,"=" &amp; AJ34,AI35:$AI$39)=0,"",SUMIF(AJ35:$AJ$39,"=" &amp; AJ34,AI35:$AI$39)))</f>
        <v>#N/A</v>
      </c>
      <c r="AJ34" s="139" t="e">
        <f t="shared" si="34"/>
        <v>#N/A</v>
      </c>
      <c r="AK34" s="453" t="str">
        <f t="shared" si="27"/>
        <v/>
      </c>
      <c r="AL34" s="146" t="str">
        <f t="shared" si="28"/>
        <v/>
      </c>
      <c r="AM34" s="146" t="str">
        <f t="shared" si="35"/>
        <v/>
      </c>
      <c r="AN34" s="146" t="str">
        <f t="shared" si="5"/>
        <v/>
      </c>
      <c r="AO34" s="146" t="e">
        <f t="shared" si="6"/>
        <v>#N/A</v>
      </c>
      <c r="AP34" s="453" t="str">
        <f t="shared" si="7"/>
        <v/>
      </c>
      <c r="AQ34" s="140">
        <f t="shared" si="29"/>
        <v>0</v>
      </c>
      <c r="AR34" s="141" t="str">
        <f t="shared" si="8"/>
        <v/>
      </c>
      <c r="AS34" s="142">
        <f t="shared" si="30"/>
        <v>0</v>
      </c>
      <c r="AT34" s="141" t="str">
        <f t="shared" si="9"/>
        <v/>
      </c>
      <c r="AU34" s="143">
        <f t="shared" si="10"/>
        <v>0</v>
      </c>
      <c r="AV34" s="144" t="str">
        <f t="shared" si="11"/>
        <v/>
      </c>
      <c r="AW34" s="143" t="b">
        <f t="shared" si="12"/>
        <v>0</v>
      </c>
      <c r="AX34" s="145" t="b">
        <f t="shared" si="13"/>
        <v>0</v>
      </c>
      <c r="AY34" s="143" t="b">
        <f t="shared" si="14"/>
        <v>0</v>
      </c>
      <c r="AZ34" s="145" t="b">
        <f t="shared" si="15"/>
        <v>0</v>
      </c>
      <c r="BA34" s="453" t="b">
        <f t="shared" si="16"/>
        <v>0</v>
      </c>
      <c r="BB34" s="453" t="b">
        <f t="shared" si="17"/>
        <v>0</v>
      </c>
      <c r="BC34" s="143" t="b">
        <f t="shared" si="18"/>
        <v>0</v>
      </c>
      <c r="BD34" s="146" t="b">
        <f t="shared" si="31"/>
        <v>0</v>
      </c>
      <c r="BE34" s="145" t="b">
        <f t="shared" si="37"/>
        <v>0</v>
      </c>
      <c r="BF34" s="147" t="b">
        <f t="shared" si="39"/>
        <v>0</v>
      </c>
      <c r="BG34" s="453" t="str">
        <f t="shared" si="38"/>
        <v>NA</v>
      </c>
      <c r="BH34" s="453" t="str">
        <f t="shared" si="32"/>
        <v/>
      </c>
      <c r="BI34" s="453" t="str">
        <f t="shared" si="22"/>
        <v/>
      </c>
      <c r="BJ34" s="453" t="str">
        <f t="shared" si="23"/>
        <v/>
      </c>
      <c r="BK34" s="453" t="str">
        <f t="shared" si="24"/>
        <v/>
      </c>
      <c r="BL34" s="148" t="str">
        <f t="shared" si="33"/>
        <v/>
      </c>
      <c r="BM34" s="453" t="str">
        <f t="shared" si="25"/>
        <v/>
      </c>
      <c r="BN34" s="453" t="str">
        <f t="shared" si="26"/>
        <v/>
      </c>
      <c r="BO34" s="1023"/>
      <c r="BP34" s="1024"/>
      <c r="BQ34" s="1024"/>
      <c r="BR34" s="1024"/>
      <c r="BS34" s="1024"/>
      <c r="BT34" s="1024"/>
      <c r="BU34" s="1025"/>
    </row>
    <row r="35" spans="2:73" s="94" customFormat="1" ht="12.95" customHeight="1" x14ac:dyDescent="0.2">
      <c r="B35" s="151" t="str">
        <f>IF(ISNA(Z35),"",IF(OR(Z35=1,Z35=2),"    ",MAX($B$8:B34)+1))</f>
        <v/>
      </c>
      <c r="C35" s="904" t="str">
        <f t="shared" si="0"/>
        <v/>
      </c>
      <c r="D35" s="904"/>
      <c r="E35" s="904"/>
      <c r="F35" s="905"/>
      <c r="G35" s="133" t="str">
        <f t="shared" si="1"/>
        <v/>
      </c>
      <c r="H35" s="134" t="str">
        <f t="shared" si="2"/>
        <v/>
      </c>
      <c r="I35" s="152" t="str">
        <f t="shared" si="2"/>
        <v/>
      </c>
      <c r="J35" s="158"/>
      <c r="K35" s="159"/>
      <c r="L35" s="1015"/>
      <c r="M35" s="1016"/>
      <c r="N35" s="1016"/>
      <c r="O35" s="1016"/>
      <c r="P35" s="1016"/>
      <c r="Q35" s="1016"/>
      <c r="R35" s="1017"/>
      <c r="T35" s="99">
        <v>28</v>
      </c>
      <c r="U35" s="88" t="e">
        <v>#N/A</v>
      </c>
      <c r="V35" s="453" t="e">
        <v>#N/A</v>
      </c>
      <c r="W35" s="453" t="e">
        <v>#N/A</v>
      </c>
      <c r="X35" s="453" t="e">
        <v>#N/A</v>
      </c>
      <c r="Y35" s="453" t="e">
        <v>#N/A</v>
      </c>
      <c r="Z35" s="146" t="e">
        <v>#N/A</v>
      </c>
      <c r="AA35" s="146" t="e">
        <v>#N/A</v>
      </c>
      <c r="AB35" s="146" t="e">
        <v>#N/A</v>
      </c>
      <c r="AC35" s="453" t="e">
        <v>#N/A</v>
      </c>
      <c r="AD35" s="453" t="e">
        <v>#N/A</v>
      </c>
      <c r="AE35" s="453" t="e">
        <v>#N/A</v>
      </c>
      <c r="AF35" s="453" t="e">
        <v>#N/A</v>
      </c>
      <c r="AG35" s="453" t="e">
        <f t="shared" si="3"/>
        <v>#N/A</v>
      </c>
      <c r="AH35" s="453" t="str">
        <f t="shared" si="4"/>
        <v/>
      </c>
      <c r="AI35" s="138" t="e">
        <f>IF(NOT(OR(Z35=1,Z35=2)),IF(AQ35&gt;0,$AR$44*AQ35/SUMIF($AQ$8:$AQ$39,"&gt;0"),IF(AU35&gt;0,$AV$44*AU35/SUMIF($AU$8:$AU$39,"&gt;0"),IF(AS35&gt;0,$AT$44*AS35/SUMIF($AS$8:$AS$39,"&gt;0"),""))),IF(SUMIF(AJ36:$AJ$39,"=" &amp; AJ35,AI36:$AI$39)=0,"",SUMIF(AJ36:$AJ$39,"=" &amp; AJ35,AI36:$AI$39)))</f>
        <v>#N/A</v>
      </c>
      <c r="AJ35" s="139" t="e">
        <f t="shared" si="34"/>
        <v>#N/A</v>
      </c>
      <c r="AK35" s="453" t="str">
        <f t="shared" si="27"/>
        <v/>
      </c>
      <c r="AL35" s="146" t="str">
        <f t="shared" si="28"/>
        <v/>
      </c>
      <c r="AM35" s="146" t="str">
        <f t="shared" si="35"/>
        <v/>
      </c>
      <c r="AN35" s="146" t="str">
        <f t="shared" si="5"/>
        <v/>
      </c>
      <c r="AO35" s="146" t="e">
        <f t="shared" si="6"/>
        <v>#N/A</v>
      </c>
      <c r="AP35" s="453" t="str">
        <f t="shared" si="7"/>
        <v/>
      </c>
      <c r="AQ35" s="140">
        <f t="shared" si="29"/>
        <v>0</v>
      </c>
      <c r="AR35" s="141" t="str">
        <f t="shared" si="8"/>
        <v/>
      </c>
      <c r="AS35" s="142">
        <f t="shared" si="30"/>
        <v>0</v>
      </c>
      <c r="AT35" s="141" t="str">
        <f t="shared" si="9"/>
        <v/>
      </c>
      <c r="AU35" s="143">
        <f t="shared" si="10"/>
        <v>0</v>
      </c>
      <c r="AV35" s="144" t="str">
        <f t="shared" si="11"/>
        <v/>
      </c>
      <c r="AW35" s="143" t="b">
        <f t="shared" si="12"/>
        <v>0</v>
      </c>
      <c r="AX35" s="145" t="b">
        <f t="shared" si="13"/>
        <v>0</v>
      </c>
      <c r="AY35" s="143" t="b">
        <f t="shared" si="14"/>
        <v>0</v>
      </c>
      <c r="AZ35" s="145" t="b">
        <f t="shared" si="15"/>
        <v>0</v>
      </c>
      <c r="BA35" s="453" t="b">
        <f t="shared" si="16"/>
        <v>0</v>
      </c>
      <c r="BB35" s="453" t="b">
        <f t="shared" si="17"/>
        <v>0</v>
      </c>
      <c r="BC35" s="143" t="b">
        <f t="shared" si="18"/>
        <v>0</v>
      </c>
      <c r="BD35" s="146" t="b">
        <f t="shared" si="31"/>
        <v>0</v>
      </c>
      <c r="BE35" s="145" t="b">
        <f t="shared" si="37"/>
        <v>0</v>
      </c>
      <c r="BF35" s="147" t="b">
        <f t="shared" si="39"/>
        <v>0</v>
      </c>
      <c r="BG35" s="453" t="str">
        <f t="shared" si="38"/>
        <v>NA</v>
      </c>
      <c r="BH35" s="453" t="str">
        <f t="shared" si="32"/>
        <v/>
      </c>
      <c r="BI35" s="453" t="str">
        <f t="shared" si="22"/>
        <v/>
      </c>
      <c r="BJ35" s="453" t="str">
        <f t="shared" si="23"/>
        <v/>
      </c>
      <c r="BK35" s="453" t="str">
        <f t="shared" si="24"/>
        <v/>
      </c>
      <c r="BL35" s="148" t="str">
        <f t="shared" si="33"/>
        <v/>
      </c>
      <c r="BM35" s="453" t="str">
        <f t="shared" si="25"/>
        <v/>
      </c>
      <c r="BN35" s="453" t="str">
        <f t="shared" si="26"/>
        <v/>
      </c>
      <c r="BO35" s="1026"/>
      <c r="BP35" s="1027"/>
      <c r="BQ35" s="1027"/>
      <c r="BR35" s="1027"/>
      <c r="BS35" s="1027"/>
      <c r="BT35" s="1027"/>
      <c r="BU35" s="1028"/>
    </row>
    <row r="36" spans="2:73" s="94" customFormat="1" ht="12.95" customHeight="1" x14ac:dyDescent="0.2">
      <c r="B36" s="151" t="str">
        <f>IF(ISNA(Z36),"",IF(OR(Z36=1,Z36=2),"    ",MAX($B$8:B35)+1))</f>
        <v/>
      </c>
      <c r="C36" s="904" t="str">
        <f t="shared" si="0"/>
        <v/>
      </c>
      <c r="D36" s="904"/>
      <c r="E36" s="904"/>
      <c r="F36" s="905"/>
      <c r="G36" s="133" t="str">
        <f t="shared" si="1"/>
        <v/>
      </c>
      <c r="H36" s="134" t="str">
        <f t="shared" si="2"/>
        <v/>
      </c>
      <c r="I36" s="152" t="str">
        <f t="shared" si="2"/>
        <v/>
      </c>
      <c r="J36" s="158"/>
      <c r="K36" s="159"/>
      <c r="L36" s="1015"/>
      <c r="M36" s="1016"/>
      <c r="N36" s="1016"/>
      <c r="O36" s="1016"/>
      <c r="P36" s="1016"/>
      <c r="Q36" s="1016"/>
      <c r="R36" s="1017"/>
      <c r="T36" s="99">
        <v>29</v>
      </c>
      <c r="U36" s="88" t="e">
        <v>#N/A</v>
      </c>
      <c r="V36" s="453" t="e">
        <v>#N/A</v>
      </c>
      <c r="W36" s="453" t="e">
        <v>#N/A</v>
      </c>
      <c r="X36" s="453" t="e">
        <v>#N/A</v>
      </c>
      <c r="Y36" s="453" t="e">
        <v>#N/A</v>
      </c>
      <c r="Z36" s="146" t="e">
        <v>#N/A</v>
      </c>
      <c r="AA36" s="146" t="e">
        <v>#N/A</v>
      </c>
      <c r="AB36" s="146" t="e">
        <v>#N/A</v>
      </c>
      <c r="AC36" s="453" t="e">
        <v>#N/A</v>
      </c>
      <c r="AD36" s="453" t="e">
        <v>#N/A</v>
      </c>
      <c r="AE36" s="453" t="e">
        <v>#N/A</v>
      </c>
      <c r="AF36" s="453" t="e">
        <v>#N/A</v>
      </c>
      <c r="AG36" s="453" t="e">
        <f t="shared" si="3"/>
        <v>#N/A</v>
      </c>
      <c r="AH36" s="453" t="str">
        <f t="shared" si="4"/>
        <v/>
      </c>
      <c r="AI36" s="138" t="e">
        <f>IF(NOT(OR(Z36=1,Z36=2)),IF(AQ36&gt;0,$AR$44*AQ36/SUMIF($AQ$8:$AQ$39,"&gt;0"),IF(AU36&gt;0,$AV$44*AU36/SUMIF($AU$8:$AU$39,"&gt;0"),IF(AS36&gt;0,$AT$44*AS36/SUMIF($AS$8:$AS$39,"&gt;0"),""))),IF(SUMIF(AJ37:$AJ$39,"=" &amp; AJ36,AI37:$AI$39)=0,"",SUMIF(AJ37:$AJ$39,"=" &amp; AJ36,AI37:$AI$39)))</f>
        <v>#N/A</v>
      </c>
      <c r="AJ36" s="139" t="e">
        <f t="shared" si="34"/>
        <v>#N/A</v>
      </c>
      <c r="AK36" s="453" t="str">
        <f t="shared" si="27"/>
        <v/>
      </c>
      <c r="AL36" s="146" t="str">
        <f t="shared" si="28"/>
        <v/>
      </c>
      <c r="AM36" s="146" t="str">
        <f t="shared" si="35"/>
        <v/>
      </c>
      <c r="AN36" s="146" t="str">
        <f t="shared" si="5"/>
        <v/>
      </c>
      <c r="AO36" s="146" t="e">
        <f t="shared" si="6"/>
        <v>#N/A</v>
      </c>
      <c r="AP36" s="453" t="str">
        <f t="shared" si="7"/>
        <v/>
      </c>
      <c r="AQ36" s="140">
        <f t="shared" si="29"/>
        <v>0</v>
      </c>
      <c r="AR36" s="141" t="str">
        <f t="shared" si="8"/>
        <v/>
      </c>
      <c r="AS36" s="142">
        <f t="shared" si="30"/>
        <v>0</v>
      </c>
      <c r="AT36" s="141" t="str">
        <f t="shared" si="9"/>
        <v/>
      </c>
      <c r="AU36" s="143">
        <f t="shared" si="10"/>
        <v>0</v>
      </c>
      <c r="AV36" s="144" t="str">
        <f t="shared" si="11"/>
        <v/>
      </c>
      <c r="AW36" s="143" t="b">
        <f t="shared" si="12"/>
        <v>0</v>
      </c>
      <c r="AX36" s="145" t="b">
        <f t="shared" si="13"/>
        <v>0</v>
      </c>
      <c r="AY36" s="143" t="b">
        <f t="shared" si="14"/>
        <v>0</v>
      </c>
      <c r="AZ36" s="145" t="b">
        <f t="shared" si="15"/>
        <v>0</v>
      </c>
      <c r="BA36" s="453" t="b">
        <f t="shared" si="16"/>
        <v>0</v>
      </c>
      <c r="BB36" s="453" t="b">
        <f t="shared" si="17"/>
        <v>0</v>
      </c>
      <c r="BC36" s="143" t="b">
        <f t="shared" si="18"/>
        <v>0</v>
      </c>
      <c r="BD36" s="146" t="b">
        <f t="shared" si="31"/>
        <v>0</v>
      </c>
      <c r="BE36" s="145" t="b">
        <f t="shared" si="37"/>
        <v>0</v>
      </c>
      <c r="BF36" s="147" t="b">
        <f t="shared" si="39"/>
        <v>0</v>
      </c>
      <c r="BG36" s="453" t="str">
        <f t="shared" si="38"/>
        <v>NA</v>
      </c>
      <c r="BH36" s="453" t="str">
        <f t="shared" si="32"/>
        <v/>
      </c>
      <c r="BI36" s="453" t="str">
        <f t="shared" si="22"/>
        <v/>
      </c>
      <c r="BJ36" s="453" t="str">
        <f t="shared" si="23"/>
        <v/>
      </c>
      <c r="BK36" s="453" t="str">
        <f t="shared" si="24"/>
        <v/>
      </c>
      <c r="BL36" s="148" t="str">
        <f t="shared" si="33"/>
        <v/>
      </c>
      <c r="BM36" s="453" t="str">
        <f t="shared" si="25"/>
        <v/>
      </c>
      <c r="BN36" s="453" t="str">
        <f t="shared" si="26"/>
        <v/>
      </c>
      <c r="BO36" s="1026"/>
      <c r="BP36" s="1027"/>
      <c r="BQ36" s="1027"/>
      <c r="BR36" s="1027"/>
      <c r="BS36" s="1027"/>
      <c r="BT36" s="1027"/>
      <c r="BU36" s="1028"/>
    </row>
    <row r="37" spans="2:73" s="94" customFormat="1" ht="12.95" customHeight="1" x14ac:dyDescent="0.2">
      <c r="B37" s="151" t="str">
        <f>IF(ISNA(Z37),"",IF(OR(Z37=1,Z37=2),"    ",MAX($B$8:B36)+1))</f>
        <v/>
      </c>
      <c r="C37" s="904" t="str">
        <f>IF(ISNA(Z37),"",CONCATENATE($U37,IF(ISNUMBER(AI37),TEXT(ROUND($AI37,3)," (0.0%)"),""),IF(AU37&gt;0," Bonus","")))</f>
        <v/>
      </c>
      <c r="D37" s="904"/>
      <c r="E37" s="904"/>
      <c r="F37" s="905"/>
      <c r="G37" s="133" t="str">
        <f t="shared" si="1"/>
        <v/>
      </c>
      <c r="H37" s="134" t="str">
        <f t="shared" si="2"/>
        <v/>
      </c>
      <c r="I37" s="152" t="str">
        <f t="shared" si="2"/>
        <v/>
      </c>
      <c r="J37" s="158"/>
      <c r="K37" s="159"/>
      <c r="L37" s="1015"/>
      <c r="M37" s="1016"/>
      <c r="N37" s="1016"/>
      <c r="O37" s="1016"/>
      <c r="P37" s="1016"/>
      <c r="Q37" s="1016"/>
      <c r="R37" s="1017"/>
      <c r="T37" s="99">
        <v>30</v>
      </c>
      <c r="U37" s="88" t="e">
        <v>#N/A</v>
      </c>
      <c r="V37" s="453" t="e">
        <v>#N/A</v>
      </c>
      <c r="W37" s="453" t="e">
        <v>#N/A</v>
      </c>
      <c r="X37" s="453" t="e">
        <v>#N/A</v>
      </c>
      <c r="Y37" s="453" t="e">
        <v>#N/A</v>
      </c>
      <c r="Z37" s="146" t="e">
        <v>#N/A</v>
      </c>
      <c r="AA37" s="146" t="e">
        <v>#N/A</v>
      </c>
      <c r="AB37" s="146" t="e">
        <v>#N/A</v>
      </c>
      <c r="AC37" s="453" t="e">
        <v>#N/A</v>
      </c>
      <c r="AD37" s="453" t="e">
        <v>#N/A</v>
      </c>
      <c r="AE37" s="453" t="e">
        <v>#N/A</v>
      </c>
      <c r="AF37" s="453" t="e">
        <v>#N/A</v>
      </c>
      <c r="AG37" s="453" t="e">
        <f t="shared" si="3"/>
        <v>#N/A</v>
      </c>
      <c r="AH37" s="453" t="str">
        <f t="shared" si="4"/>
        <v/>
      </c>
      <c r="AI37" s="138" t="e">
        <f>IF(NOT(OR(Z37=1,Z37=2)),IF(AQ37&gt;0,$AR$44*AQ37/SUMIF($AQ$8:$AQ$39,"&gt;0"),IF(AU37&gt;0,$AV$44*AU37/SUMIF($AU$8:$AU$39,"&gt;0"),IF(AS37&gt;0,$AT$44*AS37/SUMIF($AS$8:$AS$39,"&gt;0"),""))),IF(SUMIF(AJ38:$AJ$39,"=" &amp; AJ37,AI38:$AI$39)=0,"",SUMIF(AJ38:$AJ$39,"=" &amp; AJ37,AI38:$AI$39)))</f>
        <v>#N/A</v>
      </c>
      <c r="AJ37" s="139" t="e">
        <f t="shared" si="34"/>
        <v>#N/A</v>
      </c>
      <c r="AK37" s="453" t="str">
        <f t="shared" si="27"/>
        <v/>
      </c>
      <c r="AL37" s="146" t="str">
        <f t="shared" si="28"/>
        <v/>
      </c>
      <c r="AM37" s="146" t="str">
        <f t="shared" si="35"/>
        <v/>
      </c>
      <c r="AN37" s="146" t="str">
        <f>IF(ISNUMBER(AH37),IF(AND(AB37=0,ISNUMBER(AC37),ISNUMBER(AL37)),1,""),"")</f>
        <v/>
      </c>
      <c r="AO37" s="146" t="e">
        <f t="shared" si="6"/>
        <v>#N/A</v>
      </c>
      <c r="AP37" s="453" t="str">
        <f t="shared" si="7"/>
        <v/>
      </c>
      <c r="AQ37" s="140">
        <f t="shared" si="29"/>
        <v>0</v>
      </c>
      <c r="AR37" s="141" t="str">
        <f t="shared" si="8"/>
        <v/>
      </c>
      <c r="AS37" s="142">
        <f t="shared" si="30"/>
        <v>0</v>
      </c>
      <c r="AT37" s="141" t="str">
        <f t="shared" si="9"/>
        <v/>
      </c>
      <c r="AU37" s="143">
        <f t="shared" si="10"/>
        <v>0</v>
      </c>
      <c r="AV37" s="144" t="str">
        <f t="shared" si="11"/>
        <v/>
      </c>
      <c r="AW37" s="143" t="b">
        <f t="shared" si="12"/>
        <v>0</v>
      </c>
      <c r="AX37" s="145" t="b">
        <f t="shared" si="13"/>
        <v>0</v>
      </c>
      <c r="AY37" s="143" t="b">
        <f t="shared" si="14"/>
        <v>0</v>
      </c>
      <c r="AZ37" s="145" t="b">
        <f t="shared" si="15"/>
        <v>0</v>
      </c>
      <c r="BA37" s="453" t="b">
        <f t="shared" si="16"/>
        <v>0</v>
      </c>
      <c r="BB37" s="453" t="b">
        <f t="shared" si="17"/>
        <v>0</v>
      </c>
      <c r="BC37" s="143" t="b">
        <f t="shared" si="18"/>
        <v>0</v>
      </c>
      <c r="BD37" s="146" t="b">
        <f t="shared" si="31"/>
        <v>0</v>
      </c>
      <c r="BE37" s="145" t="b">
        <f t="shared" si="37"/>
        <v>0</v>
      </c>
      <c r="BF37" s="147" t="b">
        <f t="shared" si="39"/>
        <v>0</v>
      </c>
      <c r="BG37" s="453" t="str">
        <f t="shared" si="38"/>
        <v>NA</v>
      </c>
      <c r="BH37" s="453" t="str">
        <f t="shared" si="32"/>
        <v/>
      </c>
      <c r="BI37" s="453" t="str">
        <f t="shared" si="22"/>
        <v/>
      </c>
      <c r="BJ37" s="453" t="str">
        <f t="shared" si="23"/>
        <v/>
      </c>
      <c r="BK37" s="453" t="str">
        <f t="shared" si="24"/>
        <v/>
      </c>
      <c r="BL37" s="148" t="str">
        <f t="shared" si="33"/>
        <v/>
      </c>
      <c r="BM37" s="453" t="str">
        <f t="shared" si="25"/>
        <v/>
      </c>
      <c r="BN37" s="453" t="str">
        <f t="shared" si="26"/>
        <v/>
      </c>
      <c r="BO37" s="1029"/>
      <c r="BP37" s="1030"/>
      <c r="BQ37" s="1030"/>
      <c r="BR37" s="1030"/>
      <c r="BS37" s="1030"/>
      <c r="BT37" s="1030"/>
      <c r="BU37" s="1031"/>
    </row>
    <row r="38" spans="2:73" s="94" customFormat="1" ht="12.95" customHeight="1" x14ac:dyDescent="0.2">
      <c r="B38" s="151" t="str">
        <f>IF(ISNA(Z38),"",IF(OR(Z38=1,Z38=2),"    ",MAX($B$8:B37)+1))</f>
        <v/>
      </c>
      <c r="C38" s="904" t="str">
        <f t="shared" ref="C38:C39" si="40">IF(ISNA(Z38),"",CONCATENATE($U38,IF(ISNUMBER(AI38),TEXT(ROUND($AI38,3)," (0.0%)"),""),IF(AU38&gt;0," Bonus","")))</f>
        <v/>
      </c>
      <c r="D38" s="904"/>
      <c r="E38" s="904"/>
      <c r="F38" s="905"/>
      <c r="G38" s="133" t="str">
        <f t="shared" si="1"/>
        <v/>
      </c>
      <c r="H38" s="134" t="str">
        <f t="shared" si="2"/>
        <v/>
      </c>
      <c r="I38" s="152" t="str">
        <f t="shared" si="2"/>
        <v/>
      </c>
      <c r="J38" s="158"/>
      <c r="K38" s="159"/>
      <c r="L38" s="1015"/>
      <c r="M38" s="1016"/>
      <c r="N38" s="1016"/>
      <c r="O38" s="1016"/>
      <c r="P38" s="1016"/>
      <c r="Q38" s="1016"/>
      <c r="R38" s="1017"/>
      <c r="T38" s="99">
        <v>31</v>
      </c>
      <c r="U38" s="88" t="e">
        <v>#N/A</v>
      </c>
      <c r="V38" s="453" t="e">
        <v>#N/A</v>
      </c>
      <c r="W38" s="453" t="e">
        <v>#N/A</v>
      </c>
      <c r="X38" s="453" t="e">
        <v>#N/A</v>
      </c>
      <c r="Y38" s="453" t="e">
        <v>#N/A</v>
      </c>
      <c r="Z38" s="146" t="e">
        <v>#N/A</v>
      </c>
      <c r="AA38" s="146" t="e">
        <v>#N/A</v>
      </c>
      <c r="AB38" s="146" t="e">
        <v>#N/A</v>
      </c>
      <c r="AC38" s="453" t="e">
        <v>#N/A</v>
      </c>
      <c r="AD38" s="453" t="e">
        <v>#N/A</v>
      </c>
      <c r="AE38" s="453" t="e">
        <v>#N/A</v>
      </c>
      <c r="AF38" s="453" t="e">
        <v>#N/A</v>
      </c>
      <c r="AG38" s="453" t="e">
        <f t="shared" si="3"/>
        <v>#N/A</v>
      </c>
      <c r="AH38" s="453" t="str">
        <f t="shared" si="4"/>
        <v/>
      </c>
      <c r="AI38" s="138" t="e">
        <f>IF(NOT(OR(Z38=1,Z38=2)),IF(AQ38&gt;0,$AR$44*AQ38/SUMIF($AQ$8:$AQ$39,"&gt;0"),IF(AU38&gt;0,$AV$44*AU38/SUMIF($AU$8:$AU$39,"&gt;0"),IF(AS38&gt;0,$AT$44*AS38/SUMIF($AS$8:$AS$39,"&gt;0"),""))),IF(SUMIF(AJ39:$AJ$39,"=" &amp; AJ38,AI39:$AI$39)=0,"",SUMIF(AJ39:$AJ$39,"=" &amp; AJ38,AI39:$AI$39)))</f>
        <v>#N/A</v>
      </c>
      <c r="AJ38" s="139" t="e">
        <f t="shared" si="34"/>
        <v>#N/A</v>
      </c>
      <c r="AK38" s="453" t="str">
        <f t="shared" si="27"/>
        <v/>
      </c>
      <c r="AL38" s="146" t="str">
        <f t="shared" si="28"/>
        <v/>
      </c>
      <c r="AM38" s="146" t="str">
        <f t="shared" si="35"/>
        <v/>
      </c>
      <c r="AN38" s="146" t="str">
        <f>IF(ISNUMBER(AH38),IF(AND(AB38=0,ISNUMBER(AC38),ISNUMBER(AL38)),1,""),"")</f>
        <v/>
      </c>
      <c r="AO38" s="146" t="e">
        <f t="shared" si="6"/>
        <v>#N/A</v>
      </c>
      <c r="AP38" s="453" t="str">
        <f t="shared" si="7"/>
        <v/>
      </c>
      <c r="AQ38" s="140">
        <f t="shared" si="29"/>
        <v>0</v>
      </c>
      <c r="AR38" s="141" t="str">
        <f t="shared" si="8"/>
        <v/>
      </c>
      <c r="AS38" s="142">
        <f t="shared" si="30"/>
        <v>0</v>
      </c>
      <c r="AT38" s="141" t="str">
        <f t="shared" si="9"/>
        <v/>
      </c>
      <c r="AU38" s="143">
        <f t="shared" si="10"/>
        <v>0</v>
      </c>
      <c r="AV38" s="144" t="str">
        <f t="shared" si="11"/>
        <v/>
      </c>
      <c r="AW38" s="143" t="b">
        <f t="shared" si="12"/>
        <v>0</v>
      </c>
      <c r="AX38" s="145" t="b">
        <f t="shared" si="13"/>
        <v>0</v>
      </c>
      <c r="AY38" s="143" t="b">
        <f t="shared" si="14"/>
        <v>0</v>
      </c>
      <c r="AZ38" s="145" t="b">
        <f t="shared" si="15"/>
        <v>0</v>
      </c>
      <c r="BA38" s="453" t="b">
        <f t="shared" si="16"/>
        <v>0</v>
      </c>
      <c r="BB38" s="453" t="b">
        <f t="shared" si="17"/>
        <v>0</v>
      </c>
      <c r="BC38" s="143" t="b">
        <f t="shared" si="18"/>
        <v>0</v>
      </c>
      <c r="BD38" s="146" t="b">
        <f t="shared" si="31"/>
        <v>0</v>
      </c>
      <c r="BE38" s="145" t="b">
        <f t="shared" si="37"/>
        <v>0</v>
      </c>
      <c r="BF38" s="147" t="b">
        <f t="shared" si="39"/>
        <v>0</v>
      </c>
      <c r="BG38" s="453" t="str">
        <f t="shared" si="38"/>
        <v>NA</v>
      </c>
      <c r="BH38" s="453" t="str">
        <f t="shared" si="32"/>
        <v/>
      </c>
      <c r="BI38" s="453" t="str">
        <f t="shared" si="22"/>
        <v/>
      </c>
      <c r="BJ38" s="453" t="str">
        <f t="shared" si="23"/>
        <v/>
      </c>
      <c r="BK38" s="453" t="str">
        <f t="shared" si="24"/>
        <v/>
      </c>
      <c r="BL38" s="148" t="str">
        <f t="shared" si="33"/>
        <v/>
      </c>
      <c r="BM38" s="453" t="str">
        <f t="shared" si="25"/>
        <v/>
      </c>
      <c r="BN38" s="453" t="str">
        <f t="shared" si="26"/>
        <v/>
      </c>
      <c r="BO38" s="150" t="s">
        <v>373</v>
      </c>
      <c r="BP38" s="150"/>
      <c r="BQ38" s="150"/>
      <c r="BR38" s="150"/>
      <c r="BS38" s="150"/>
      <c r="BT38" s="150"/>
      <c r="BU38" s="150"/>
    </row>
    <row r="39" spans="2:73" s="94" customFormat="1" ht="12.95" customHeight="1" thickBot="1" x14ac:dyDescent="0.25">
      <c r="B39" s="151" t="str">
        <f>IF(ISNA(Z39),"",IF(OR(Z39=1,Z39=2),"    ",MAX($B$8:B38)+1))</f>
        <v/>
      </c>
      <c r="C39" s="904" t="str">
        <f t="shared" si="40"/>
        <v/>
      </c>
      <c r="D39" s="904"/>
      <c r="E39" s="904"/>
      <c r="F39" s="905"/>
      <c r="G39" s="171" t="str">
        <f t="shared" si="1"/>
        <v/>
      </c>
      <c r="H39" s="134" t="str">
        <f t="shared" si="2"/>
        <v/>
      </c>
      <c r="I39" s="172" t="str">
        <f t="shared" si="2"/>
        <v/>
      </c>
      <c r="J39" s="173"/>
      <c r="K39" s="174"/>
      <c r="L39" s="1018"/>
      <c r="M39" s="1019"/>
      <c r="N39" s="1019"/>
      <c r="O39" s="1019"/>
      <c r="P39" s="1019"/>
      <c r="Q39" s="1019"/>
      <c r="R39" s="1020"/>
      <c r="T39" s="99">
        <v>32</v>
      </c>
      <c r="U39" s="88" t="e">
        <v>#N/A</v>
      </c>
      <c r="V39" s="453" t="e">
        <v>#N/A</v>
      </c>
      <c r="W39" s="453" t="e">
        <v>#N/A</v>
      </c>
      <c r="X39" s="453" t="e">
        <v>#N/A</v>
      </c>
      <c r="Y39" s="453" t="e">
        <v>#N/A</v>
      </c>
      <c r="Z39" s="146" t="e">
        <v>#N/A</v>
      </c>
      <c r="AA39" s="146" t="e">
        <v>#N/A</v>
      </c>
      <c r="AB39" s="146" t="e">
        <v>#N/A</v>
      </c>
      <c r="AC39" s="453" t="e">
        <v>#N/A</v>
      </c>
      <c r="AD39" s="453" t="e">
        <v>#N/A</v>
      </c>
      <c r="AE39" s="453" t="e">
        <v>#N/A</v>
      </c>
      <c r="AF39" s="453" t="e">
        <v>#N/A</v>
      </c>
      <c r="AG39" s="453" t="e">
        <f t="shared" si="3"/>
        <v>#N/A</v>
      </c>
      <c r="AH39" s="453" t="str">
        <f t="shared" si="4"/>
        <v/>
      </c>
      <c r="AI39" s="138" t="e">
        <f>IF(NOT(OR(Z39=1,Z39=2)),IF(AQ39&gt;0,$AR$44*AQ39/SUMIF($AQ$8:$AQ$39,"&gt;0"),IF(AU39&gt;0,$AV$44*AU39/SUMIF($AU$8:$AU$39,"&gt;0"),IF(AS39&gt;0,$AT$44*AS39/SUMIF($AS$8:$AS$39,"&gt;0"),""))),IF(SUMIF(AJ$39:$AJ40,"=" &amp; AJ39,AI$39:$AI40)=0,"",SUMIF(AJ$39:$AJ40,"=" &amp; AJ39,AI$39:$AI40)))</f>
        <v>#N/A</v>
      </c>
      <c r="AJ39" s="139" t="e">
        <f t="shared" si="34"/>
        <v>#N/A</v>
      </c>
      <c r="AK39" s="453" t="str">
        <f t="shared" si="27"/>
        <v/>
      </c>
      <c r="AL39" s="146" t="str">
        <f t="shared" si="28"/>
        <v/>
      </c>
      <c r="AM39" s="146" t="str">
        <f t="shared" si="35"/>
        <v/>
      </c>
      <c r="AN39" s="146" t="str">
        <f>IF(ISNUMBER(AH39),IF(AND(AB39=0,ISNUMBER(AC39),ISNUMBER(AL39)),1,""),"")</f>
        <v/>
      </c>
      <c r="AO39" s="146" t="e">
        <f t="shared" si="6"/>
        <v>#N/A</v>
      </c>
      <c r="AP39" s="453" t="str">
        <f t="shared" si="7"/>
        <v/>
      </c>
      <c r="AQ39" s="140">
        <f t="shared" si="29"/>
        <v>0</v>
      </c>
      <c r="AR39" s="141" t="str">
        <f t="shared" si="8"/>
        <v/>
      </c>
      <c r="AS39" s="142">
        <f t="shared" si="30"/>
        <v>0</v>
      </c>
      <c r="AT39" s="141" t="str">
        <f t="shared" si="9"/>
        <v/>
      </c>
      <c r="AU39" s="143">
        <f t="shared" si="10"/>
        <v>0</v>
      </c>
      <c r="AV39" s="144" t="str">
        <f t="shared" si="11"/>
        <v/>
      </c>
      <c r="AW39" s="143" t="b">
        <f t="shared" si="12"/>
        <v>0</v>
      </c>
      <c r="AX39" s="145" t="b">
        <f t="shared" si="13"/>
        <v>0</v>
      </c>
      <c r="AY39" s="143" t="b">
        <f t="shared" si="14"/>
        <v>0</v>
      </c>
      <c r="AZ39" s="145" t="b">
        <f t="shared" si="15"/>
        <v>0</v>
      </c>
      <c r="BA39" s="453" t="b">
        <f t="shared" si="16"/>
        <v>0</v>
      </c>
      <c r="BB39" s="453" t="b">
        <f t="shared" si="17"/>
        <v>0</v>
      </c>
      <c r="BC39" s="143" t="b">
        <f t="shared" si="18"/>
        <v>0</v>
      </c>
      <c r="BD39" s="146" t="b">
        <f t="shared" si="31"/>
        <v>0</v>
      </c>
      <c r="BE39" s="145" t="b">
        <f t="shared" si="37"/>
        <v>0</v>
      </c>
      <c r="BF39" s="147" t="b">
        <f t="shared" si="39"/>
        <v>0</v>
      </c>
      <c r="BG39" s="453" t="str">
        <f t="shared" si="38"/>
        <v>NA</v>
      </c>
      <c r="BH39" s="453" t="str">
        <f t="shared" si="32"/>
        <v/>
      </c>
      <c r="BI39" s="453" t="str">
        <f t="shared" si="22"/>
        <v/>
      </c>
      <c r="BJ39" s="453" t="str">
        <f t="shared" si="23"/>
        <v/>
      </c>
      <c r="BK39" s="453" t="str">
        <f t="shared" si="24"/>
        <v/>
      </c>
      <c r="BL39" s="453" t="str">
        <f t="shared" si="33"/>
        <v/>
      </c>
      <c r="BM39" s="453" t="str">
        <f t="shared" si="25"/>
        <v/>
      </c>
      <c r="BN39" s="453" t="str">
        <f t="shared" si="26"/>
        <v/>
      </c>
      <c r="BO39" s="1023"/>
      <c r="BP39" s="1024"/>
      <c r="BQ39" s="1024"/>
      <c r="BR39" s="1024"/>
      <c r="BS39" s="1024"/>
      <c r="BT39" s="1024"/>
      <c r="BU39" s="1025"/>
    </row>
    <row r="40" spans="2:73" s="91" customFormat="1" ht="8.25" customHeight="1" x14ac:dyDescent="0.2">
      <c r="B40" s="915" t="s">
        <v>374</v>
      </c>
      <c r="C40" s="916"/>
      <c r="D40" s="917"/>
      <c r="E40" s="452" t="s">
        <v>375</v>
      </c>
      <c r="F40" s="918" t="s">
        <v>376</v>
      </c>
      <c r="G40" s="919"/>
      <c r="H40" s="919" t="s">
        <v>377</v>
      </c>
      <c r="I40" s="919"/>
      <c r="J40" s="920" t="s">
        <v>378</v>
      </c>
      <c r="K40" s="921"/>
      <c r="L40" s="175" t="s">
        <v>379</v>
      </c>
      <c r="M40" s="922" t="s">
        <v>380</v>
      </c>
      <c r="N40" s="922"/>
      <c r="O40" s="923" t="str">
        <f>IF(U44,"DO REVIEW","DO REV N/A")</f>
        <v>DO REVIEW</v>
      </c>
      <c r="P40" s="924"/>
      <c r="Q40" s="176" t="str">
        <f>IF(U45,"ED REVIEW","ED REV N/A")</f>
        <v>ED REVIEW</v>
      </c>
      <c r="R40" s="177"/>
      <c r="S40" s="178">
        <v>0</v>
      </c>
      <c r="AI40" s="179"/>
      <c r="AJ40" s="92"/>
      <c r="AK40" s="92"/>
      <c r="AL40" s="92"/>
      <c r="AM40" s="92"/>
      <c r="AN40" s="92"/>
      <c r="AO40" s="88"/>
      <c r="AP40" s="92"/>
      <c r="AQ40" s="180"/>
      <c r="AR40" s="92"/>
      <c r="AS40" s="180"/>
      <c r="AT40" s="92"/>
      <c r="AU40" s="180"/>
      <c r="AV40" s="181"/>
      <c r="AW40" s="92"/>
      <c r="AX40" s="92"/>
      <c r="AY40" s="92"/>
      <c r="AZ40" s="92"/>
      <c r="BA40" s="92"/>
      <c r="BB40" s="92"/>
      <c r="BC40" s="92"/>
      <c r="BD40" s="92"/>
      <c r="BE40" s="92"/>
      <c r="BF40" s="92"/>
      <c r="BG40" s="92"/>
      <c r="BH40" s="88"/>
      <c r="BI40" s="88"/>
      <c r="BJ40" s="88"/>
      <c r="BK40" s="88"/>
      <c r="BL40" s="88"/>
      <c r="BM40" s="88"/>
      <c r="BN40" s="88"/>
      <c r="BO40" s="1026"/>
      <c r="BP40" s="1027"/>
      <c r="BQ40" s="1027"/>
      <c r="BR40" s="1027"/>
      <c r="BS40" s="1027"/>
      <c r="BT40" s="1027"/>
      <c r="BU40" s="1028"/>
    </row>
    <row r="41" spans="2:73" ht="18.75" customHeight="1" thickBot="1" x14ac:dyDescent="0.25">
      <c r="B41" s="925" t="str">
        <f>IF(ISERROR(AR46),"",TEXT(AR45,"0.0%"))</f>
        <v>0.0%</v>
      </c>
      <c r="C41" s="926"/>
      <c r="D41" s="927"/>
      <c r="E41" s="182" t="str">
        <f>IF(AU41=0,"N/A",CONCATENATE(TEXT(AV45,"0.0%")," of ",TEXT(AV44,"0.0%")))</f>
        <v>N/A</v>
      </c>
      <c r="F41" s="929" t="str">
        <f>IF((graded_aca_events+graded_amn_events)&lt;1,"---",IF(AND(AW4,AX4),"INCOMPLETE",IF(AND(NOT(AW4),AX4),"ACA INC",IF(AND(AW4,NOT(AX4)),"AMN INC","COMPLETE"))))</f>
        <v>---</v>
      </c>
      <c r="G41" s="929"/>
      <c r="H41" s="929" t="str">
        <f>IF(AU4,IF(OR(AY4="UNK",NOT(AN6)),"---",IF(AY4,"UNSAT",IF(AVERAGEIFS(AT8:AT39,AS8:AS39,"&gt;0")&lt;0.9,"MARG","SAT"))),"N/A")</f>
        <v>---</v>
      </c>
      <c r="I41" s="929"/>
      <c r="J41" s="930" t="str">
        <f>IF(OR(AZ4="UNK",NOT(AM6)),"---",IF(OR(AZ4,AR45&lt;0.7),"FAIL","PASS"))</f>
        <v>---</v>
      </c>
      <c r="K41" s="931"/>
      <c r="L41" s="430"/>
      <c r="M41" s="932"/>
      <c r="N41" s="932"/>
      <c r="O41" s="1021" t="s">
        <v>265</v>
      </c>
      <c r="P41" s="1021"/>
      <c r="Q41" s="1021" t="s">
        <v>265</v>
      </c>
      <c r="R41" s="1022"/>
      <c r="S41" s="183"/>
      <c r="T41" s="99" t="s">
        <v>381</v>
      </c>
      <c r="U41" s="146" t="s">
        <v>382</v>
      </c>
      <c r="V41" s="184"/>
      <c r="W41" s="184"/>
      <c r="X41" s="184"/>
      <c r="Y41" s="184"/>
      <c r="Z41" s="184"/>
      <c r="AA41" s="184"/>
      <c r="AB41" s="184"/>
      <c r="AC41" s="184"/>
      <c r="AD41" s="184"/>
      <c r="AE41" s="184"/>
      <c r="AF41" s="184"/>
      <c r="AG41" s="184"/>
      <c r="AH41" s="184"/>
      <c r="AI41" s="86"/>
      <c r="AJ41" s="85"/>
      <c r="AK41" s="184"/>
      <c r="AL41" s="184"/>
      <c r="AM41" s="184">
        <f>SUM(AM8:AM39)</f>
        <v>0</v>
      </c>
      <c r="AN41" s="184">
        <f>SUM(AN8:AN39)</f>
        <v>0</v>
      </c>
      <c r="AO41" s="99"/>
      <c r="AP41" s="85"/>
      <c r="AQ41" s="185">
        <f>SUMIF(AQ8:AQ39,"&gt;0")</f>
        <v>80</v>
      </c>
      <c r="AR41" s="186">
        <f>IF(AQ41=0,0,SUMPRODUCT($AQ$8:$AQ$39,AR8:AR39)/SUM($AQ$8:$AQ$39))</f>
        <v>0</v>
      </c>
      <c r="AS41" s="187">
        <f>SUMIF(AS8:AS39,"&gt;0")</f>
        <v>10</v>
      </c>
      <c r="AT41" s="186">
        <f>IF(AS41=0,0,SUMPRODUCT($AS$8:$AS$39,AT8:AT39)/SUM($AS$8:$AS$39))</f>
        <v>0</v>
      </c>
      <c r="AU41" s="187">
        <f>SUM(AU9:AU39)</f>
        <v>0</v>
      </c>
      <c r="AV41" s="186">
        <f>IF(AU41=0,0,SUMPRODUCT($AU$8:$AU$39,AV8:AV39)/SUM($AU$8:$AU$39))</f>
        <v>0</v>
      </c>
      <c r="AW41" s="188"/>
      <c r="AX41" s="188"/>
      <c r="AY41" s="188"/>
      <c r="AZ41" s="188"/>
      <c r="BA41" s="188"/>
      <c r="BB41" s="188"/>
      <c r="BC41" s="88" t="s">
        <v>383</v>
      </c>
      <c r="BD41" s="88" t="s">
        <v>384</v>
      </c>
      <c r="BE41" s="88" t="s">
        <v>385</v>
      </c>
      <c r="BO41" s="1026"/>
      <c r="BP41" s="1027"/>
      <c r="BQ41" s="1027"/>
      <c r="BR41" s="1027"/>
      <c r="BS41" s="1027"/>
      <c r="BT41" s="1027"/>
      <c r="BU41" s="1028"/>
    </row>
    <row r="42" spans="2:73" ht="7.5" customHeight="1" thickTop="1" x14ac:dyDescent="0.2">
      <c r="L42" s="928" t="s">
        <v>670</v>
      </c>
      <c r="M42" s="928"/>
      <c r="N42" s="928"/>
      <c r="O42" s="928"/>
      <c r="P42" s="928"/>
      <c r="Q42" s="928"/>
      <c r="R42" s="928"/>
      <c r="AP42" s="184"/>
      <c r="AQ42" s="85"/>
      <c r="AR42" s="85"/>
      <c r="AT42" s="186"/>
      <c r="AU42" s="186"/>
      <c r="AV42" s="186"/>
      <c r="AW42" s="85"/>
      <c r="AX42" s="186"/>
      <c r="BO42" s="1029"/>
      <c r="BP42" s="1030"/>
      <c r="BQ42" s="1030"/>
      <c r="BR42" s="1030"/>
      <c r="BS42" s="1030"/>
      <c r="BT42" s="1030"/>
      <c r="BU42" s="1031"/>
    </row>
    <row r="43" spans="2:73" ht="30.75" customHeight="1" x14ac:dyDescent="0.2">
      <c r="T43" s="189" t="s">
        <v>386</v>
      </c>
      <c r="U43" s="146" t="b">
        <v>0</v>
      </c>
      <c r="AI43" s="89">
        <f ca="1">SUMIF(AJ8:$AJ$39,"=" &amp; AJ8,AI9:$AI$39)</f>
        <v>0.1</v>
      </c>
      <c r="AO43" s="190"/>
      <c r="AS43" s="118" t="s">
        <v>387</v>
      </c>
      <c r="AT43" s="191">
        <f>SUMIF(X8:X39,"&gt;0")/SUMIF(W8:W39,"&gt;0")</f>
        <v>0.125</v>
      </c>
      <c r="AU43" s="118" t="s">
        <v>388</v>
      </c>
      <c r="AV43" s="192">
        <f>SUMIF(AU8:AU39,"&gt;0")/SUMIF(AQ8:AQ39,"&gt;0")</f>
        <v>0</v>
      </c>
      <c r="AW43" s="193"/>
      <c r="BE43" s="88" t="b">
        <f>AND(ISBLANK($K30),J30&gt;0)</f>
        <v>0</v>
      </c>
      <c r="BO43" s="88"/>
      <c r="BP43" s="88"/>
      <c r="BQ43" s="90"/>
    </row>
    <row r="44" spans="2:73" ht="30.75" customHeight="1" x14ac:dyDescent="0.2">
      <c r="J44" s="194"/>
      <c r="T44" s="195" t="s">
        <v>389</v>
      </c>
      <c r="U44" s="88" t="b">
        <f>IF(AND(Flight?,OR(AW4,AY4,BA4,AZ4,AR45&lt;0.7,H41="MARG")),TRUE,FALSE)</f>
        <v>1</v>
      </c>
      <c r="AO44" s="196"/>
      <c r="AQ44" s="118" t="s">
        <v>390</v>
      </c>
      <c r="AR44" s="191">
        <f>1-AT44</f>
        <v>0.9</v>
      </c>
      <c r="AS44" s="118" t="s">
        <v>391</v>
      </c>
      <c r="AT44" s="191">
        <f>MIN(AT43,AT6)</f>
        <v>0.1</v>
      </c>
      <c r="AU44" s="118" t="s">
        <v>392</v>
      </c>
      <c r="AV44" s="89">
        <f>MIN(AV43,AV6)</f>
        <v>0</v>
      </c>
      <c r="BO44" s="88"/>
      <c r="BP44" s="88"/>
      <c r="BQ44" s="90"/>
    </row>
    <row r="45" spans="2:73" ht="25.5" x14ac:dyDescent="0.2">
      <c r="T45" s="195" t="s">
        <v>393</v>
      </c>
      <c r="U45" s="88" t="b">
        <f>IF(OR(AX4,AY4,AZ4,BB4,AR45&lt;0.7),TRUE,FALSE)</f>
        <v>1</v>
      </c>
      <c r="AO45" s="197"/>
      <c r="AQ45" s="118" t="s">
        <v>394</v>
      </c>
      <c r="AR45" s="89">
        <f>AR41*(1-AT44)+(AT41*AT44)</f>
        <v>0</v>
      </c>
      <c r="AU45" s="88" t="s">
        <v>324</v>
      </c>
      <c r="AV45" s="89">
        <f>AV41*AV44</f>
        <v>0</v>
      </c>
      <c r="BO45" s="88"/>
      <c r="BP45" s="88"/>
      <c r="BQ45" s="90"/>
    </row>
    <row r="46" spans="2:73" ht="25.5" x14ac:dyDescent="0.2">
      <c r="T46" s="195" t="s">
        <v>395</v>
      </c>
      <c r="U46" s="88" t="b">
        <v>0</v>
      </c>
      <c r="AO46" s="197"/>
      <c r="AQ46" s="118" t="s">
        <v>396</v>
      </c>
      <c r="AR46" s="89">
        <f>MIN(1,IF(NOT(OR(AY4,AZ4)),AR45+AV45,MIN(0.69,AR45+AV45)))</f>
        <v>0</v>
      </c>
      <c r="BO46" s="88"/>
      <c r="BP46" s="88"/>
      <c r="BQ46" s="90"/>
    </row>
    <row r="47" spans="2:73" x14ac:dyDescent="0.2">
      <c r="T47" s="195" t="s">
        <v>397</v>
      </c>
      <c r="U47" s="88" t="b">
        <f>IF(NOT(Flight?),TRUE,NOT(OR(ISBLANK(comments),ISBLANK(hdr_class),ISBLANK(hdr_date),ISBLANK(hdr_stud),ISBLANK(hdr_instr),ISBLANK(hdr_acft),ISBLANK(hdr_time),F41="---")))</f>
        <v>0</v>
      </c>
      <c r="AO47" s="197"/>
      <c r="AR47" s="118"/>
      <c r="AS47" s="89"/>
    </row>
    <row r="48" spans="2:73" x14ac:dyDescent="0.2">
      <c r="T48" s="195" t="s">
        <v>398</v>
      </c>
      <c r="U48" s="88" t="b">
        <f>IF(Flight?,TRUE,NOT(OR(ISBLANK(comments),ISBLANK(hdr_class),ISBLANK(hdr_date),ISBLANK(hdr_stud),ISBLANK(hdr_instr),F41="---")))</f>
        <v>1</v>
      </c>
      <c r="AO48" s="196"/>
      <c r="AP48" s="85" t="s">
        <v>399</v>
      </c>
      <c r="AQ48" s="85"/>
      <c r="AR48" s="85"/>
      <c r="AS48" s="85"/>
      <c r="AT48" s="85"/>
    </row>
    <row r="49" spans="20:50" x14ac:dyDescent="0.2">
      <c r="T49" s="195" t="s">
        <v>400</v>
      </c>
      <c r="U49" s="88" t="b">
        <f>AND(U47:U48)</f>
        <v>0</v>
      </c>
      <c r="AO49" s="196"/>
      <c r="AP49" s="85"/>
      <c r="AQ49" s="85"/>
      <c r="AR49" s="85">
        <v>0</v>
      </c>
      <c r="AS49" s="85">
        <v>1</v>
      </c>
      <c r="AT49" s="85">
        <v>2</v>
      </c>
      <c r="AU49" s="85">
        <v>3</v>
      </c>
      <c r="AV49" s="85">
        <v>4</v>
      </c>
    </row>
    <row r="50" spans="20:50" x14ac:dyDescent="0.2">
      <c r="AO50" s="196"/>
      <c r="AP50" s="85" t="s">
        <v>359</v>
      </c>
      <c r="AQ50" s="85">
        <v>1</v>
      </c>
      <c r="AR50" s="198">
        <v>0.7</v>
      </c>
      <c r="AS50" s="198">
        <v>0.9</v>
      </c>
      <c r="AT50" s="198">
        <v>0.93330000000000002</v>
      </c>
      <c r="AU50" s="198">
        <v>0.9667</v>
      </c>
      <c r="AV50" s="198">
        <v>1</v>
      </c>
    </row>
    <row r="51" spans="20:50" x14ac:dyDescent="0.2">
      <c r="AO51" s="196"/>
      <c r="AP51" s="85" t="s">
        <v>360</v>
      </c>
      <c r="AQ51" s="85">
        <v>2</v>
      </c>
      <c r="AR51" s="198">
        <v>0.7</v>
      </c>
      <c r="AS51" s="198">
        <v>0.8</v>
      </c>
      <c r="AT51" s="198">
        <v>0.9</v>
      </c>
      <c r="AU51" s="198">
        <v>0.95</v>
      </c>
      <c r="AV51" s="198">
        <v>1</v>
      </c>
    </row>
    <row r="52" spans="20:50" x14ac:dyDescent="0.2">
      <c r="AO52" s="196"/>
      <c r="AP52" s="85" t="s">
        <v>361</v>
      </c>
      <c r="AQ52" s="85">
        <v>3</v>
      </c>
      <c r="AR52" s="198">
        <v>0.7</v>
      </c>
      <c r="AS52" s="198">
        <v>0.76670000000000005</v>
      </c>
      <c r="AT52" s="198">
        <v>0.83330000000000004</v>
      </c>
      <c r="AU52" s="198">
        <v>0.9</v>
      </c>
      <c r="AV52" s="198">
        <v>1</v>
      </c>
    </row>
    <row r="53" spans="20:50" x14ac:dyDescent="0.2">
      <c r="AP53" s="199" t="s">
        <v>362</v>
      </c>
      <c r="AQ53" s="85">
        <v>11</v>
      </c>
      <c r="AR53" s="198">
        <v>0.6</v>
      </c>
      <c r="AS53" s="198">
        <v>0.9</v>
      </c>
      <c r="AT53" s="198">
        <v>0.93330000000000002</v>
      </c>
      <c r="AU53" s="198">
        <v>0.9667</v>
      </c>
      <c r="AV53" s="198">
        <v>1</v>
      </c>
    </row>
    <row r="54" spans="20:50" x14ac:dyDescent="0.2">
      <c r="AP54" s="199" t="s">
        <v>363</v>
      </c>
      <c r="AQ54" s="85">
        <v>12</v>
      </c>
      <c r="AR54" s="198">
        <v>0.6</v>
      </c>
      <c r="AS54" s="198">
        <v>0.7</v>
      </c>
      <c r="AT54" s="198">
        <v>0.9</v>
      </c>
      <c r="AU54" s="198">
        <v>0.95</v>
      </c>
      <c r="AV54" s="198">
        <v>1</v>
      </c>
    </row>
    <row r="55" spans="20:50" x14ac:dyDescent="0.2">
      <c r="AP55" s="199" t="s">
        <v>364</v>
      </c>
      <c r="AQ55" s="85">
        <v>13</v>
      </c>
      <c r="AR55" s="198">
        <v>0.6</v>
      </c>
      <c r="AS55" s="198">
        <v>0.7</v>
      </c>
      <c r="AT55" s="198">
        <v>0.8</v>
      </c>
      <c r="AU55" s="198">
        <v>0.9</v>
      </c>
      <c r="AV55" s="198">
        <v>1</v>
      </c>
    </row>
    <row r="56" spans="20:50" x14ac:dyDescent="0.2">
      <c r="AP56" s="199" t="s">
        <v>365</v>
      </c>
      <c r="AQ56" s="85">
        <v>22</v>
      </c>
      <c r="AR56" s="198">
        <v>0.3</v>
      </c>
      <c r="AS56" s="198">
        <v>0.6</v>
      </c>
      <c r="AT56" s="198">
        <v>0.9</v>
      </c>
      <c r="AU56" s="198">
        <v>0.95</v>
      </c>
      <c r="AV56" s="198">
        <v>1</v>
      </c>
    </row>
    <row r="57" spans="20:50" x14ac:dyDescent="0.2">
      <c r="AP57" s="199" t="s">
        <v>366</v>
      </c>
      <c r="AQ57" s="85">
        <v>23</v>
      </c>
      <c r="AR57" s="198">
        <v>0.3</v>
      </c>
      <c r="AS57" s="198">
        <v>0.6</v>
      </c>
      <c r="AT57" s="198">
        <v>0.7</v>
      </c>
      <c r="AU57" s="198">
        <v>0.9</v>
      </c>
      <c r="AV57" s="198">
        <v>1</v>
      </c>
    </row>
    <row r="58" spans="20:50" x14ac:dyDescent="0.2">
      <c r="AP58" s="199" t="s">
        <v>367</v>
      </c>
      <c r="AQ58" s="85">
        <v>33</v>
      </c>
      <c r="AR58" s="198">
        <v>0</v>
      </c>
      <c r="AS58" s="198">
        <v>0.3</v>
      </c>
      <c r="AT58" s="198">
        <v>0.6</v>
      </c>
      <c r="AU58" s="198">
        <v>0.9</v>
      </c>
      <c r="AV58" s="198">
        <v>1</v>
      </c>
      <c r="AW58" s="85"/>
    </row>
    <row r="60" spans="20:50" x14ac:dyDescent="0.2">
      <c r="AQ60" s="85"/>
      <c r="AW60" s="85"/>
      <c r="AX60" s="85"/>
    </row>
    <row r="61" spans="20:50" x14ac:dyDescent="0.2">
      <c r="AP61" s="200"/>
      <c r="AQ61" s="85"/>
      <c r="AW61" s="85"/>
      <c r="AX61" s="85"/>
    </row>
    <row r="62" spans="20:50" x14ac:dyDescent="0.2">
      <c r="AP62" s="85"/>
      <c r="AQ62" s="85"/>
      <c r="AW62" s="85"/>
      <c r="AX62" s="85"/>
    </row>
    <row r="63" spans="20:50" x14ac:dyDescent="0.2">
      <c r="AP63" s="85"/>
      <c r="AQ63" s="85"/>
      <c r="AW63" s="85"/>
    </row>
    <row r="64" spans="20:50" x14ac:dyDescent="0.2">
      <c r="AP64" s="85"/>
      <c r="AQ64" s="85"/>
      <c r="AW64" s="85"/>
    </row>
    <row r="65" spans="42:43" x14ac:dyDescent="0.2">
      <c r="AP65" s="85"/>
      <c r="AQ65" s="85"/>
    </row>
    <row r="66" spans="42:43" x14ac:dyDescent="0.2">
      <c r="AP66" s="85"/>
      <c r="AQ66" s="85"/>
    </row>
  </sheetData>
  <sheetProtection algorithmName="SHA-512" hashValue="Fk00/qICuAfbtODs8pPa1RhBWO/qu0VNX+eJ6jxE0My6halWHtFjuGjTbCwBYvL2IjHkIZzIFOhQrZQwNEwJBQ==" saltValue="TcxS7Q3iMHjEBZyIvym0og==" spinCount="100000" sheet="1" selectLockedCells="1"/>
  <mergeCells count="76">
    <mergeCell ref="B3:G3"/>
    <mergeCell ref="H3:N3"/>
    <mergeCell ref="O3:P3"/>
    <mergeCell ref="Q3:R3"/>
    <mergeCell ref="BP3:BU4"/>
    <mergeCell ref="BL4:BN6"/>
    <mergeCell ref="B5:E5"/>
    <mergeCell ref="F5:G5"/>
    <mergeCell ref="H5:L5"/>
    <mergeCell ref="M5:N5"/>
    <mergeCell ref="O5:P5"/>
    <mergeCell ref="Q5:R5"/>
    <mergeCell ref="B6:E6"/>
    <mergeCell ref="F6:G6"/>
    <mergeCell ref="H6:L6"/>
    <mergeCell ref="B4:G4"/>
    <mergeCell ref="H4:N4"/>
    <mergeCell ref="O4:P4"/>
    <mergeCell ref="Q4:R4"/>
    <mergeCell ref="BH4:BK6"/>
    <mergeCell ref="C17:F17"/>
    <mergeCell ref="M6:N6"/>
    <mergeCell ref="O6:P6"/>
    <mergeCell ref="Q6:R6"/>
    <mergeCell ref="B7:F7"/>
    <mergeCell ref="L7:R7"/>
    <mergeCell ref="C8:F8"/>
    <mergeCell ref="L8:R39"/>
    <mergeCell ref="C9:F9"/>
    <mergeCell ref="C10:F10"/>
    <mergeCell ref="C11:F11"/>
    <mergeCell ref="C12:F12"/>
    <mergeCell ref="C32:F32"/>
    <mergeCell ref="C33:F33"/>
    <mergeCell ref="C34:F34"/>
    <mergeCell ref="C13:F13"/>
    <mergeCell ref="C14:F14"/>
    <mergeCell ref="C15:F15"/>
    <mergeCell ref="C16:F16"/>
    <mergeCell ref="C31:F31"/>
    <mergeCell ref="C18:F18"/>
    <mergeCell ref="C19:F19"/>
    <mergeCell ref="C30:F30"/>
    <mergeCell ref="BQ19:BU19"/>
    <mergeCell ref="C20:F20"/>
    <mergeCell ref="C21:F21"/>
    <mergeCell ref="BO21:BO29"/>
    <mergeCell ref="C22:F22"/>
    <mergeCell ref="C23:F23"/>
    <mergeCell ref="C24:F24"/>
    <mergeCell ref="C25:F25"/>
    <mergeCell ref="C26:F26"/>
    <mergeCell ref="C27:F27"/>
    <mergeCell ref="C28:F28"/>
    <mergeCell ref="C29:F29"/>
    <mergeCell ref="BO34:BU37"/>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s>
  <conditionalFormatting sqref="B8:F39">
    <cfRule type="expression" dxfId="244" priority="8" stopIfTrue="1">
      <formula>IF($Z8=1,TRUE,FALSE)</formula>
    </cfRule>
    <cfRule type="expression" dxfId="243" priority="9">
      <formula>IF($Z8=2,TRUE,FALSE)</formula>
    </cfRule>
  </conditionalFormatting>
  <conditionalFormatting sqref="C8:F39">
    <cfRule type="expression" dxfId="242" priority="1" stopIfTrue="1">
      <formula>IF($AF8=FALSE,TRUE,FALSE)</formula>
    </cfRule>
  </conditionalFormatting>
  <conditionalFormatting sqref="F5:G6 M5:P6">
    <cfRule type="expression" dxfId="241" priority="4" stopIfTrue="1">
      <formula>NOT($AU$4)</formula>
    </cfRule>
  </conditionalFormatting>
  <conditionalFormatting sqref="F6:G6">
    <cfRule type="cellIs" dxfId="240" priority="3" operator="equal">
      <formula>""</formula>
    </cfRule>
  </conditionalFormatting>
  <conditionalFormatting sqref="G8:K39">
    <cfRule type="expression" dxfId="239" priority="6" stopIfTrue="1">
      <formula>IF($Z8=1,TRUE,FALSE)</formula>
    </cfRule>
    <cfRule type="expression" dxfId="238" priority="7" stopIfTrue="1">
      <formula>IF($Z8=2,TRUE,FALSE)</formula>
    </cfRule>
  </conditionalFormatting>
  <conditionalFormatting sqref="H8:H39">
    <cfRule type="expression" dxfId="237" priority="10" stopIfTrue="1">
      <formula>IF($AB8=0,TRUE,FALSE)</formula>
    </cfRule>
  </conditionalFormatting>
  <conditionalFormatting sqref="H40:I41">
    <cfRule type="expression" dxfId="236" priority="2" stopIfTrue="1">
      <formula>IF($H$41="N/A",TRUE,FALSE)</formula>
    </cfRule>
  </conditionalFormatting>
  <conditionalFormatting sqref="H6:P6 O4:R4 B6 L8 L41 O41:R41">
    <cfRule type="containsBlanks" dxfId="235" priority="5">
      <formula>LEN(TRIM(B4))=0</formula>
    </cfRule>
  </conditionalFormatting>
  <conditionalFormatting sqref="J8:J39">
    <cfRule type="expression" dxfId="234" priority="14">
      <formula>IF($Z8=1,FALSE,OR($BE8,$BD8))</formula>
    </cfRule>
  </conditionalFormatting>
  <conditionalFormatting sqref="J8:K39 C8:F39">
    <cfRule type="expression" dxfId="233" priority="13">
      <formula>IF($Z8=1,FALSE,OR($AW8,$AX8,$AY8,$AZ8))</formula>
    </cfRule>
  </conditionalFormatting>
  <conditionalFormatting sqref="J8:K39">
    <cfRule type="expression" dxfId="232" priority="11" stopIfTrue="1">
      <formula>IF(ISNA($Z8),TRUE,FALSE)</formula>
    </cfRule>
  </conditionalFormatting>
  <conditionalFormatting sqref="K8:K39">
    <cfRule type="expression" dxfId="231" priority="12">
      <formula>IF(OR($Z8=1,$Z8=2),FALSE,OR($BC8,$BE8,$BF8))</formula>
    </cfRule>
  </conditionalFormatting>
  <dataValidations count="6">
    <dataValidation type="list" allowBlank="1" showInputMessage="1" showErrorMessage="1" sqref="F6:G6" xr:uid="{D88D7F63-D360-4A2B-8E5E-2FE3B411CE7C}">
      <formula1>"No,Yes"</formula1>
    </dataValidation>
    <dataValidation type="list" allowBlank="1" showInputMessage="1" showErrorMessage="1" sqref="J8:J39" xr:uid="{16762A3B-20C1-4FD6-A4CF-B53E87BB523F}">
      <formula1>"NA,0,1,2,3,4,5,6,7,8,9,10,11,12,13,14,15"</formula1>
    </dataValidation>
    <dataValidation type="list" allowBlank="1" showInputMessage="1" showErrorMessage="1" sqref="K8:K39" xr:uid="{B1975732-3BC5-4DAC-B022-5990DC894F18}">
      <formula1>"D,0,1,2,3,4"</formula1>
    </dataValidation>
    <dataValidation showInputMessage="1" showErrorMessage="1" sqref="O41:R41" xr:uid="{AE929894-F64E-44AA-BAC3-1A5D050AEBE4}"/>
    <dataValidation type="decimal" allowBlank="1" showInputMessage="1" showErrorMessage="1" sqref="O6:P6" xr:uid="{1C5BA394-6DD8-4889-A7EA-E7DB7556C463}">
      <formula1>0</formula1>
      <formula2>10</formula2>
    </dataValidation>
    <dataValidation type="date" allowBlank="1" showInputMessage="1" showErrorMessage="1" sqref="Q4:R4" xr:uid="{68DFEC5A-E329-4B9A-8BAC-F5B5E37EB262}">
      <formula1>41151</formula1>
      <formula2>77433</formula2>
    </dataValidation>
  </dataValidations>
  <hyperlinks>
    <hyperlink ref="BP3" location="PF!A1" display="PF phase Summary Page" xr:uid="{9D64B0C2-87E1-4F0D-9BE8-2BB1BD2B27A5}"/>
    <hyperlink ref="BP3:BU4" location="FQ!A1" display="FQ Summary Page" xr:uid="{8B81DA1C-12FF-459B-833E-A63844E3B904}"/>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1667"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241668"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241669"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241670"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241671"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790D59-8D39-4309-ADC7-B1C368E029F3}">
  <sheetPr codeName="Sheet43">
    <tabColor rgb="FF00B050"/>
    <pageSetUpPr autoPageBreaks="0"/>
  </sheetPr>
  <dimension ref="B1:BU66"/>
  <sheetViews>
    <sheetView showGridLines="0" showRowColHeaders="0" topLeftCell="A2" zoomScaleNormal="100" zoomScaleSheetLayoutView="100" workbookViewId="0">
      <selection activeCell="BP3" sqref="BP3:BU4"/>
    </sheetView>
  </sheetViews>
  <sheetFormatPr defaultColWidth="9.140625" defaultRowHeight="12.75" x14ac:dyDescent="0.2"/>
  <cols>
    <col min="1" max="1" width="1.5703125" style="87" customWidth="1"/>
    <col min="2" max="2" width="3.5703125" style="87" customWidth="1"/>
    <col min="3" max="3" width="5.5703125" style="87" customWidth="1"/>
    <col min="4" max="4" width="9.140625" style="87" customWidth="1"/>
    <col min="5" max="5" width="14" style="87" customWidth="1"/>
    <col min="6" max="6" width="7.85546875" style="87" customWidth="1"/>
    <col min="7" max="11" width="5.140625" style="87" customWidth="1"/>
    <col min="12" max="12" width="21.5703125" style="87" customWidth="1"/>
    <col min="13" max="13" width="6.5703125" style="87" customWidth="1"/>
    <col min="14" max="14" width="12.5703125" style="87" customWidth="1"/>
    <col min="15" max="15" width="7.85546875" style="87" customWidth="1"/>
    <col min="16" max="16" width="2.7109375" style="87" customWidth="1"/>
    <col min="17" max="17" width="4.85546875" style="87" customWidth="1"/>
    <col min="18" max="18" width="7.28515625" style="87" customWidth="1"/>
    <col min="19" max="19" width="1.7109375" style="87" customWidth="1"/>
    <col min="20" max="20" width="19.140625" style="88" hidden="1" customWidth="1"/>
    <col min="21" max="21" width="31.140625" style="88" hidden="1" customWidth="1"/>
    <col min="22" max="22" width="5.140625" style="88" hidden="1" customWidth="1"/>
    <col min="23" max="24" width="6.28515625" style="88" hidden="1" customWidth="1"/>
    <col min="25" max="25" width="8.42578125" style="88" hidden="1" customWidth="1"/>
    <col min="26" max="26" width="7.85546875" style="88" hidden="1" customWidth="1"/>
    <col min="27" max="27" width="10.7109375" style="88" hidden="1" customWidth="1"/>
    <col min="28" max="28" width="8" style="88" hidden="1" customWidth="1"/>
    <col min="29" max="31" width="5.140625" style="88" hidden="1" customWidth="1"/>
    <col min="32" max="34" width="5.85546875" style="88" hidden="1" customWidth="1"/>
    <col min="35" max="35" width="8.5703125" style="89" hidden="1" customWidth="1"/>
    <col min="36" max="36" width="7" style="88" hidden="1" customWidth="1"/>
    <col min="37" max="38" width="5.28515625" style="88" hidden="1" customWidth="1"/>
    <col min="39" max="40" width="7" style="88" hidden="1" customWidth="1"/>
    <col min="41" max="41" width="5.140625" style="88" hidden="1" customWidth="1"/>
    <col min="42" max="42" width="11.28515625" style="88" hidden="1" customWidth="1"/>
    <col min="43" max="43" width="6.42578125" style="88" hidden="1" customWidth="1"/>
    <col min="44" max="44" width="8.28515625" style="88" hidden="1" customWidth="1"/>
    <col min="45" max="45" width="8.85546875" style="88" hidden="1" customWidth="1"/>
    <col min="46" max="46" width="10.7109375" style="88" hidden="1" customWidth="1"/>
    <col min="47" max="47" width="8.85546875" style="88" hidden="1" customWidth="1"/>
    <col min="48" max="48" width="6.28515625" style="88" hidden="1" customWidth="1"/>
    <col min="49" max="49" width="10" style="88" hidden="1" customWidth="1"/>
    <col min="50" max="50" width="7.5703125" style="88" hidden="1" customWidth="1"/>
    <col min="51" max="51" width="7" style="88" hidden="1" customWidth="1"/>
    <col min="52" max="52" width="8.140625" style="88" hidden="1" customWidth="1"/>
    <col min="53" max="53" width="12.5703125" style="88" hidden="1" customWidth="1"/>
    <col min="54" max="54" width="7.7109375" style="88" hidden="1" customWidth="1"/>
    <col min="55" max="55" width="12.7109375" style="88" hidden="1" customWidth="1"/>
    <col min="56" max="56" width="7" style="88" hidden="1" customWidth="1"/>
    <col min="57" max="57" width="15.5703125" style="88" hidden="1" customWidth="1"/>
    <col min="58" max="58" width="9.140625" style="88" hidden="1" customWidth="1"/>
    <col min="59" max="59" width="10" style="88" hidden="1" customWidth="1"/>
    <col min="60" max="60" width="5.28515625" style="88" hidden="1" customWidth="1"/>
    <col min="61" max="61" width="4" style="88" hidden="1" customWidth="1"/>
    <col min="62" max="62" width="4.7109375" style="88" hidden="1" customWidth="1"/>
    <col min="63" max="63" width="5.5703125" style="88" hidden="1" customWidth="1"/>
    <col min="64" max="64" width="5.28515625" style="88" hidden="1" customWidth="1"/>
    <col min="65" max="65" width="4" style="88" hidden="1" customWidth="1"/>
    <col min="66" max="66" width="5.5703125" style="88" hidden="1" customWidth="1"/>
    <col min="67" max="67" width="5" style="90" customWidth="1"/>
    <col min="68" max="73" width="5" style="87" customWidth="1"/>
    <col min="74" max="16384" width="9.140625" style="87"/>
  </cols>
  <sheetData>
    <row r="1" spans="2:73" s="84" customFormat="1" ht="12" hidden="1" x14ac:dyDescent="0.2">
      <c r="T1" s="85"/>
      <c r="U1" s="85"/>
      <c r="V1" s="85"/>
      <c r="W1" s="85"/>
      <c r="X1" s="85"/>
      <c r="Y1" s="85"/>
      <c r="Z1" s="85"/>
      <c r="AA1" s="85"/>
      <c r="AB1" s="85"/>
      <c r="AC1" s="85"/>
      <c r="AD1" s="85"/>
      <c r="AE1" s="85"/>
      <c r="AF1" s="85"/>
      <c r="AG1" s="85"/>
      <c r="AH1" s="85"/>
      <c r="AI1" s="86"/>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row>
    <row r="2" spans="2:73" ht="13.5" thickBot="1" x14ac:dyDescent="0.25"/>
    <row r="3" spans="2:73" ht="13.5" customHeight="1" thickTop="1" x14ac:dyDescent="0.2">
      <c r="B3" s="967" t="s">
        <v>267</v>
      </c>
      <c r="C3" s="968"/>
      <c r="D3" s="968"/>
      <c r="E3" s="968"/>
      <c r="F3" s="968"/>
      <c r="G3" s="969"/>
      <c r="H3" s="970" t="s">
        <v>789</v>
      </c>
      <c r="I3" s="971"/>
      <c r="J3" s="971"/>
      <c r="K3" s="971"/>
      <c r="L3" s="971"/>
      <c r="M3" s="971"/>
      <c r="N3" s="972"/>
      <c r="O3" s="973" t="s">
        <v>269</v>
      </c>
      <c r="P3" s="974"/>
      <c r="Q3" s="973" t="s">
        <v>270</v>
      </c>
      <c r="R3" s="975"/>
      <c r="S3" s="91"/>
      <c r="T3" s="92"/>
      <c r="U3" s="92"/>
      <c r="V3" s="92"/>
      <c r="W3" s="92"/>
      <c r="X3" s="92"/>
      <c r="Y3" s="92"/>
      <c r="Z3" s="92"/>
      <c r="AA3" s="92"/>
      <c r="AB3" s="92"/>
      <c r="AC3" s="92"/>
      <c r="AD3" s="92"/>
      <c r="AE3" s="92"/>
      <c r="AF3" s="92"/>
      <c r="AG3" s="92"/>
      <c r="AH3" s="92"/>
      <c r="AI3" s="93"/>
      <c r="AJ3" s="92"/>
      <c r="AK3" s="92"/>
      <c r="AL3" s="92"/>
      <c r="AM3" s="92"/>
      <c r="AN3" s="92"/>
      <c r="AO3" s="92"/>
      <c r="AP3" s="92"/>
      <c r="AQ3" s="85"/>
      <c r="AR3" s="85"/>
      <c r="AW3" s="88" t="s">
        <v>271</v>
      </c>
      <c r="AX3" s="88" t="s">
        <v>272</v>
      </c>
      <c r="AY3" s="88" t="s">
        <v>273</v>
      </c>
      <c r="AZ3" s="88" t="s">
        <v>274</v>
      </c>
      <c r="BA3" s="88" t="s">
        <v>275</v>
      </c>
      <c r="BB3" s="88" t="s">
        <v>276</v>
      </c>
      <c r="BP3" s="1032" t="s">
        <v>843</v>
      </c>
      <c r="BQ3" s="1032"/>
      <c r="BR3" s="1032"/>
      <c r="BS3" s="1032"/>
      <c r="BT3" s="1032"/>
      <c r="BU3" s="1032"/>
    </row>
    <row r="4" spans="2:73" s="94" customFormat="1" ht="15.75" customHeight="1" x14ac:dyDescent="0.3">
      <c r="B4" s="994" t="s">
        <v>277</v>
      </c>
      <c r="C4" s="995"/>
      <c r="D4" s="995"/>
      <c r="E4" s="995"/>
      <c r="F4" s="995"/>
      <c r="G4" s="996"/>
      <c r="H4" s="937" t="s">
        <v>722</v>
      </c>
      <c r="I4" s="938"/>
      <c r="J4" s="938"/>
      <c r="K4" s="938"/>
      <c r="L4" s="938"/>
      <c r="M4" s="938"/>
      <c r="N4" s="939"/>
      <c r="O4" s="997"/>
      <c r="P4" s="998"/>
      <c r="Q4" s="999"/>
      <c r="R4" s="1000"/>
      <c r="S4" s="95"/>
      <c r="T4" s="96"/>
      <c r="U4" s="96"/>
      <c r="V4" s="96"/>
      <c r="W4" s="96"/>
      <c r="X4" s="96"/>
      <c r="Y4" s="96"/>
      <c r="Z4" s="96"/>
      <c r="AA4" s="96"/>
      <c r="AB4" s="96"/>
      <c r="AC4" s="96"/>
      <c r="AD4" s="96"/>
      <c r="AE4" s="96"/>
      <c r="AF4" s="96"/>
      <c r="AG4" s="96"/>
      <c r="AH4" s="96"/>
      <c r="AI4" s="97"/>
      <c r="AJ4" s="96"/>
      <c r="AK4" s="96"/>
      <c r="AL4" s="96"/>
      <c r="AM4" s="96"/>
      <c r="AN4" s="96"/>
      <c r="AO4" s="96"/>
      <c r="AP4" s="96"/>
      <c r="AQ4" s="98"/>
      <c r="AR4" s="98"/>
      <c r="AS4" s="99"/>
      <c r="AT4" s="100" t="s">
        <v>278</v>
      </c>
      <c r="AU4" s="101" t="b">
        <v>1</v>
      </c>
      <c r="AV4" s="99">
        <v>0</v>
      </c>
      <c r="AW4" s="99" t="b">
        <f>IF(ISERR(OR(AW8:AW39)),"UNK",IF(AND(graded_aca_events&gt;=1,input_test),FALSE,OR(AW8:AW39)))</f>
        <v>1</v>
      </c>
      <c r="AX4" s="99" t="b">
        <f>IF(ISERR(OR(AX8:AX39)),"UNK",IF(AND(graded_aca_events&gt;=1,input_test),FALSE,OR(AX8:AX39)))</f>
        <v>1</v>
      </c>
      <c r="AY4" s="99" t="b">
        <f>IF(ISERR(OR(AY8:AY39)),"UNK",OR(AY8:AY39))</f>
        <v>0</v>
      </c>
      <c r="AZ4" s="99" t="b">
        <f>IF(ISERR(OR(AZ8:AZ39)),"UNK",OR(AZ8:AZ39))</f>
        <v>0</v>
      </c>
      <c r="BA4" s="99" t="b">
        <f>IF(ISERR(OR(BA8:BA39)),"UNK",OR(BA8:BA39))</f>
        <v>0</v>
      </c>
      <c r="BB4" s="99" t="b">
        <f>IF(ISERR(OR(BB8:BB39)),"UNK",OR(BB8:BB39))</f>
        <v>0</v>
      </c>
      <c r="BC4" s="102" t="b">
        <f>OR(BC8:BC39)</f>
        <v>0</v>
      </c>
      <c r="BD4" s="102" t="b">
        <f>OR(BD8:BD39)</f>
        <v>0</v>
      </c>
      <c r="BE4" s="102" t="b">
        <f>OR(BE8:BE39)</f>
        <v>0</v>
      </c>
      <c r="BF4" s="102"/>
      <c r="BG4" s="99"/>
      <c r="BH4" s="944" t="s">
        <v>279</v>
      </c>
      <c r="BI4" s="944"/>
      <c r="BJ4" s="944"/>
      <c r="BK4" s="944"/>
      <c r="BL4" s="977" t="s">
        <v>280</v>
      </c>
      <c r="BM4" s="977"/>
      <c r="BN4" s="977"/>
      <c r="BO4" s="483"/>
      <c r="BP4" s="1032"/>
      <c r="BQ4" s="1032"/>
      <c r="BR4" s="1032"/>
      <c r="BS4" s="1032"/>
      <c r="BT4" s="1032"/>
      <c r="BU4" s="1032"/>
    </row>
    <row r="5" spans="2:73" s="91" customFormat="1" ht="7.5" customHeight="1" x14ac:dyDescent="0.25">
      <c r="B5" s="978" t="s">
        <v>281</v>
      </c>
      <c r="C5" s="979"/>
      <c r="D5" s="979"/>
      <c r="E5" s="980"/>
      <c r="F5" s="981" t="s">
        <v>282</v>
      </c>
      <c r="G5" s="980"/>
      <c r="H5" s="981" t="s">
        <v>283</v>
      </c>
      <c r="I5" s="979"/>
      <c r="J5" s="979"/>
      <c r="K5" s="979"/>
      <c r="L5" s="980"/>
      <c r="M5" s="982" t="s">
        <v>284</v>
      </c>
      <c r="N5" s="983"/>
      <c r="O5" s="984" t="s">
        <v>285</v>
      </c>
      <c r="P5" s="985"/>
      <c r="Q5" s="981" t="str">
        <f>IF(AU41=0,"GRADE","GRADE (inc. bonus)")</f>
        <v>GRADE</v>
      </c>
      <c r="R5" s="986"/>
      <c r="T5" s="92"/>
      <c r="U5" s="92"/>
      <c r="V5" s="92"/>
      <c r="W5" s="92"/>
      <c r="X5" s="92"/>
      <c r="Y5" s="92"/>
      <c r="Z5" s="92"/>
      <c r="AA5" s="92"/>
      <c r="AB5" s="92"/>
      <c r="AC5" s="92"/>
      <c r="AD5" s="92"/>
      <c r="AE5" s="92"/>
      <c r="AF5" s="92"/>
      <c r="AG5" s="92"/>
      <c r="AH5" s="92"/>
      <c r="AI5" s="93"/>
      <c r="AJ5" s="92"/>
      <c r="AK5" s="92"/>
      <c r="AL5" s="92"/>
      <c r="AM5" s="92"/>
      <c r="AN5" s="92"/>
      <c r="AO5" s="92"/>
      <c r="AP5" s="92"/>
      <c r="AQ5" s="92"/>
      <c r="AR5" s="92"/>
      <c r="AS5" s="92"/>
      <c r="AT5" s="92"/>
      <c r="AU5" s="92"/>
      <c r="AV5" s="92"/>
      <c r="AW5" s="92"/>
      <c r="AX5" s="92"/>
      <c r="AY5" s="92"/>
      <c r="AZ5" s="92"/>
      <c r="BA5" s="92"/>
      <c r="BB5" s="92"/>
      <c r="BC5" s="92"/>
      <c r="BD5" s="92"/>
      <c r="BE5" s="92"/>
      <c r="BF5" s="92"/>
      <c r="BG5" s="92"/>
      <c r="BH5" s="944"/>
      <c r="BI5" s="944"/>
      <c r="BJ5" s="944"/>
      <c r="BK5" s="944"/>
      <c r="BL5" s="977"/>
      <c r="BM5" s="977"/>
      <c r="BN5" s="977"/>
      <c r="BO5" s="103"/>
    </row>
    <row r="6" spans="2:73" s="94" customFormat="1" ht="15.75" customHeight="1" thickBot="1" x14ac:dyDescent="0.25">
      <c r="B6" s="1001"/>
      <c r="C6" s="1002"/>
      <c r="D6" s="1002"/>
      <c r="E6" s="1003"/>
      <c r="F6" s="1004" t="s">
        <v>457</v>
      </c>
      <c r="G6" s="1005"/>
      <c r="H6" s="1006"/>
      <c r="I6" s="1007"/>
      <c r="J6" s="1007"/>
      <c r="K6" s="1007"/>
      <c r="L6" s="1005"/>
      <c r="M6" s="1008"/>
      <c r="N6" s="1009"/>
      <c r="O6" s="1010"/>
      <c r="P6" s="1011"/>
      <c r="Q6" s="949" t="str">
        <f>IF((graded_aca_events+graded_amn_events)&lt;1,"0",IF(ISERROR(AR46),"",IF(F41&lt;&gt;"COMPLETE","INCOMPLETE",AR46)))</f>
        <v>0</v>
      </c>
      <c r="R6" s="950"/>
      <c r="S6" s="87"/>
      <c r="T6" s="99"/>
      <c r="U6" s="99">
        <v>2</v>
      </c>
      <c r="V6" s="99">
        <v>3</v>
      </c>
      <c r="W6" s="99">
        <v>6</v>
      </c>
      <c r="X6" s="99">
        <v>7</v>
      </c>
      <c r="Y6" s="99">
        <v>11</v>
      </c>
      <c r="Z6" s="99">
        <v>8</v>
      </c>
      <c r="AA6" s="99">
        <v>9</v>
      </c>
      <c r="AB6" s="99">
        <v>10</v>
      </c>
      <c r="AC6" s="99">
        <v>5</v>
      </c>
      <c r="AD6" s="99">
        <v>4</v>
      </c>
      <c r="AE6" s="99">
        <v>12</v>
      </c>
      <c r="AF6" s="99">
        <v>13</v>
      </c>
      <c r="AG6" s="99"/>
      <c r="AH6" s="99"/>
      <c r="AI6" s="104"/>
      <c r="AJ6" s="105"/>
      <c r="AK6" s="105"/>
      <c r="AL6" s="105"/>
      <c r="AM6" s="105" t="b">
        <f>IF(COUNT(AM8:AM39)&gt;0,TRUE,FALSE)</f>
        <v>0</v>
      </c>
      <c r="AN6" s="105" t="b">
        <f>IF(COUNT(AN8:AN39)&gt;0,TRUE,FALSE)</f>
        <v>0</v>
      </c>
      <c r="AO6" s="99"/>
      <c r="AP6" s="99"/>
      <c r="AQ6" s="98"/>
      <c r="AR6" s="98"/>
      <c r="AS6" s="99"/>
      <c r="AT6" s="106">
        <v>0.2</v>
      </c>
      <c r="AU6" s="99"/>
      <c r="AV6" s="107">
        <f>0.01*input_maxb</f>
        <v>0</v>
      </c>
      <c r="AW6" s="108" t="s">
        <v>287</v>
      </c>
      <c r="AX6" s="109"/>
      <c r="AY6" s="108" t="s">
        <v>288</v>
      </c>
      <c r="AZ6" s="109"/>
      <c r="BA6" s="110" t="s">
        <v>289</v>
      </c>
      <c r="BB6" s="110"/>
      <c r="BC6" s="108" t="s">
        <v>290</v>
      </c>
      <c r="BD6" s="110"/>
      <c r="BE6" s="111"/>
      <c r="BF6" s="112"/>
      <c r="BG6" s="99" t="s">
        <v>291</v>
      </c>
      <c r="BH6" s="944"/>
      <c r="BI6" s="944"/>
      <c r="BJ6" s="944"/>
      <c r="BK6" s="944"/>
      <c r="BL6" s="977"/>
      <c r="BM6" s="977"/>
      <c r="BN6" s="977"/>
      <c r="BO6" s="90"/>
    </row>
    <row r="7" spans="2:73" ht="27" customHeight="1" thickBot="1" x14ac:dyDescent="0.25">
      <c r="B7" s="951" t="s">
        <v>292</v>
      </c>
      <c r="C7" s="952"/>
      <c r="D7" s="952"/>
      <c r="E7" s="952"/>
      <c r="F7" s="953"/>
      <c r="G7" s="113" t="s">
        <v>293</v>
      </c>
      <c r="H7" s="114" t="s">
        <v>294</v>
      </c>
      <c r="I7" s="115" t="s">
        <v>295</v>
      </c>
      <c r="J7" s="116" t="s">
        <v>296</v>
      </c>
      <c r="K7" s="117" t="s">
        <v>297</v>
      </c>
      <c r="L7" s="954" t="s">
        <v>298</v>
      </c>
      <c r="M7" s="952"/>
      <c r="N7" s="952"/>
      <c r="O7" s="952"/>
      <c r="P7" s="952"/>
      <c r="Q7" s="952"/>
      <c r="R7" s="955"/>
      <c r="T7" s="118" t="s">
        <v>299</v>
      </c>
      <c r="U7" s="118"/>
      <c r="V7" s="118" t="s">
        <v>300</v>
      </c>
      <c r="W7" s="118" t="s">
        <v>301</v>
      </c>
      <c r="X7" s="118" t="s">
        <v>302</v>
      </c>
      <c r="Y7" s="118" t="s">
        <v>303</v>
      </c>
      <c r="Z7" s="118" t="s">
        <v>304</v>
      </c>
      <c r="AA7" s="118" t="s">
        <v>305</v>
      </c>
      <c r="AB7" s="118" t="s">
        <v>306</v>
      </c>
      <c r="AC7" s="118" t="s">
        <v>307</v>
      </c>
      <c r="AD7" s="118" t="s">
        <v>308</v>
      </c>
      <c r="AE7" s="118" t="s">
        <v>309</v>
      </c>
      <c r="AF7" s="118" t="s">
        <v>310</v>
      </c>
      <c r="AG7" s="118" t="s">
        <v>311</v>
      </c>
      <c r="AH7" s="118" t="s">
        <v>312</v>
      </c>
      <c r="AI7" s="119" t="s">
        <v>313</v>
      </c>
      <c r="AJ7" s="120" t="s">
        <v>314</v>
      </c>
      <c r="AK7" s="121" t="s">
        <v>315</v>
      </c>
      <c r="AL7" s="121" t="s">
        <v>316</v>
      </c>
      <c r="AM7" s="121" t="s">
        <v>317</v>
      </c>
      <c r="AN7" s="121" t="s">
        <v>318</v>
      </c>
      <c r="AO7" s="120" t="s">
        <v>319</v>
      </c>
      <c r="AP7" s="120" t="s">
        <v>320</v>
      </c>
      <c r="AQ7" s="122" t="s">
        <v>321</v>
      </c>
      <c r="AR7" s="123" t="s">
        <v>1</v>
      </c>
      <c r="AS7" s="122" t="s">
        <v>322</v>
      </c>
      <c r="AT7" s="123" t="s">
        <v>1</v>
      </c>
      <c r="AU7" s="122" t="s">
        <v>323</v>
      </c>
      <c r="AV7" s="124" t="s">
        <v>324</v>
      </c>
      <c r="AW7" s="125" t="s">
        <v>325</v>
      </c>
      <c r="AX7" s="126" t="s">
        <v>326</v>
      </c>
      <c r="AY7" s="125" t="s">
        <v>327</v>
      </c>
      <c r="AZ7" s="126" t="s">
        <v>328</v>
      </c>
      <c r="BA7" s="127" t="s">
        <v>329</v>
      </c>
      <c r="BB7" s="127" t="s">
        <v>330</v>
      </c>
      <c r="BC7" s="128" t="s">
        <v>331</v>
      </c>
      <c r="BD7" s="129" t="s">
        <v>332</v>
      </c>
      <c r="BE7" s="130" t="s">
        <v>333</v>
      </c>
      <c r="BF7" s="131" t="s">
        <v>334</v>
      </c>
      <c r="BH7" s="88" t="s">
        <v>335</v>
      </c>
      <c r="BI7" s="88" t="s">
        <v>336</v>
      </c>
      <c r="BJ7" s="118" t="s">
        <v>337</v>
      </c>
      <c r="BK7" s="88" t="s">
        <v>338</v>
      </c>
      <c r="BL7" s="88" t="s">
        <v>335</v>
      </c>
      <c r="BM7" s="88" t="s">
        <v>336</v>
      </c>
      <c r="BN7" s="88" t="s">
        <v>338</v>
      </c>
    </row>
    <row r="8" spans="2:73" ht="12.95" customHeight="1" x14ac:dyDescent="0.2">
      <c r="B8" s="132" t="str">
        <f>IF(ISNA(Z8),"",IF(OR(Z8=1,Z8=2),"",1))</f>
        <v/>
      </c>
      <c r="C8" s="956" t="str">
        <f t="shared" ref="C8:C36" si="0">IF(ISNA(Z8),"",CONCATENATE($U8,IF(ISNUMBER(AI8),TEXT(ROUND($AI8,3)," (0.0%)"),""),IF(AU8&gt;0," Bonus","")))</f>
        <v>Airmanship Tasks (20.0%)</v>
      </c>
      <c r="D8" s="956"/>
      <c r="E8" s="956"/>
      <c r="F8" s="957"/>
      <c r="G8" s="133" t="str">
        <f t="shared" ref="G8:G39" si="1">BH8</f>
        <v/>
      </c>
      <c r="H8" s="134" t="str">
        <f t="shared" ref="H8:I39" si="2">BJ8</f>
        <v/>
      </c>
      <c r="I8" s="135" t="str">
        <f t="shared" si="2"/>
        <v/>
      </c>
      <c r="J8" s="136"/>
      <c r="K8" s="137"/>
      <c r="L8" s="1012"/>
      <c r="M8" s="1013"/>
      <c r="N8" s="1013"/>
      <c r="O8" s="1013"/>
      <c r="P8" s="1013"/>
      <c r="Q8" s="1013"/>
      <c r="R8" s="1014"/>
      <c r="T8" s="88">
        <v>1</v>
      </c>
      <c r="U8" s="88" t="s">
        <v>339</v>
      </c>
      <c r="V8" s="453" t="s">
        <v>340</v>
      </c>
      <c r="W8" s="453" t="s">
        <v>340</v>
      </c>
      <c r="X8" s="453" t="s">
        <v>340</v>
      </c>
      <c r="Y8" s="453" t="s">
        <v>340</v>
      </c>
      <c r="Z8" s="453">
        <v>1</v>
      </c>
      <c r="AA8" s="453">
        <v>0</v>
      </c>
      <c r="AB8" s="453">
        <v>0</v>
      </c>
      <c r="AC8" s="453" t="s">
        <v>340</v>
      </c>
      <c r="AD8" s="453" t="s">
        <v>340</v>
      </c>
      <c r="AE8" s="453">
        <v>0</v>
      </c>
      <c r="AF8" s="453" t="s">
        <v>340</v>
      </c>
      <c r="AG8" s="453" t="str">
        <f t="shared" ref="AG8:AG39" si="3">IF(CrewSoloQual="Yes",$AC8,$AD8)</f>
        <v/>
      </c>
      <c r="AH8" s="453" t="str">
        <f t="shared" ref="AH8:AH39" si="4">IF(ISNUMBER(AC8),IF(CrewSoloQual="Yes",$AC8-1,$AD8-1),"")</f>
        <v/>
      </c>
      <c r="AI8" s="138">
        <f>IF(NOT(OR(Z8=1,Z8=2)),IF(AQ8&gt;0,$AR$44*AQ8/SUMIF($AQ$8:$AQ$39,"&gt;0"),IF(AU8&gt;0,$AV$44*AU8/SUMIF($AU$8:$AU$39,"&gt;0"),IF(AS8&gt;0,$AT$44*AS8/SUMIF($AS$8:$AS$39,"&gt;0"),""))),IF(SUMIF(AJ9:$AJ$39,"=" &amp; AJ8,AI9:$AI$39)=0,"",SUMIF(AJ9:$AJ$39,"=" &amp; AJ8,AI9:$AI$39)))</f>
        <v>0.2</v>
      </c>
      <c r="AJ8" s="139">
        <f>0</f>
        <v>0</v>
      </c>
      <c r="AK8" s="453" t="str">
        <f>BI8</f>
        <v/>
      </c>
      <c r="AL8" s="453" t="str">
        <f>IF(ISBLANK(K8),"",K8)</f>
        <v/>
      </c>
      <c r="AM8" s="453" t="str">
        <f>IF(ISNUMBER(AK8),IF(ISNUMBER(AL8),1,""),"")</f>
        <v/>
      </c>
      <c r="AN8" s="453" t="str">
        <f t="shared" ref="AN8:AN36" si="5">IF(ISNUMBER(AH8),IF(AND(AB8=0,ISNUMBER(AC8),ISNUMBER(AL8)),1,""),"")</f>
        <v/>
      </c>
      <c r="AO8" s="453" t="str">
        <f t="shared" ref="AO8:AO39" si="6">IF(AB8=0,IF(CrewSoloQual="No",BI8,BK8),"")</f>
        <v/>
      </c>
      <c r="AP8" s="453" t="str">
        <f t="shared" ref="AP8:AP39" si="7">IF(ISNA(Z8),"",IF(AND(ISNUMBER(B8),G8&gt;=1,H8&lt;&gt;"NG"),IF(K8&lt;BK8,TRUE,FALSE),IF(AND(G8&gt;=1,J8="NA"),TRUE,IF(AND(AM8=1,G8=0,AL8&lt;BI8),TRUE,""))))</f>
        <v/>
      </c>
      <c r="AQ8" s="140">
        <f>IF(ISNA(Z8),0,IF(OR(J8="NA",W8="",AB8=0),0,W8))</f>
        <v>0</v>
      </c>
      <c r="AR8" s="141" t="str">
        <f t="shared" ref="AR8:AR39" si="8">IF(ISNA(Z8),"",IF(AND(NOT(OR(Z8=1,Z8=2,AK8="NG",AB8=0)),IF(ISNUMBER(AL8),AL8&gt;=0,FALSE)),VLOOKUP((10*AD8+AC8),$AQ$50:$AV$58,2+AL8,FALSE),IF(AND(input_test=TRUE,ISNUMBER(AD8),V8&lt;&gt;0),VLOOKUP((10*AD8+AC8),$AQ$50:$AV$58,2,FALSE),"")))</f>
        <v/>
      </c>
      <c r="AS8" s="142">
        <f>IF(ISNA(Z8),0,IF(OR(J8="NA",X8="",AB8=1),0,X8))</f>
        <v>0</v>
      </c>
      <c r="AT8" s="141" t="str">
        <f t="shared" ref="AT8:AT39" si="9">IF(ISNA(Z8),"",IF(AND(NOT(OR(Z8=1,Z8=2,AK8="NG",AB8=1)),IF(ISNUMBER(AL8),AL8&gt;=0,FALSE)),VLOOKUP((10*AH8+AG8),$AQ$50:$AV$58,2+AL8,FALSE),IF(AND(input_test=TRUE,ISNUMBER(AD8),V8&lt;&gt;0),VLOOKUP((10*AH8+AG8),$AQ$50:$AV$58,2,FALSE),"")))</f>
        <v/>
      </c>
      <c r="AU8" s="143">
        <f t="shared" ref="AU8:AU39" si="10">IF(ISNA(Z8),0,IF(OR(J8="NA",Y8=""),0,Y8))</f>
        <v>0</v>
      </c>
      <c r="AV8" s="144" t="str">
        <f t="shared" ref="AV8:AV39" si="11">AR8</f>
        <v/>
      </c>
      <c r="AW8" s="143" t="b">
        <f t="shared" ref="AW8:AW39" si="12">IF(ISNA(Z8),FALSE,IF(OR(AB8=1,G8=0,Z8=1,Z8=2),FALSE,IF(OR(J8="NA",J8&gt;=G8),FALSE,TRUE)))</f>
        <v>0</v>
      </c>
      <c r="AX8" s="145" t="b">
        <f t="shared" ref="AX8:AX39" si="13">IF(ISNA(Z8),FALSE,IF(OR(AB8=0,G8=0,Z8=1,Z8=2,J8="NA"),FALSE,IF(AK8="NG",IF(NOT(ISBLANK(K8)),FALSE,TRUE),IF(J8&gt;=G8,FALSE,TRUE))))</f>
        <v>0</v>
      </c>
      <c r="AY8" s="143" t="b">
        <f t="shared" ref="AY8:AY39" si="14">IF(ISNA(Z8),FALSE,IF(OR(AB8=1,G8&lt;1,Z8=1,Z8=2,AE8=0,ISBLANK(K8)),FALSE,IF(OR(J8="NA",K8&gt;=BI8),FALSE,TRUE)))</f>
        <v>0</v>
      </c>
      <c r="AZ8" s="145" t="b">
        <f t="shared" ref="AZ8:AZ39" si="15">IF(ISNA(Z8),FALSE,IF(OR(AB8=0,G8=0,Z8=1,Z8=2,AE8=0,BI8="NG",K8="",ISBLANK(K8)),FALSE,IF(OR(J8="NA",K8&gt;=AK8),FALSE,TRUE)))</f>
        <v>0</v>
      </c>
      <c r="BA8" s="453" t="b">
        <f t="shared" ref="BA8:BA39" si="16">IF(ISNA(Z8),FALSE,IF(OR(AB8=1,G8&lt;1,Z8=1,Z8=2,AE8=0),FALSE,IF(J8="NA",TRUE,FALSE)))</f>
        <v>0</v>
      </c>
      <c r="BB8" s="453" t="b">
        <f t="shared" ref="BB8:BB39" si="17">IF(ISNA(Z8),FALSE,IF(OR(AB8=0,G8=0,Z8=1,Z8=2),FALSE,IF(J8="NA",TRUE,FALSE)))</f>
        <v>0</v>
      </c>
      <c r="BC8" s="143" t="b">
        <f t="shared" ref="BC8:BC39" si="18">IF(OR(ISNA($Z8),ISNUMBER($Z8),NOT(ISNUMBER($J8)),K8="D"),FALSE,IF(AND(NOT(ISNUMBER($K8)),J8&gt;0),TRUE,FALSE))</f>
        <v>0</v>
      </c>
      <c r="BD8" s="146" t="b">
        <f>IF(OR(ISNA($Z8),ISNUMBER($Z8),NOT(ISNUMBER(K8))),FALSE,OR(NOT(ISNUMBER(J8)),J8=0,AND(J8=0,K8&lt;&gt;0)))</f>
        <v>0</v>
      </c>
      <c r="BE8" s="145" t="b">
        <f t="shared" ref="BE8:BE21" si="19">IF(OR(ISNA($Z8),K8&lt;&gt;"D"),FALSE,IF(OR(AND(H8="NG",J8=0),AND(H8&lt;&gt;"NG",NOT(OR(J8="NA",J8=0)))),TRUE,FALSE))</f>
        <v>0</v>
      </c>
      <c r="BF8" s="147" t="b">
        <f t="shared" ref="BF8:BF30" si="20">IF(OR(ISNA($Z8),H8&lt;&gt;"NG"),FALSE,IF(AND(J8="NA",K8&lt;&gt;""),TRUE,FALSE))</f>
        <v>0</v>
      </c>
      <c r="BG8" s="453" t="b">
        <f t="shared" ref="BG8:BG21" si="21">IF(ISNA($Z8),"NA",IF(OR(AZ8,AY8,AX8,AW8,AP8,BA8,BB8),TRUE,FALSE))</f>
        <v>0</v>
      </c>
      <c r="BH8" s="148" t="str">
        <f>IF(ISNA($Z8),"",IF(OR($Z8=1,$Z8=2),"",$V8))</f>
        <v/>
      </c>
      <c r="BI8" s="453" t="str">
        <f t="shared" ref="BI8:BI39" si="22">IF(ISNA($Z8),"",IF(OR($Z8=1,$Z8=2,$G8=""),"",IF(AB8=0,AH8,$AD8)))</f>
        <v/>
      </c>
      <c r="BJ8" s="453" t="str">
        <f t="shared" ref="BJ8:BJ39" si="23">IF(ISNA(AE8),"",IF(OR(Z8=1,Z8=2),"",IF(OR(AE8=0,AD8="NG"),TEXT(BI8,"0"),CONCATENATE(TEXT(BI8,"0"),"*"))))</f>
        <v/>
      </c>
      <c r="BK8" s="453" t="str">
        <f t="shared" ref="BK8:BK39" si="24">IF(ISNA($Z8),"",IF(OR($Z8=1,$Z8=2,$G8=""),"",IF(AB8=0,AG8,$AC8)))</f>
        <v/>
      </c>
      <c r="BL8" s="148" t="str">
        <f>IF(ISBLANK(BH8),"",IF(BH8=0,"",BH8))</f>
        <v/>
      </c>
      <c r="BM8" s="453" t="str">
        <f t="shared" ref="BM8:BM39" si="25">IF($BH8=0,"",IF($BI8="NG","D",$BI8))</f>
        <v/>
      </c>
      <c r="BN8" s="453" t="str">
        <f t="shared" ref="BN8:BN39" si="26">IF(ISNA(U8),"",IF($BH8=0,"",IF($BI8="NG","D",BK8)))</f>
        <v/>
      </c>
      <c r="BO8" s="149" t="s">
        <v>341</v>
      </c>
      <c r="BP8" s="150"/>
    </row>
    <row r="9" spans="2:73" s="94" customFormat="1" ht="12.95" customHeight="1" x14ac:dyDescent="0.2">
      <c r="B9" s="151">
        <f>IF(ISNA(Z9),"",IF(OR(Z9=1,Z9=2),"    ",MAX($B$8:B8)+1))</f>
        <v>1</v>
      </c>
      <c r="C9" s="904" t="str">
        <f t="shared" si="0"/>
        <v xml:space="preserve">      - General Glider Operations (10.0%)</v>
      </c>
      <c r="D9" s="904"/>
      <c r="E9" s="904"/>
      <c r="F9" s="905"/>
      <c r="G9" s="133">
        <f t="shared" si="1"/>
        <v>1</v>
      </c>
      <c r="H9" s="134" t="str">
        <f t="shared" si="2"/>
        <v>1*</v>
      </c>
      <c r="I9" s="152">
        <f t="shared" si="2"/>
        <v>2</v>
      </c>
      <c r="J9" s="153"/>
      <c r="K9" s="154"/>
      <c r="L9" s="1015"/>
      <c r="M9" s="1016"/>
      <c r="N9" s="1016"/>
      <c r="O9" s="1016"/>
      <c r="P9" s="1016"/>
      <c r="Q9" s="1016"/>
      <c r="R9" s="1017"/>
      <c r="T9" s="99">
        <v>2</v>
      </c>
      <c r="U9" s="88" t="s">
        <v>790</v>
      </c>
      <c r="V9" s="453">
        <v>1</v>
      </c>
      <c r="W9" s="453" t="s">
        <v>340</v>
      </c>
      <c r="X9" s="453">
        <v>2</v>
      </c>
      <c r="Y9" s="453" t="s">
        <v>340</v>
      </c>
      <c r="Z9" s="146" t="s">
        <v>340</v>
      </c>
      <c r="AA9" s="146">
        <v>2</v>
      </c>
      <c r="AB9" s="146">
        <v>0</v>
      </c>
      <c r="AC9" s="453">
        <v>3</v>
      </c>
      <c r="AD9" s="453">
        <v>2</v>
      </c>
      <c r="AE9" s="453">
        <v>1</v>
      </c>
      <c r="AF9" s="453" t="b">
        <v>1</v>
      </c>
      <c r="AG9" s="453">
        <f t="shared" si="3"/>
        <v>2</v>
      </c>
      <c r="AH9" s="453">
        <f t="shared" si="4"/>
        <v>1</v>
      </c>
      <c r="AI9" s="138">
        <f>IF(NOT(OR(Z9=1,Z9=2)),IF(AQ9&gt;0,$AR$44*AQ9/SUMIF($AQ$8:$AQ$39,"&gt;0"),IF(AU9&gt;0,$AV$44*AU9/SUMIF($AU$8:$AU$39,"&gt;0"),IF(AS9&gt;0,$AT$44*AS9/SUMIF($AS$8:$AS$39,"&gt;0"),""))),IF(SUMIF(AJ10:$AJ$39,"=" &amp; AJ9,AI10:$AI$39)=0,"",SUMIF(AJ10:$AJ$39,"=" &amp; AJ9,AI10:$AI$39)))</f>
        <v>0.1</v>
      </c>
      <c r="AJ9" s="139">
        <f>IF(OR(Z9=1,Z9=2,AA9&lt;AA8),AJ8+1,AJ8)</f>
        <v>0</v>
      </c>
      <c r="AK9" s="453">
        <f t="shared" ref="AK9:AK39" si="27">BI9</f>
        <v>1</v>
      </c>
      <c r="AL9" s="146" t="str">
        <f t="shared" ref="AL9:AL39" si="28">IF(ISBLANK(K9),"",K9)</f>
        <v/>
      </c>
      <c r="AM9" s="146" t="str">
        <f>IF(ISNUMBER(AK9),IF(ISNUMBER(AL9),1,""),"")</f>
        <v/>
      </c>
      <c r="AN9" s="146" t="str">
        <f t="shared" si="5"/>
        <v/>
      </c>
      <c r="AO9" s="146">
        <f t="shared" si="6"/>
        <v>1</v>
      </c>
      <c r="AP9" s="453" t="b">
        <f>IF(ISNA(Z9),"",IF(AND(ISNUMBER(B9),G9&gt;=1,H9&lt;&gt;"NG"),IF(K9&lt;BK9,TRUE,FALSE),IF(AND(G9&gt;=1,J9="NA"),TRUE,IF(AND(AM9=1,G9=0,AL9&lt;BI9),TRUE,""))))</f>
        <v>1</v>
      </c>
      <c r="AQ9" s="140">
        <f t="shared" ref="AQ9:AQ39" si="29">IF(ISNA(Z9),0,IF(OR(J9="NA",W9="",AB9=0),0,W9))</f>
        <v>0</v>
      </c>
      <c r="AR9" s="141" t="str">
        <f>IF(ISNA(Z9),"",IF(AND(NOT(OR(Z9=1,Z9=2,AK9="NG",AB9=0)),IF(ISNUMBER(AL9),AL9&gt;=0,FALSE)),VLOOKUP((10*AD9+AC9),$AQ$50:$AV$58,2+AL9,FALSE),IF(AND(input_test=TRUE,ISNUMBER(AD9),V9&lt;&gt;0),VLOOKUP((10*AD9+AC9),$AQ$50:$AV$58,2,FALSE),"")))</f>
        <v/>
      </c>
      <c r="AS9" s="142">
        <f t="shared" ref="AS9:AS39" si="30">IF(ISNA(Z9),0,IF(OR(J9="NA",X9="",AB9=1),0,X9))</f>
        <v>2</v>
      </c>
      <c r="AT9" s="141" t="str">
        <f>IF(ISNA(Z9),"",IF(AND(NOT(OR(Z9=1,Z9=2,AK9="NG",AB9=1)),IF(ISNUMBER(AL9),AL9&gt;=0,FALSE)),VLOOKUP((10*AH9+AG9),$AQ$50:$AV$58,2+AL9,FALSE),IF(AND(input_test=TRUE,ISNUMBER(AD9),V9&lt;&gt;0),VLOOKUP((10*AH9+AG9),$AQ$50:$AV$58,2,FALSE),"")))</f>
        <v/>
      </c>
      <c r="AU9" s="143">
        <f t="shared" si="10"/>
        <v>0</v>
      </c>
      <c r="AV9" s="144" t="str">
        <f t="shared" si="11"/>
        <v/>
      </c>
      <c r="AW9" s="143" t="b">
        <f t="shared" si="12"/>
        <v>1</v>
      </c>
      <c r="AX9" s="145" t="b">
        <f t="shared" si="13"/>
        <v>0</v>
      </c>
      <c r="AY9" s="143" t="b">
        <f t="shared" si="14"/>
        <v>0</v>
      </c>
      <c r="AZ9" s="145" t="b">
        <f t="shared" si="15"/>
        <v>0</v>
      </c>
      <c r="BA9" s="453" t="b">
        <f t="shared" si="16"/>
        <v>0</v>
      </c>
      <c r="BB9" s="453" t="b">
        <f t="shared" si="17"/>
        <v>0</v>
      </c>
      <c r="BC9" s="143" t="b">
        <f t="shared" si="18"/>
        <v>0</v>
      </c>
      <c r="BD9" s="146" t="b">
        <f t="shared" ref="BD9:BD39" si="31">IF(OR(ISNA($Z9),ISNUMBER($Z9),NOT(ISNUMBER(K9))),FALSE,OR(NOT(ISNUMBER(J9)),J9=0,AND(J9=0,K9&lt;&gt;0)))</f>
        <v>0</v>
      </c>
      <c r="BE9" s="145" t="b">
        <f t="shared" si="19"/>
        <v>0</v>
      </c>
      <c r="BF9" s="147" t="b">
        <f t="shared" si="20"/>
        <v>0</v>
      </c>
      <c r="BG9" s="453" t="b">
        <f t="shared" si="21"/>
        <v>1</v>
      </c>
      <c r="BH9" s="453">
        <f t="shared" ref="BH9:BH39" si="32">IF(ISNA($Z9),"",IF(OR($Z9=1,$Z9=2),"",$V9))</f>
        <v>1</v>
      </c>
      <c r="BI9" s="453">
        <f t="shared" si="22"/>
        <v>1</v>
      </c>
      <c r="BJ9" s="453" t="str">
        <f t="shared" si="23"/>
        <v>1*</v>
      </c>
      <c r="BK9" s="453">
        <f t="shared" si="24"/>
        <v>2</v>
      </c>
      <c r="BL9" s="148">
        <f t="shared" ref="BL9:BL39" si="33">IF(ISBLANK(BH9),"",IF(BH9=0,"",BH9))</f>
        <v>1</v>
      </c>
      <c r="BM9" s="453">
        <f t="shared" si="25"/>
        <v>1</v>
      </c>
      <c r="BN9" s="453">
        <f t="shared" si="26"/>
        <v>2</v>
      </c>
      <c r="BO9" s="155" t="s">
        <v>343</v>
      </c>
      <c r="BP9" s="156" t="s">
        <v>344</v>
      </c>
    </row>
    <row r="10" spans="2:73" s="94" customFormat="1" ht="12.95" customHeight="1" x14ac:dyDescent="0.2">
      <c r="B10" s="151">
        <f>IF(ISNA(Z10),"",IF(OR(Z10=1,Z10=2),"    ",MAX($B$8:B9)+1))</f>
        <v>2</v>
      </c>
      <c r="C10" s="904" t="str">
        <f t="shared" si="0"/>
        <v xml:space="preserve">      - Takeoff and Landing (10.0%)</v>
      </c>
      <c r="D10" s="904"/>
      <c r="E10" s="904"/>
      <c r="F10" s="905"/>
      <c r="G10" s="133">
        <f t="shared" si="1"/>
        <v>1</v>
      </c>
      <c r="H10" s="134" t="str">
        <f t="shared" si="2"/>
        <v>1*</v>
      </c>
      <c r="I10" s="152">
        <f t="shared" si="2"/>
        <v>2</v>
      </c>
      <c r="J10" s="157"/>
      <c r="K10" s="154"/>
      <c r="L10" s="1015"/>
      <c r="M10" s="1016"/>
      <c r="N10" s="1016"/>
      <c r="O10" s="1016"/>
      <c r="P10" s="1016"/>
      <c r="Q10" s="1016"/>
      <c r="R10" s="1017"/>
      <c r="T10" s="99">
        <v>3</v>
      </c>
      <c r="U10" s="88" t="s">
        <v>791</v>
      </c>
      <c r="V10" s="453">
        <v>1</v>
      </c>
      <c r="W10" s="453" t="s">
        <v>340</v>
      </c>
      <c r="X10" s="453">
        <v>2</v>
      </c>
      <c r="Y10" s="453" t="s">
        <v>340</v>
      </c>
      <c r="Z10" s="146" t="s">
        <v>340</v>
      </c>
      <c r="AA10" s="146">
        <v>2</v>
      </c>
      <c r="AB10" s="146">
        <v>0</v>
      </c>
      <c r="AC10" s="453">
        <v>3</v>
      </c>
      <c r="AD10" s="453">
        <v>2</v>
      </c>
      <c r="AE10" s="453">
        <v>1</v>
      </c>
      <c r="AF10" s="453" t="b">
        <v>1</v>
      </c>
      <c r="AG10" s="453">
        <f t="shared" si="3"/>
        <v>2</v>
      </c>
      <c r="AH10" s="453">
        <f t="shared" si="4"/>
        <v>1</v>
      </c>
      <c r="AI10" s="138">
        <f>IF(NOT(OR(Z10=1,Z10=2)),IF(AQ10&gt;0,$AR$44*AQ10/SUMIF($AQ$8:$AQ$39,"&gt;0"),IF(AU10&gt;0,$AV$44*AU10/SUMIF($AU$8:$AU$39,"&gt;0"),IF(AS10&gt;0,$AT$44*AS10/SUMIF($AS$8:$AS$39,"&gt;0"),""))),IF(SUMIF(AJ11:$AJ$39,"=" &amp; AJ10,AI11:$AI$39)=0,"",SUMIF(AJ11:$AJ$39,"=" &amp; AJ10,AI11:$AI$39)))</f>
        <v>0.1</v>
      </c>
      <c r="AJ10" s="139">
        <f t="shared" ref="AJ10:AJ39" si="34">IF(OR(Z10=1,Z10=2,AA10&lt;AA9),AJ9+1,AJ9)</f>
        <v>0</v>
      </c>
      <c r="AK10" s="453">
        <f t="shared" si="27"/>
        <v>1</v>
      </c>
      <c r="AL10" s="146" t="str">
        <f t="shared" si="28"/>
        <v/>
      </c>
      <c r="AM10" s="146" t="str">
        <f t="shared" ref="AM10:AM39" si="35">IF(ISNUMBER(AK10),IF(ISNUMBER(AL10),1,""),"")</f>
        <v/>
      </c>
      <c r="AN10" s="146" t="str">
        <f t="shared" si="5"/>
        <v/>
      </c>
      <c r="AO10" s="146">
        <f t="shared" si="6"/>
        <v>1</v>
      </c>
      <c r="AP10" s="453" t="b">
        <f t="shared" si="7"/>
        <v>1</v>
      </c>
      <c r="AQ10" s="140">
        <f t="shared" si="29"/>
        <v>0</v>
      </c>
      <c r="AR10" s="141" t="str">
        <f t="shared" si="8"/>
        <v/>
      </c>
      <c r="AS10" s="142">
        <f t="shared" si="30"/>
        <v>2</v>
      </c>
      <c r="AT10" s="141" t="str">
        <f t="shared" si="9"/>
        <v/>
      </c>
      <c r="AU10" s="143">
        <f t="shared" si="10"/>
        <v>0</v>
      </c>
      <c r="AV10" s="144" t="str">
        <f t="shared" si="11"/>
        <v/>
      </c>
      <c r="AW10" s="143" t="b">
        <f t="shared" si="12"/>
        <v>1</v>
      </c>
      <c r="AX10" s="145" t="b">
        <f t="shared" si="13"/>
        <v>0</v>
      </c>
      <c r="AY10" s="143" t="b">
        <f t="shared" si="14"/>
        <v>0</v>
      </c>
      <c r="AZ10" s="145" t="b">
        <f t="shared" si="15"/>
        <v>0</v>
      </c>
      <c r="BA10" s="453" t="b">
        <f t="shared" si="16"/>
        <v>0</v>
      </c>
      <c r="BB10" s="453" t="b">
        <f t="shared" si="17"/>
        <v>0</v>
      </c>
      <c r="BC10" s="143" t="b">
        <f t="shared" si="18"/>
        <v>0</v>
      </c>
      <c r="BD10" s="146" t="b">
        <f t="shared" si="31"/>
        <v>0</v>
      </c>
      <c r="BE10" s="145" t="b">
        <f t="shared" si="19"/>
        <v>0</v>
      </c>
      <c r="BF10" s="147" t="b">
        <f t="shared" si="20"/>
        <v>0</v>
      </c>
      <c r="BG10" s="453" t="b">
        <f t="shared" si="21"/>
        <v>1</v>
      </c>
      <c r="BH10" s="453">
        <f t="shared" si="32"/>
        <v>1</v>
      </c>
      <c r="BI10" s="453">
        <f t="shared" si="22"/>
        <v>1</v>
      </c>
      <c r="BJ10" s="453" t="str">
        <f t="shared" si="23"/>
        <v>1*</v>
      </c>
      <c r="BK10" s="453">
        <f t="shared" si="24"/>
        <v>2</v>
      </c>
      <c r="BL10" s="148">
        <f t="shared" si="33"/>
        <v>1</v>
      </c>
      <c r="BM10" s="453">
        <f t="shared" si="25"/>
        <v>1</v>
      </c>
      <c r="BN10" s="453">
        <f t="shared" si="26"/>
        <v>2</v>
      </c>
      <c r="BO10" s="155">
        <v>0</v>
      </c>
      <c r="BP10" s="156" t="s">
        <v>346</v>
      </c>
    </row>
    <row r="11" spans="2:73" s="94" customFormat="1" ht="12.95" customHeight="1" x14ac:dyDescent="0.2">
      <c r="B11" s="151" t="str">
        <f>IF(ISNA(Z11),"",IF(OR(Z11=1,Z11=2),"    ",MAX($B$8:B10)+1))</f>
        <v xml:space="preserve">    </v>
      </c>
      <c r="C11" s="904" t="str">
        <f t="shared" si="0"/>
        <v>Academic Tasks</v>
      </c>
      <c r="D11" s="904"/>
      <c r="E11" s="904"/>
      <c r="F11" s="905"/>
      <c r="G11" s="133" t="str">
        <f t="shared" si="1"/>
        <v/>
      </c>
      <c r="H11" s="134" t="str">
        <f t="shared" si="2"/>
        <v/>
      </c>
      <c r="I11" s="152" t="str">
        <f t="shared" si="2"/>
        <v/>
      </c>
      <c r="J11" s="158"/>
      <c r="K11" s="159"/>
      <c r="L11" s="1015"/>
      <c r="M11" s="1016"/>
      <c r="N11" s="1016"/>
      <c r="O11" s="1016"/>
      <c r="P11" s="1016"/>
      <c r="Q11" s="1016"/>
      <c r="R11" s="1017"/>
      <c r="T11" s="99">
        <v>4</v>
      </c>
      <c r="U11" s="88" t="s">
        <v>351</v>
      </c>
      <c r="V11" s="453" t="s">
        <v>340</v>
      </c>
      <c r="W11" s="453" t="s">
        <v>340</v>
      </c>
      <c r="X11" s="453" t="s">
        <v>340</v>
      </c>
      <c r="Y11" s="453" t="s">
        <v>340</v>
      </c>
      <c r="Z11" s="146">
        <v>1</v>
      </c>
      <c r="AA11" s="146">
        <v>0</v>
      </c>
      <c r="AB11" s="146">
        <v>1</v>
      </c>
      <c r="AC11" s="453" t="s">
        <v>340</v>
      </c>
      <c r="AD11" s="453" t="s">
        <v>340</v>
      </c>
      <c r="AE11" s="453">
        <v>0</v>
      </c>
      <c r="AF11" s="453" t="s">
        <v>340</v>
      </c>
      <c r="AG11" s="453" t="str">
        <f t="shared" si="3"/>
        <v/>
      </c>
      <c r="AH11" s="453" t="str">
        <f t="shared" si="4"/>
        <v/>
      </c>
      <c r="AI11" s="138" t="str">
        <f>IF(NOT(OR(Z11=1,Z11=2)),IF(AQ11&gt;0,$AR$44*AQ11/SUMIF($AQ$8:$AQ$39,"&gt;0"),IF(AU11&gt;0,$AV$44*AU11/SUMIF($AU$8:$AU$39,"&gt;0"),IF(AS11&gt;0,$AT$44*AS11/SUMIF($AS$8:$AS$39,"&gt;0"),""))),IF(SUMIF(AJ12:$AJ$39,"=" &amp; AJ11,AI12:$AI$39)=0,"",SUMIF(AJ12:$AJ$39,"=" &amp; AJ11,AI12:$AI$39)))</f>
        <v/>
      </c>
      <c r="AJ11" s="139">
        <f t="shared" si="34"/>
        <v>1</v>
      </c>
      <c r="AK11" s="453" t="str">
        <f t="shared" si="27"/>
        <v/>
      </c>
      <c r="AL11" s="146" t="str">
        <f t="shared" si="28"/>
        <v/>
      </c>
      <c r="AM11" s="146" t="str">
        <f t="shared" si="35"/>
        <v/>
      </c>
      <c r="AN11" s="146" t="str">
        <f t="shared" si="5"/>
        <v/>
      </c>
      <c r="AO11" s="146" t="str">
        <f t="shared" si="6"/>
        <v/>
      </c>
      <c r="AP11" s="453" t="str">
        <f t="shared" si="7"/>
        <v/>
      </c>
      <c r="AQ11" s="140">
        <f t="shared" si="29"/>
        <v>0</v>
      </c>
      <c r="AR11" s="141" t="str">
        <f t="shared" si="8"/>
        <v/>
      </c>
      <c r="AS11" s="142">
        <f t="shared" si="30"/>
        <v>0</v>
      </c>
      <c r="AT11" s="141" t="str">
        <f t="shared" si="9"/>
        <v/>
      </c>
      <c r="AU11" s="143">
        <f t="shared" si="10"/>
        <v>0</v>
      </c>
      <c r="AV11" s="144" t="str">
        <f t="shared" si="11"/>
        <v/>
      </c>
      <c r="AW11" s="143" t="b">
        <f t="shared" si="12"/>
        <v>0</v>
      </c>
      <c r="AX11" s="145" t="b">
        <f t="shared" si="13"/>
        <v>0</v>
      </c>
      <c r="AY11" s="143" t="b">
        <f t="shared" si="14"/>
        <v>0</v>
      </c>
      <c r="AZ11" s="145" t="b">
        <f t="shared" si="15"/>
        <v>0</v>
      </c>
      <c r="BA11" s="453" t="b">
        <f t="shared" si="16"/>
        <v>0</v>
      </c>
      <c r="BB11" s="453" t="b">
        <f t="shared" si="17"/>
        <v>0</v>
      </c>
      <c r="BC11" s="143" t="b">
        <f t="shared" si="18"/>
        <v>0</v>
      </c>
      <c r="BD11" s="146" t="b">
        <f t="shared" si="31"/>
        <v>0</v>
      </c>
      <c r="BE11" s="145" t="b">
        <f t="shared" si="19"/>
        <v>0</v>
      </c>
      <c r="BF11" s="147" t="b">
        <f t="shared" si="20"/>
        <v>0</v>
      </c>
      <c r="BG11" s="453" t="b">
        <f t="shared" si="21"/>
        <v>0</v>
      </c>
      <c r="BH11" s="453" t="str">
        <f t="shared" si="32"/>
        <v/>
      </c>
      <c r="BI11" s="453" t="str">
        <f t="shared" si="22"/>
        <v/>
      </c>
      <c r="BJ11" s="453" t="str">
        <f t="shared" si="23"/>
        <v/>
      </c>
      <c r="BK11" s="453" t="str">
        <f t="shared" si="24"/>
        <v/>
      </c>
      <c r="BL11" s="148" t="str">
        <f t="shared" si="33"/>
        <v/>
      </c>
      <c r="BM11" s="453" t="str">
        <f t="shared" si="25"/>
        <v/>
      </c>
      <c r="BN11" s="453" t="str">
        <f t="shared" si="26"/>
        <v/>
      </c>
      <c r="BO11" s="155">
        <v>1</v>
      </c>
      <c r="BP11" s="156" t="s">
        <v>348</v>
      </c>
    </row>
    <row r="12" spans="2:73" s="94" customFormat="1" ht="12.95" customHeight="1" x14ac:dyDescent="0.2">
      <c r="B12" s="151" t="str">
        <f>IF(ISNA(Z12),"",IF(OR(Z12=1,Z12=2),"    ",MAX($B$8:B11)+1))</f>
        <v xml:space="preserve">    </v>
      </c>
      <c r="C12" s="904" t="str">
        <f t="shared" si="0"/>
        <v>Test Conduct (32.0%)</v>
      </c>
      <c r="D12" s="904"/>
      <c r="E12" s="904"/>
      <c r="F12" s="905"/>
      <c r="G12" s="133" t="str">
        <f t="shared" si="1"/>
        <v/>
      </c>
      <c r="H12" s="134" t="str">
        <f t="shared" si="2"/>
        <v/>
      </c>
      <c r="I12" s="152" t="str">
        <f t="shared" si="2"/>
        <v/>
      </c>
      <c r="J12" s="158"/>
      <c r="K12" s="159"/>
      <c r="L12" s="1015"/>
      <c r="M12" s="1016"/>
      <c r="N12" s="1016"/>
      <c r="O12" s="1016"/>
      <c r="P12" s="1016"/>
      <c r="Q12" s="1016"/>
      <c r="R12" s="1017"/>
      <c r="T12" s="99">
        <v>5</v>
      </c>
      <c r="U12" s="88" t="s">
        <v>353</v>
      </c>
      <c r="V12" s="453" t="s">
        <v>340</v>
      </c>
      <c r="W12" s="453" t="s">
        <v>340</v>
      </c>
      <c r="X12" s="453" t="s">
        <v>340</v>
      </c>
      <c r="Y12" s="453" t="s">
        <v>340</v>
      </c>
      <c r="Z12" s="146">
        <v>2</v>
      </c>
      <c r="AA12" s="146">
        <v>1</v>
      </c>
      <c r="AB12" s="146">
        <v>1</v>
      </c>
      <c r="AC12" s="453" t="s">
        <v>340</v>
      </c>
      <c r="AD12" s="453" t="s">
        <v>340</v>
      </c>
      <c r="AE12" s="453" t="s">
        <v>340</v>
      </c>
      <c r="AF12" s="453" t="s">
        <v>340</v>
      </c>
      <c r="AG12" s="453" t="str">
        <f t="shared" si="3"/>
        <v/>
      </c>
      <c r="AH12" s="453" t="str">
        <f t="shared" si="4"/>
        <v/>
      </c>
      <c r="AI12" s="138">
        <f>IF(NOT(OR(Z12=1,Z12=2)),IF(AQ12&gt;0,$AR$44*AQ12/SUMIF($AQ$8:$AQ$39,"&gt;0"),IF(AU12&gt;0,$AV$44*AU12/SUMIF($AU$8:$AU$39,"&gt;0"),IF(AS12&gt;0,$AT$44*AS12/SUMIF($AS$8:$AS$39,"&gt;0"),""))),IF(SUMIF(AJ13:$AJ$39,"=" &amp; AJ12,AI13:$AI$39)=0,"",SUMIF(AJ13:$AJ$39,"=" &amp; AJ12,AI13:$AI$39)))</f>
        <v>0.32000000000000006</v>
      </c>
      <c r="AJ12" s="139">
        <f t="shared" si="34"/>
        <v>2</v>
      </c>
      <c r="AK12" s="453" t="str">
        <f t="shared" si="27"/>
        <v/>
      </c>
      <c r="AL12" s="146" t="str">
        <f t="shared" si="28"/>
        <v/>
      </c>
      <c r="AM12" s="146" t="str">
        <f t="shared" si="35"/>
        <v/>
      </c>
      <c r="AN12" s="146" t="str">
        <f t="shared" si="5"/>
        <v/>
      </c>
      <c r="AO12" s="146" t="str">
        <f t="shared" si="6"/>
        <v/>
      </c>
      <c r="AP12" s="453" t="str">
        <f t="shared" si="7"/>
        <v/>
      </c>
      <c r="AQ12" s="140">
        <f t="shared" si="29"/>
        <v>0</v>
      </c>
      <c r="AR12" s="141" t="str">
        <f t="shared" si="8"/>
        <v/>
      </c>
      <c r="AS12" s="142">
        <f t="shared" si="30"/>
        <v>0</v>
      </c>
      <c r="AT12" s="141" t="str">
        <f t="shared" si="9"/>
        <v/>
      </c>
      <c r="AU12" s="143">
        <f t="shared" si="10"/>
        <v>0</v>
      </c>
      <c r="AV12" s="144" t="str">
        <f t="shared" si="11"/>
        <v/>
      </c>
      <c r="AW12" s="143" t="b">
        <f t="shared" si="12"/>
        <v>0</v>
      </c>
      <c r="AX12" s="145" t="b">
        <f t="shared" si="13"/>
        <v>0</v>
      </c>
      <c r="AY12" s="143" t="b">
        <f t="shared" si="14"/>
        <v>0</v>
      </c>
      <c r="AZ12" s="145" t="b">
        <f t="shared" si="15"/>
        <v>0</v>
      </c>
      <c r="BA12" s="453" t="b">
        <f t="shared" si="16"/>
        <v>0</v>
      </c>
      <c r="BB12" s="453" t="b">
        <f t="shared" si="17"/>
        <v>0</v>
      </c>
      <c r="BC12" s="143" t="b">
        <f t="shared" si="18"/>
        <v>0</v>
      </c>
      <c r="BD12" s="146" t="b">
        <f t="shared" si="31"/>
        <v>0</v>
      </c>
      <c r="BE12" s="145" t="b">
        <f t="shared" si="19"/>
        <v>0</v>
      </c>
      <c r="BF12" s="147" t="b">
        <f t="shared" si="20"/>
        <v>0</v>
      </c>
      <c r="BG12" s="453" t="b">
        <f t="shared" si="21"/>
        <v>0</v>
      </c>
      <c r="BH12" s="453" t="str">
        <f t="shared" si="32"/>
        <v/>
      </c>
      <c r="BI12" s="453" t="str">
        <f t="shared" si="22"/>
        <v/>
      </c>
      <c r="BJ12" s="453" t="str">
        <f t="shared" si="23"/>
        <v/>
      </c>
      <c r="BK12" s="453" t="str">
        <f t="shared" si="24"/>
        <v/>
      </c>
      <c r="BL12" s="148" t="str">
        <f t="shared" si="33"/>
        <v/>
      </c>
      <c r="BM12" s="453" t="str">
        <f t="shared" si="25"/>
        <v/>
      </c>
      <c r="BN12" s="453" t="str">
        <f t="shared" si="26"/>
        <v/>
      </c>
      <c r="BO12" s="155">
        <v>2</v>
      </c>
      <c r="BP12" s="156" t="s">
        <v>350</v>
      </c>
    </row>
    <row r="13" spans="2:73" s="94" customFormat="1" ht="12.95" customHeight="1" x14ac:dyDescent="0.2">
      <c r="B13" s="151">
        <f>IF(ISNA(Z13),"",IF(OR(Z13=1,Z13=2),"    ",MAX($B$8:B12)+1))</f>
        <v>3</v>
      </c>
      <c r="C13" s="904" t="str">
        <f t="shared" si="0"/>
        <v xml:space="preserve">      - Mission Preparation (24.0%)</v>
      </c>
      <c r="D13" s="904"/>
      <c r="E13" s="904"/>
      <c r="F13" s="905"/>
      <c r="G13" s="133">
        <f t="shared" si="1"/>
        <v>1</v>
      </c>
      <c r="H13" s="134" t="str">
        <f t="shared" si="2"/>
        <v>2*</v>
      </c>
      <c r="I13" s="152">
        <f t="shared" si="2"/>
        <v>3</v>
      </c>
      <c r="J13" s="157"/>
      <c r="K13" s="154"/>
      <c r="L13" s="1015"/>
      <c r="M13" s="1016"/>
      <c r="N13" s="1016"/>
      <c r="O13" s="1016"/>
      <c r="P13" s="1016"/>
      <c r="Q13" s="1016"/>
      <c r="R13" s="1017"/>
      <c r="T13" s="99">
        <v>6</v>
      </c>
      <c r="U13" s="88" t="s">
        <v>498</v>
      </c>
      <c r="V13" s="453">
        <v>1</v>
      </c>
      <c r="W13" s="453">
        <v>3</v>
      </c>
      <c r="X13" s="453" t="s">
        <v>340</v>
      </c>
      <c r="Y13" s="453" t="s">
        <v>340</v>
      </c>
      <c r="Z13" s="146" t="s">
        <v>340</v>
      </c>
      <c r="AA13" s="146">
        <v>2</v>
      </c>
      <c r="AB13" s="146">
        <v>1</v>
      </c>
      <c r="AC13" s="453">
        <v>3</v>
      </c>
      <c r="AD13" s="453">
        <v>2</v>
      </c>
      <c r="AE13" s="453">
        <v>1</v>
      </c>
      <c r="AF13" s="453" t="b">
        <v>1</v>
      </c>
      <c r="AG13" s="453">
        <f t="shared" si="3"/>
        <v>2</v>
      </c>
      <c r="AH13" s="453">
        <f t="shared" si="4"/>
        <v>1</v>
      </c>
      <c r="AI13" s="138">
        <f>IF(NOT(OR(Z13=1,Z13=2)),IF(AQ13&gt;0,$AR$44*AQ13/SUMIF($AQ$8:$AQ$39,"&gt;0"),IF(AU13&gt;0,$AV$44*AU13/SUMIF($AU$8:$AU$39,"&gt;0"),IF(AS13&gt;0,$AT$44*AS13/SUMIF($AS$8:$AS$39,"&gt;0"),""))),IF(SUMIF(AJ14:$AJ$39,"=" &amp; AJ13,AI14:$AI$39)=0,"",SUMIF(AJ14:$AJ$39,"=" &amp; AJ13,AI14:$AI$39)))</f>
        <v>0.24000000000000005</v>
      </c>
      <c r="AJ13" s="139">
        <f t="shared" si="34"/>
        <v>2</v>
      </c>
      <c r="AK13" s="453">
        <f t="shared" si="27"/>
        <v>2</v>
      </c>
      <c r="AL13" s="146" t="str">
        <f t="shared" si="28"/>
        <v/>
      </c>
      <c r="AM13" s="146" t="str">
        <f t="shared" si="35"/>
        <v/>
      </c>
      <c r="AN13" s="146" t="str">
        <f t="shared" si="5"/>
        <v/>
      </c>
      <c r="AO13" s="146" t="str">
        <f t="shared" si="6"/>
        <v/>
      </c>
      <c r="AP13" s="453" t="b">
        <f t="shared" si="7"/>
        <v>1</v>
      </c>
      <c r="AQ13" s="140">
        <f t="shared" si="29"/>
        <v>3</v>
      </c>
      <c r="AR13" s="141" t="str">
        <f t="shared" si="8"/>
        <v/>
      </c>
      <c r="AS13" s="142">
        <f t="shared" si="30"/>
        <v>0</v>
      </c>
      <c r="AT13" s="141" t="str">
        <f t="shared" si="9"/>
        <v/>
      </c>
      <c r="AU13" s="143">
        <f t="shared" si="10"/>
        <v>0</v>
      </c>
      <c r="AV13" s="144" t="str">
        <f t="shared" si="11"/>
        <v/>
      </c>
      <c r="AW13" s="143" t="b">
        <f t="shared" si="12"/>
        <v>0</v>
      </c>
      <c r="AX13" s="145" t="b">
        <f t="shared" si="13"/>
        <v>1</v>
      </c>
      <c r="AY13" s="143" t="b">
        <f t="shared" si="14"/>
        <v>0</v>
      </c>
      <c r="AZ13" s="145" t="b">
        <f t="shared" si="15"/>
        <v>0</v>
      </c>
      <c r="BA13" s="453" t="b">
        <f t="shared" si="16"/>
        <v>0</v>
      </c>
      <c r="BB13" s="453" t="b">
        <f t="shared" si="17"/>
        <v>0</v>
      </c>
      <c r="BC13" s="143" t="b">
        <f t="shared" si="18"/>
        <v>0</v>
      </c>
      <c r="BD13" s="146" t="b">
        <f t="shared" si="31"/>
        <v>0</v>
      </c>
      <c r="BE13" s="145" t="b">
        <f t="shared" si="19"/>
        <v>0</v>
      </c>
      <c r="BF13" s="147" t="b">
        <f t="shared" si="20"/>
        <v>0</v>
      </c>
      <c r="BG13" s="453" t="b">
        <f t="shared" si="21"/>
        <v>1</v>
      </c>
      <c r="BH13" s="453">
        <f t="shared" si="32"/>
        <v>1</v>
      </c>
      <c r="BI13" s="453">
        <f t="shared" si="22"/>
        <v>2</v>
      </c>
      <c r="BJ13" s="453" t="str">
        <f t="shared" si="23"/>
        <v>2*</v>
      </c>
      <c r="BK13" s="453">
        <f t="shared" si="24"/>
        <v>3</v>
      </c>
      <c r="BL13" s="148">
        <f t="shared" si="33"/>
        <v>1</v>
      </c>
      <c r="BM13" s="453">
        <f t="shared" si="25"/>
        <v>2</v>
      </c>
      <c r="BN13" s="453">
        <f t="shared" si="26"/>
        <v>3</v>
      </c>
      <c r="BO13" s="155">
        <v>3</v>
      </c>
      <c r="BP13" s="156" t="s">
        <v>352</v>
      </c>
    </row>
    <row r="14" spans="2:73" s="94" customFormat="1" ht="12.95" customHeight="1" x14ac:dyDescent="0.2">
      <c r="B14" s="151">
        <f>IF(ISNA(Z14),"",IF(OR(Z14=1,Z14=2),"    ",MAX($B$8:B13)+1))</f>
        <v>4</v>
      </c>
      <c r="C14" s="904" t="str">
        <f t="shared" si="0"/>
        <v xml:space="preserve">      - Inflight Analysis/Decision Making (8.0%)</v>
      </c>
      <c r="D14" s="904"/>
      <c r="E14" s="904"/>
      <c r="F14" s="905"/>
      <c r="G14" s="133">
        <f t="shared" si="1"/>
        <v>1</v>
      </c>
      <c r="H14" s="134" t="str">
        <f t="shared" si="2"/>
        <v>2</v>
      </c>
      <c r="I14" s="152">
        <f t="shared" si="2"/>
        <v>3</v>
      </c>
      <c r="J14" s="157"/>
      <c r="K14" s="154"/>
      <c r="L14" s="1015"/>
      <c r="M14" s="1016"/>
      <c r="N14" s="1016"/>
      <c r="O14" s="1016"/>
      <c r="P14" s="1016"/>
      <c r="Q14" s="1016"/>
      <c r="R14" s="1017"/>
      <c r="T14" s="99">
        <v>7</v>
      </c>
      <c r="U14" s="88" t="s">
        <v>792</v>
      </c>
      <c r="V14" s="453">
        <v>1</v>
      </c>
      <c r="W14" s="453">
        <v>1</v>
      </c>
      <c r="X14" s="453" t="s">
        <v>340</v>
      </c>
      <c r="Y14" s="453" t="s">
        <v>340</v>
      </c>
      <c r="Z14" s="146" t="s">
        <v>340</v>
      </c>
      <c r="AA14" s="146">
        <v>2</v>
      </c>
      <c r="AB14" s="146">
        <v>1</v>
      </c>
      <c r="AC14" s="453">
        <v>3</v>
      </c>
      <c r="AD14" s="453">
        <v>2</v>
      </c>
      <c r="AE14" s="453">
        <v>0</v>
      </c>
      <c r="AF14" s="453" t="b">
        <v>1</v>
      </c>
      <c r="AG14" s="453">
        <f t="shared" si="3"/>
        <v>2</v>
      </c>
      <c r="AH14" s="453">
        <f t="shared" si="4"/>
        <v>1</v>
      </c>
      <c r="AI14" s="138">
        <f>IF(NOT(OR(Z14=1,Z14=2)),IF(AQ14&gt;0,$AR$44*AQ14/SUMIF($AQ$8:$AQ$39,"&gt;0"),IF(AU14&gt;0,$AV$44*AU14/SUMIF($AU$8:$AU$39,"&gt;0"),IF(AS14&gt;0,$AT$44*AS14/SUMIF($AS$8:$AS$39,"&gt;0"),""))),IF(SUMIF(AJ15:$AJ$39,"=" &amp; AJ14,AI15:$AI$39)=0,"",SUMIF(AJ15:$AJ$39,"=" &amp; AJ14,AI15:$AI$39)))</f>
        <v>0.08</v>
      </c>
      <c r="AJ14" s="139">
        <f t="shared" si="34"/>
        <v>2</v>
      </c>
      <c r="AK14" s="453">
        <f t="shared" si="27"/>
        <v>2</v>
      </c>
      <c r="AL14" s="146" t="str">
        <f t="shared" si="28"/>
        <v/>
      </c>
      <c r="AM14" s="146" t="str">
        <f t="shared" si="35"/>
        <v/>
      </c>
      <c r="AN14" s="146" t="str">
        <f t="shared" si="5"/>
        <v/>
      </c>
      <c r="AO14" s="146" t="str">
        <f t="shared" si="6"/>
        <v/>
      </c>
      <c r="AP14" s="453" t="b">
        <f t="shared" si="7"/>
        <v>1</v>
      </c>
      <c r="AQ14" s="140">
        <f t="shared" si="29"/>
        <v>1</v>
      </c>
      <c r="AR14" s="141" t="str">
        <f t="shared" si="8"/>
        <v/>
      </c>
      <c r="AS14" s="142">
        <f t="shared" si="30"/>
        <v>0</v>
      </c>
      <c r="AT14" s="141" t="str">
        <f t="shared" si="9"/>
        <v/>
      </c>
      <c r="AU14" s="143">
        <f t="shared" si="10"/>
        <v>0</v>
      </c>
      <c r="AV14" s="144" t="str">
        <f t="shared" si="11"/>
        <v/>
      </c>
      <c r="AW14" s="143" t="b">
        <f t="shared" si="12"/>
        <v>0</v>
      </c>
      <c r="AX14" s="145" t="b">
        <f t="shared" si="13"/>
        <v>1</v>
      </c>
      <c r="AY14" s="143" t="b">
        <f t="shared" si="14"/>
        <v>0</v>
      </c>
      <c r="AZ14" s="145" t="b">
        <f t="shared" si="15"/>
        <v>0</v>
      </c>
      <c r="BA14" s="453" t="b">
        <f t="shared" si="16"/>
        <v>0</v>
      </c>
      <c r="BB14" s="453" t="b">
        <f t="shared" si="17"/>
        <v>0</v>
      </c>
      <c r="BC14" s="143" t="b">
        <f t="shared" si="18"/>
        <v>0</v>
      </c>
      <c r="BD14" s="146" t="b">
        <f t="shared" si="31"/>
        <v>0</v>
      </c>
      <c r="BE14" s="145" t="b">
        <f t="shared" si="19"/>
        <v>0</v>
      </c>
      <c r="BF14" s="147" t="b">
        <f t="shared" si="20"/>
        <v>0</v>
      </c>
      <c r="BG14" s="453" t="b">
        <f t="shared" si="21"/>
        <v>1</v>
      </c>
      <c r="BH14" s="453">
        <f t="shared" si="32"/>
        <v>1</v>
      </c>
      <c r="BI14" s="453">
        <f t="shared" si="22"/>
        <v>2</v>
      </c>
      <c r="BJ14" s="453" t="str">
        <f t="shared" si="23"/>
        <v>2</v>
      </c>
      <c r="BK14" s="453">
        <f t="shared" si="24"/>
        <v>3</v>
      </c>
      <c r="BL14" s="148">
        <f t="shared" si="33"/>
        <v>1</v>
      </c>
      <c r="BM14" s="453">
        <f t="shared" si="25"/>
        <v>2</v>
      </c>
      <c r="BN14" s="453">
        <f t="shared" si="26"/>
        <v>3</v>
      </c>
      <c r="BO14" s="155">
        <v>4</v>
      </c>
      <c r="BP14" s="156" t="s">
        <v>354</v>
      </c>
    </row>
    <row r="15" spans="2:73" s="94" customFormat="1" ht="12.95" customHeight="1" x14ac:dyDescent="0.2">
      <c r="B15" s="151" t="str">
        <f>IF(ISNA(Z15),"",IF(OR(Z15=1,Z15=2),"    ",MAX($B$8:B14)+1))</f>
        <v xml:space="preserve">    </v>
      </c>
      <c r="C15" s="904" t="str">
        <f t="shared" si="0"/>
        <v>Stalls (16.0%)</v>
      </c>
      <c r="D15" s="904"/>
      <c r="E15" s="904"/>
      <c r="F15" s="905"/>
      <c r="G15" s="133" t="str">
        <f t="shared" si="1"/>
        <v/>
      </c>
      <c r="H15" s="134" t="str">
        <f t="shared" si="2"/>
        <v/>
      </c>
      <c r="I15" s="152" t="str">
        <f t="shared" si="2"/>
        <v/>
      </c>
      <c r="J15" s="158"/>
      <c r="K15" s="159"/>
      <c r="L15" s="1015"/>
      <c r="M15" s="1016"/>
      <c r="N15" s="1016"/>
      <c r="O15" s="1016"/>
      <c r="P15" s="1016"/>
      <c r="Q15" s="1016"/>
      <c r="R15" s="1017"/>
      <c r="T15" s="99">
        <v>8</v>
      </c>
      <c r="U15" s="88" t="s">
        <v>591</v>
      </c>
      <c r="V15" s="453" t="s">
        <v>340</v>
      </c>
      <c r="W15" s="453" t="s">
        <v>340</v>
      </c>
      <c r="X15" s="453" t="s">
        <v>340</v>
      </c>
      <c r="Y15" s="453" t="s">
        <v>340</v>
      </c>
      <c r="Z15" s="146">
        <v>2</v>
      </c>
      <c r="AA15" s="146">
        <v>1</v>
      </c>
      <c r="AB15" s="146">
        <v>1</v>
      </c>
      <c r="AC15" s="453" t="s">
        <v>340</v>
      </c>
      <c r="AD15" s="453" t="s">
        <v>340</v>
      </c>
      <c r="AE15" s="453" t="s">
        <v>340</v>
      </c>
      <c r="AF15" s="453" t="s">
        <v>340</v>
      </c>
      <c r="AG15" s="453" t="str">
        <f t="shared" si="3"/>
        <v/>
      </c>
      <c r="AH15" s="453" t="str">
        <f t="shared" si="4"/>
        <v/>
      </c>
      <c r="AI15" s="138">
        <f>IF(NOT(OR(Z15=1,Z15=2)),IF(AQ15&gt;0,$AR$44*AQ15/SUMIF($AQ$8:$AQ$39,"&gt;0"),IF(AU15&gt;0,$AV$44*AU15/SUMIF($AU$8:$AU$39,"&gt;0"),IF(AS15&gt;0,$AT$44*AS15/SUMIF($AS$8:$AS$39,"&gt;0"),""))),IF(SUMIF(AJ16:$AJ$39,"=" &amp; AJ15,AI16:$AI$39)=0,"",SUMIF(AJ16:$AJ$39,"=" &amp; AJ15,AI16:$AI$39)))</f>
        <v>0.16</v>
      </c>
      <c r="AJ15" s="139">
        <f t="shared" si="34"/>
        <v>3</v>
      </c>
      <c r="AK15" s="453" t="str">
        <f t="shared" si="27"/>
        <v/>
      </c>
      <c r="AL15" s="146" t="str">
        <f t="shared" si="28"/>
        <v/>
      </c>
      <c r="AM15" s="146" t="str">
        <f t="shared" si="35"/>
        <v/>
      </c>
      <c r="AN15" s="146" t="str">
        <f t="shared" si="5"/>
        <v/>
      </c>
      <c r="AO15" s="146" t="str">
        <f t="shared" si="6"/>
        <v/>
      </c>
      <c r="AP15" s="453" t="str">
        <f t="shared" si="7"/>
        <v/>
      </c>
      <c r="AQ15" s="140">
        <f t="shared" si="29"/>
        <v>0</v>
      </c>
      <c r="AR15" s="141" t="str">
        <f t="shared" si="8"/>
        <v/>
      </c>
      <c r="AS15" s="142">
        <f t="shared" si="30"/>
        <v>0</v>
      </c>
      <c r="AT15" s="141" t="str">
        <f t="shared" si="9"/>
        <v/>
      </c>
      <c r="AU15" s="143">
        <f t="shared" si="10"/>
        <v>0</v>
      </c>
      <c r="AV15" s="144" t="str">
        <f t="shared" si="11"/>
        <v/>
      </c>
      <c r="AW15" s="143" t="b">
        <f t="shared" si="12"/>
        <v>0</v>
      </c>
      <c r="AX15" s="145" t="b">
        <f t="shared" si="13"/>
        <v>0</v>
      </c>
      <c r="AY15" s="143" t="b">
        <f t="shared" si="14"/>
        <v>0</v>
      </c>
      <c r="AZ15" s="145" t="b">
        <f t="shared" si="15"/>
        <v>0</v>
      </c>
      <c r="BA15" s="453" t="b">
        <f t="shared" si="16"/>
        <v>0</v>
      </c>
      <c r="BB15" s="453" t="b">
        <f t="shared" si="17"/>
        <v>0</v>
      </c>
      <c r="BC15" s="143" t="b">
        <f t="shared" si="18"/>
        <v>0</v>
      </c>
      <c r="BD15" s="146" t="b">
        <f t="shared" si="31"/>
        <v>0</v>
      </c>
      <c r="BE15" s="145" t="b">
        <f t="shared" si="19"/>
        <v>0</v>
      </c>
      <c r="BF15" s="147" t="b">
        <f t="shared" si="20"/>
        <v>0</v>
      </c>
      <c r="BG15" s="453" t="b">
        <f t="shared" si="21"/>
        <v>0</v>
      </c>
      <c r="BH15" s="453" t="str">
        <f t="shared" si="32"/>
        <v/>
      </c>
      <c r="BI15" s="453" t="str">
        <f t="shared" si="22"/>
        <v/>
      </c>
      <c r="BJ15" s="453" t="str">
        <f t="shared" si="23"/>
        <v/>
      </c>
      <c r="BK15" s="453" t="str">
        <f t="shared" si="24"/>
        <v/>
      </c>
      <c r="BL15" s="148" t="str">
        <f t="shared" si="33"/>
        <v/>
      </c>
      <c r="BM15" s="453" t="str">
        <f t="shared" si="25"/>
        <v/>
      </c>
      <c r="BN15" s="453" t="str">
        <f t="shared" si="26"/>
        <v/>
      </c>
      <c r="BO15" s="90"/>
    </row>
    <row r="16" spans="2:73" s="94" customFormat="1" ht="12.95" customHeight="1" x14ac:dyDescent="0.2">
      <c r="B16" s="151">
        <f>IF(ISNA(Z16),"",IF(OR(Z16=1,Z16=2),"    ",MAX($B$8:B15)+1))</f>
        <v>5</v>
      </c>
      <c r="C16" s="904" t="str">
        <f t="shared" si="0"/>
        <v xml:space="preserve">      - Forward cg stalls (A/B/C) (8.0%)</v>
      </c>
      <c r="D16" s="904"/>
      <c r="E16" s="904"/>
      <c r="F16" s="905"/>
      <c r="G16" s="133">
        <f t="shared" si="1"/>
        <v>1</v>
      </c>
      <c r="H16" s="134" t="str">
        <f t="shared" si="2"/>
        <v>1</v>
      </c>
      <c r="I16" s="152">
        <f t="shared" si="2"/>
        <v>3</v>
      </c>
      <c r="J16" s="157"/>
      <c r="K16" s="154"/>
      <c r="L16" s="1015"/>
      <c r="M16" s="1016"/>
      <c r="N16" s="1016"/>
      <c r="O16" s="1016"/>
      <c r="P16" s="1016"/>
      <c r="Q16" s="1016"/>
      <c r="R16" s="1017"/>
      <c r="T16" s="99">
        <v>9</v>
      </c>
      <c r="U16" s="88" t="s">
        <v>592</v>
      </c>
      <c r="V16" s="453">
        <v>1</v>
      </c>
      <c r="W16" s="453">
        <v>1</v>
      </c>
      <c r="X16" s="453" t="s">
        <v>340</v>
      </c>
      <c r="Y16" s="453" t="s">
        <v>340</v>
      </c>
      <c r="Z16" s="146" t="s">
        <v>340</v>
      </c>
      <c r="AA16" s="146">
        <v>2</v>
      </c>
      <c r="AB16" s="146">
        <v>1</v>
      </c>
      <c r="AC16" s="453">
        <v>3</v>
      </c>
      <c r="AD16" s="453">
        <v>1</v>
      </c>
      <c r="AE16" s="453">
        <v>0</v>
      </c>
      <c r="AF16" s="453" t="b">
        <v>1</v>
      </c>
      <c r="AG16" s="453">
        <f t="shared" si="3"/>
        <v>1</v>
      </c>
      <c r="AH16" s="453">
        <f t="shared" si="4"/>
        <v>0</v>
      </c>
      <c r="AI16" s="138">
        <f>IF(NOT(OR(Z16=1,Z16=2)),IF(AQ16&gt;0,$AR$44*AQ16/SUMIF($AQ$8:$AQ$39,"&gt;0"),IF(AU16&gt;0,$AV$44*AU16/SUMIF($AU$8:$AU$39,"&gt;0"),IF(AS16&gt;0,$AT$44*AS16/SUMIF($AS$8:$AS$39,"&gt;0"),""))),IF(SUMIF(AJ17:$AJ$39,"=" &amp; AJ16,AI17:$AI$39)=0,"",SUMIF(AJ17:$AJ$39,"=" &amp; AJ16,AI17:$AI$39)))</f>
        <v>0.08</v>
      </c>
      <c r="AJ16" s="139">
        <f t="shared" si="34"/>
        <v>3</v>
      </c>
      <c r="AK16" s="453">
        <f t="shared" si="27"/>
        <v>1</v>
      </c>
      <c r="AL16" s="146" t="str">
        <f t="shared" si="28"/>
        <v/>
      </c>
      <c r="AM16" s="146" t="str">
        <f t="shared" si="35"/>
        <v/>
      </c>
      <c r="AN16" s="146" t="str">
        <f t="shared" si="5"/>
        <v/>
      </c>
      <c r="AO16" s="146" t="str">
        <f t="shared" si="6"/>
        <v/>
      </c>
      <c r="AP16" s="453" t="b">
        <f t="shared" si="7"/>
        <v>1</v>
      </c>
      <c r="AQ16" s="140">
        <f t="shared" si="29"/>
        <v>1</v>
      </c>
      <c r="AR16" s="141" t="str">
        <f t="shared" si="8"/>
        <v/>
      </c>
      <c r="AS16" s="142">
        <f t="shared" si="30"/>
        <v>0</v>
      </c>
      <c r="AT16" s="141" t="str">
        <f t="shared" si="9"/>
        <v/>
      </c>
      <c r="AU16" s="143">
        <f t="shared" si="10"/>
        <v>0</v>
      </c>
      <c r="AV16" s="144" t="str">
        <f t="shared" si="11"/>
        <v/>
      </c>
      <c r="AW16" s="143" t="b">
        <f t="shared" si="12"/>
        <v>0</v>
      </c>
      <c r="AX16" s="145" t="b">
        <f t="shared" si="13"/>
        <v>1</v>
      </c>
      <c r="AY16" s="143" t="b">
        <f t="shared" si="14"/>
        <v>0</v>
      </c>
      <c r="AZ16" s="145" t="b">
        <f t="shared" si="15"/>
        <v>0</v>
      </c>
      <c r="BA16" s="453" t="b">
        <f t="shared" si="16"/>
        <v>0</v>
      </c>
      <c r="BB16" s="453" t="b">
        <f t="shared" si="17"/>
        <v>0</v>
      </c>
      <c r="BC16" s="143" t="b">
        <f t="shared" si="18"/>
        <v>0</v>
      </c>
      <c r="BD16" s="146" t="b">
        <f t="shared" si="31"/>
        <v>0</v>
      </c>
      <c r="BE16" s="145" t="b">
        <f t="shared" si="19"/>
        <v>0</v>
      </c>
      <c r="BF16" s="147" t="b">
        <f t="shared" si="20"/>
        <v>0</v>
      </c>
      <c r="BG16" s="453" t="b">
        <f t="shared" si="21"/>
        <v>1</v>
      </c>
      <c r="BH16" s="453">
        <f t="shared" si="32"/>
        <v>1</v>
      </c>
      <c r="BI16" s="453">
        <f t="shared" si="22"/>
        <v>1</v>
      </c>
      <c r="BJ16" s="453" t="str">
        <f t="shared" si="23"/>
        <v>1</v>
      </c>
      <c r="BK16" s="453">
        <f t="shared" si="24"/>
        <v>3</v>
      </c>
      <c r="BL16" s="148">
        <f t="shared" si="33"/>
        <v>1</v>
      </c>
      <c r="BM16" s="453">
        <f t="shared" si="25"/>
        <v>1</v>
      </c>
      <c r="BN16" s="453">
        <f t="shared" si="26"/>
        <v>3</v>
      </c>
      <c r="BO16" s="155"/>
      <c r="BP16" s="160"/>
    </row>
    <row r="17" spans="2:73" s="94" customFormat="1" ht="12.95" customHeight="1" x14ac:dyDescent="0.2">
      <c r="B17" s="151">
        <f>IF(ISNA(Z17),"",IF(OR(Z17=1,Z17=2),"    ",MAX($B$8:B16)+1))</f>
        <v>6</v>
      </c>
      <c r="C17" s="904" t="str">
        <f t="shared" si="0"/>
        <v xml:space="preserve">      - Aft cg stalls (A/B/C) (8.0%)</v>
      </c>
      <c r="D17" s="904"/>
      <c r="E17" s="904"/>
      <c r="F17" s="905"/>
      <c r="G17" s="133">
        <f t="shared" si="1"/>
        <v>1</v>
      </c>
      <c r="H17" s="134" t="str">
        <f t="shared" si="2"/>
        <v>1</v>
      </c>
      <c r="I17" s="152">
        <f t="shared" si="2"/>
        <v>3</v>
      </c>
      <c r="J17" s="157"/>
      <c r="K17" s="154"/>
      <c r="L17" s="1015"/>
      <c r="M17" s="1016"/>
      <c r="N17" s="1016"/>
      <c r="O17" s="1016"/>
      <c r="P17" s="1016"/>
      <c r="Q17" s="1016"/>
      <c r="R17" s="1017"/>
      <c r="T17" s="99">
        <v>10</v>
      </c>
      <c r="U17" s="88" t="s">
        <v>593</v>
      </c>
      <c r="V17" s="453">
        <v>1</v>
      </c>
      <c r="W17" s="453">
        <v>1</v>
      </c>
      <c r="X17" s="453" t="s">
        <v>340</v>
      </c>
      <c r="Y17" s="453" t="s">
        <v>340</v>
      </c>
      <c r="Z17" s="146" t="s">
        <v>340</v>
      </c>
      <c r="AA17" s="146">
        <v>2</v>
      </c>
      <c r="AB17" s="146">
        <v>1</v>
      </c>
      <c r="AC17" s="453">
        <v>3</v>
      </c>
      <c r="AD17" s="453">
        <v>1</v>
      </c>
      <c r="AE17" s="453">
        <v>0</v>
      </c>
      <c r="AF17" s="453" t="b">
        <v>1</v>
      </c>
      <c r="AG17" s="453">
        <f t="shared" si="3"/>
        <v>1</v>
      </c>
      <c r="AH17" s="453">
        <f t="shared" si="4"/>
        <v>0</v>
      </c>
      <c r="AI17" s="138">
        <f>IF(NOT(OR(Z17=1,Z17=2)),IF(AQ17&gt;0,$AR$44*AQ17/SUMIF($AQ$8:$AQ$39,"&gt;0"),IF(AU17&gt;0,$AV$44*AU17/SUMIF($AU$8:$AU$39,"&gt;0"),IF(AS17&gt;0,$AT$44*AS17/SUMIF($AS$8:$AS$39,"&gt;0"),""))),IF(SUMIF(AJ18:$AJ$39,"=" &amp; AJ17,AI18:$AI$39)=0,"",SUMIF(AJ18:$AJ$39,"=" &amp; AJ17,AI18:$AI$39)))</f>
        <v>0.08</v>
      </c>
      <c r="AJ17" s="139">
        <f t="shared" si="34"/>
        <v>3</v>
      </c>
      <c r="AK17" s="453">
        <f t="shared" si="27"/>
        <v>1</v>
      </c>
      <c r="AL17" s="146" t="str">
        <f t="shared" si="28"/>
        <v/>
      </c>
      <c r="AM17" s="146" t="str">
        <f t="shared" si="35"/>
        <v/>
      </c>
      <c r="AN17" s="146" t="str">
        <f t="shared" si="5"/>
        <v/>
      </c>
      <c r="AO17" s="146" t="str">
        <f t="shared" si="6"/>
        <v/>
      </c>
      <c r="AP17" s="453" t="b">
        <f t="shared" si="7"/>
        <v>1</v>
      </c>
      <c r="AQ17" s="140">
        <f t="shared" si="29"/>
        <v>1</v>
      </c>
      <c r="AR17" s="141" t="str">
        <f t="shared" si="8"/>
        <v/>
      </c>
      <c r="AS17" s="142">
        <f t="shared" si="30"/>
        <v>0</v>
      </c>
      <c r="AT17" s="141" t="str">
        <f t="shared" si="9"/>
        <v/>
      </c>
      <c r="AU17" s="143">
        <f t="shared" si="10"/>
        <v>0</v>
      </c>
      <c r="AV17" s="144" t="str">
        <f t="shared" si="11"/>
        <v/>
      </c>
      <c r="AW17" s="143" t="b">
        <f t="shared" si="12"/>
        <v>0</v>
      </c>
      <c r="AX17" s="145" t="b">
        <f t="shared" si="13"/>
        <v>1</v>
      </c>
      <c r="AY17" s="143" t="b">
        <f t="shared" si="14"/>
        <v>0</v>
      </c>
      <c r="AZ17" s="145" t="b">
        <f t="shared" si="15"/>
        <v>0</v>
      </c>
      <c r="BA17" s="453" t="b">
        <f t="shared" si="16"/>
        <v>0</v>
      </c>
      <c r="BB17" s="453" t="b">
        <f t="shared" si="17"/>
        <v>0</v>
      </c>
      <c r="BC17" s="143" t="b">
        <f t="shared" si="18"/>
        <v>0</v>
      </c>
      <c r="BD17" s="146" t="b">
        <f t="shared" si="31"/>
        <v>0</v>
      </c>
      <c r="BE17" s="145" t="b">
        <f t="shared" si="19"/>
        <v>0</v>
      </c>
      <c r="BF17" s="147" t="b">
        <f t="shared" si="20"/>
        <v>0</v>
      </c>
      <c r="BG17" s="453" t="b">
        <f t="shared" si="21"/>
        <v>1</v>
      </c>
      <c r="BH17" s="453">
        <f t="shared" si="32"/>
        <v>1</v>
      </c>
      <c r="BI17" s="453">
        <f t="shared" si="22"/>
        <v>1</v>
      </c>
      <c r="BJ17" s="453" t="str">
        <f t="shared" si="23"/>
        <v>1</v>
      </c>
      <c r="BK17" s="453">
        <f t="shared" si="24"/>
        <v>3</v>
      </c>
      <c r="BL17" s="148">
        <f t="shared" si="33"/>
        <v>1</v>
      </c>
      <c r="BM17" s="453">
        <f t="shared" si="25"/>
        <v>1</v>
      </c>
      <c r="BN17" s="453">
        <f t="shared" si="26"/>
        <v>3</v>
      </c>
      <c r="BO17" s="90"/>
    </row>
    <row r="18" spans="2:73" s="94" customFormat="1" ht="12.95" customHeight="1" x14ac:dyDescent="0.2">
      <c r="B18" s="151" t="str">
        <f>IF(ISNA(Z18),"",IF(OR(Z18=1,Z18=2),"    ",MAX($B$8:B17)+1))</f>
        <v xml:space="preserve">    </v>
      </c>
      <c r="C18" s="904" t="str">
        <f t="shared" si="0"/>
        <v>Spins (setup, execution, recovery) (32.0%)</v>
      </c>
      <c r="D18" s="904"/>
      <c r="E18" s="904"/>
      <c r="F18" s="905"/>
      <c r="G18" s="133" t="str">
        <f t="shared" si="1"/>
        <v/>
      </c>
      <c r="H18" s="134" t="str">
        <f t="shared" si="2"/>
        <v/>
      </c>
      <c r="I18" s="152" t="str">
        <f t="shared" si="2"/>
        <v/>
      </c>
      <c r="J18" s="158"/>
      <c r="K18" s="159"/>
      <c r="L18" s="1015"/>
      <c r="M18" s="1016"/>
      <c r="N18" s="1016"/>
      <c r="O18" s="1016"/>
      <c r="P18" s="1016"/>
      <c r="Q18" s="1016"/>
      <c r="R18" s="1017"/>
      <c r="T18" s="99">
        <v>11</v>
      </c>
      <c r="U18" s="88" t="s">
        <v>594</v>
      </c>
      <c r="V18" s="453" t="s">
        <v>340</v>
      </c>
      <c r="W18" s="453" t="s">
        <v>340</v>
      </c>
      <c r="X18" s="453" t="s">
        <v>340</v>
      </c>
      <c r="Y18" s="453" t="s">
        <v>340</v>
      </c>
      <c r="Z18" s="146">
        <v>2</v>
      </c>
      <c r="AA18" s="146">
        <v>1</v>
      </c>
      <c r="AB18" s="146">
        <v>1</v>
      </c>
      <c r="AC18" s="453" t="s">
        <v>340</v>
      </c>
      <c r="AD18" s="453" t="s">
        <v>340</v>
      </c>
      <c r="AE18" s="453" t="s">
        <v>340</v>
      </c>
      <c r="AF18" s="453" t="s">
        <v>340</v>
      </c>
      <c r="AG18" s="453" t="str">
        <f t="shared" si="3"/>
        <v/>
      </c>
      <c r="AH18" s="453" t="str">
        <f t="shared" si="4"/>
        <v/>
      </c>
      <c r="AI18" s="138">
        <f>IF(NOT(OR(Z18=1,Z18=2)),IF(AQ18&gt;0,$AR$44*AQ18/SUMIF($AQ$8:$AQ$39,"&gt;0"),IF(AU18&gt;0,$AV$44*AU18/SUMIF($AU$8:$AU$39,"&gt;0"),IF(AS18&gt;0,$AT$44*AS18/SUMIF($AS$8:$AS$39,"&gt;0"),""))),IF(SUMIF(AJ19:$AJ$39,"=" &amp; AJ18,AI19:$AI$39)=0,"",SUMIF(AJ19:$AJ$39,"=" &amp; AJ18,AI19:$AI$39)))</f>
        <v>0.32</v>
      </c>
      <c r="AJ18" s="139">
        <f t="shared" si="34"/>
        <v>4</v>
      </c>
      <c r="AK18" s="453" t="str">
        <f t="shared" si="27"/>
        <v/>
      </c>
      <c r="AL18" s="146" t="str">
        <f t="shared" si="28"/>
        <v/>
      </c>
      <c r="AM18" s="146" t="str">
        <f t="shared" si="35"/>
        <v/>
      </c>
      <c r="AN18" s="146" t="str">
        <f t="shared" si="5"/>
        <v/>
      </c>
      <c r="AO18" s="146" t="str">
        <f t="shared" si="6"/>
        <v/>
      </c>
      <c r="AP18" s="453" t="str">
        <f t="shared" si="7"/>
        <v/>
      </c>
      <c r="AQ18" s="140">
        <f t="shared" si="29"/>
        <v>0</v>
      </c>
      <c r="AR18" s="141" t="str">
        <f t="shared" si="8"/>
        <v/>
      </c>
      <c r="AS18" s="142">
        <f t="shared" si="30"/>
        <v>0</v>
      </c>
      <c r="AT18" s="141" t="str">
        <f t="shared" si="9"/>
        <v/>
      </c>
      <c r="AU18" s="143">
        <f t="shared" si="10"/>
        <v>0</v>
      </c>
      <c r="AV18" s="144" t="str">
        <f t="shared" si="11"/>
        <v/>
      </c>
      <c r="AW18" s="143" t="b">
        <f t="shared" si="12"/>
        <v>0</v>
      </c>
      <c r="AX18" s="145" t="b">
        <f t="shared" si="13"/>
        <v>0</v>
      </c>
      <c r="AY18" s="143" t="b">
        <f t="shared" si="14"/>
        <v>0</v>
      </c>
      <c r="AZ18" s="145" t="b">
        <f t="shared" si="15"/>
        <v>0</v>
      </c>
      <c r="BA18" s="453" t="b">
        <f t="shared" si="16"/>
        <v>0</v>
      </c>
      <c r="BB18" s="453" t="b">
        <f t="shared" si="17"/>
        <v>0</v>
      </c>
      <c r="BC18" s="143" t="b">
        <f t="shared" si="18"/>
        <v>0</v>
      </c>
      <c r="BD18" s="146" t="b">
        <f t="shared" si="31"/>
        <v>0</v>
      </c>
      <c r="BE18" s="145" t="b">
        <f t="shared" si="19"/>
        <v>0</v>
      </c>
      <c r="BF18" s="147" t="b">
        <f t="shared" si="20"/>
        <v>0</v>
      </c>
      <c r="BG18" s="453" t="b">
        <f t="shared" si="21"/>
        <v>0</v>
      </c>
      <c r="BH18" s="453" t="str">
        <f t="shared" si="32"/>
        <v/>
      </c>
      <c r="BI18" s="453" t="str">
        <f t="shared" si="22"/>
        <v/>
      </c>
      <c r="BJ18" s="453" t="str">
        <f t="shared" si="23"/>
        <v/>
      </c>
      <c r="BK18" s="453" t="str">
        <f t="shared" si="24"/>
        <v/>
      </c>
      <c r="BL18" s="148" t="str">
        <f t="shared" si="33"/>
        <v/>
      </c>
      <c r="BM18" s="453" t="str">
        <f t="shared" si="25"/>
        <v/>
      </c>
      <c r="BN18" s="453" t="str">
        <f t="shared" si="26"/>
        <v/>
      </c>
      <c r="BO18" s="300"/>
      <c r="BP18" s="160" t="s">
        <v>355</v>
      </c>
      <c r="BQ18" s="161"/>
      <c r="BR18" s="161"/>
      <c r="BS18" s="161"/>
      <c r="BT18" s="161"/>
      <c r="BU18" s="161"/>
    </row>
    <row r="19" spans="2:73" s="94" customFormat="1" ht="12.95" customHeight="1" x14ac:dyDescent="0.2">
      <c r="B19" s="151">
        <f>IF(ISNA(Z19),"",IF(OR(Z19=1,Z19=2),"    ",MAX($B$8:B18)+1))</f>
        <v>7</v>
      </c>
      <c r="C19" s="904" t="str">
        <f t="shared" si="0"/>
        <v xml:space="preserve">      - Rudder Only Recovery (8.0%)</v>
      </c>
      <c r="D19" s="904"/>
      <c r="E19" s="904"/>
      <c r="F19" s="905"/>
      <c r="G19" s="133">
        <f t="shared" si="1"/>
        <v>1</v>
      </c>
      <c r="H19" s="134" t="str">
        <f t="shared" si="2"/>
        <v>1</v>
      </c>
      <c r="I19" s="152">
        <f t="shared" si="2"/>
        <v>3</v>
      </c>
      <c r="J19" s="157"/>
      <c r="K19" s="154"/>
      <c r="L19" s="1015"/>
      <c r="M19" s="1016"/>
      <c r="N19" s="1016"/>
      <c r="O19" s="1016"/>
      <c r="P19" s="1016"/>
      <c r="Q19" s="1016"/>
      <c r="R19" s="1017"/>
      <c r="T19" s="99">
        <v>12</v>
      </c>
      <c r="U19" s="88" t="s">
        <v>595</v>
      </c>
      <c r="V19" s="453">
        <v>1</v>
      </c>
      <c r="W19" s="453">
        <v>1</v>
      </c>
      <c r="X19" s="453" t="s">
        <v>340</v>
      </c>
      <c r="Y19" s="453" t="s">
        <v>340</v>
      </c>
      <c r="Z19" s="146" t="s">
        <v>340</v>
      </c>
      <c r="AA19" s="146">
        <v>2</v>
      </c>
      <c r="AB19" s="146">
        <v>1</v>
      </c>
      <c r="AC19" s="453">
        <v>3</v>
      </c>
      <c r="AD19" s="453">
        <v>1</v>
      </c>
      <c r="AE19" s="453">
        <v>0</v>
      </c>
      <c r="AF19" s="453" t="b">
        <v>1</v>
      </c>
      <c r="AG19" s="453">
        <f t="shared" si="3"/>
        <v>1</v>
      </c>
      <c r="AH19" s="453">
        <f t="shared" si="4"/>
        <v>0</v>
      </c>
      <c r="AI19" s="138">
        <f>IF(NOT(OR(Z19=1,Z19=2)),IF(AQ19&gt;0,$AR$44*AQ19/SUMIF($AQ$8:$AQ$39,"&gt;0"),IF(AU19&gt;0,$AV$44*AU19/SUMIF($AU$8:$AU$39,"&gt;0"),IF(AS19&gt;0,$AT$44*AS19/SUMIF($AS$8:$AS$39,"&gt;0"),""))),IF(SUMIF(AJ20:$AJ$39,"=" &amp; AJ19,AI20:$AI$39)=0,"",SUMIF(AJ20:$AJ$39,"=" &amp; AJ19,AI20:$AI$39)))</f>
        <v>0.08</v>
      </c>
      <c r="AJ19" s="139">
        <f t="shared" si="34"/>
        <v>4</v>
      </c>
      <c r="AK19" s="453">
        <f t="shared" si="27"/>
        <v>1</v>
      </c>
      <c r="AL19" s="146" t="str">
        <f t="shared" si="28"/>
        <v/>
      </c>
      <c r="AM19" s="146" t="str">
        <f t="shared" si="35"/>
        <v/>
      </c>
      <c r="AN19" s="146" t="str">
        <f t="shared" si="5"/>
        <v/>
      </c>
      <c r="AO19" s="146" t="str">
        <f t="shared" si="6"/>
        <v/>
      </c>
      <c r="AP19" s="453" t="b">
        <f t="shared" si="7"/>
        <v>1</v>
      </c>
      <c r="AQ19" s="140">
        <f t="shared" si="29"/>
        <v>1</v>
      </c>
      <c r="AR19" s="141" t="str">
        <f t="shared" si="8"/>
        <v/>
      </c>
      <c r="AS19" s="142">
        <f t="shared" si="30"/>
        <v>0</v>
      </c>
      <c r="AT19" s="141" t="str">
        <f t="shared" si="9"/>
        <v/>
      </c>
      <c r="AU19" s="143">
        <f t="shared" si="10"/>
        <v>0</v>
      </c>
      <c r="AV19" s="144" t="str">
        <f t="shared" si="11"/>
        <v/>
      </c>
      <c r="AW19" s="143" t="b">
        <f t="shared" si="12"/>
        <v>0</v>
      </c>
      <c r="AX19" s="145" t="b">
        <f t="shared" si="13"/>
        <v>1</v>
      </c>
      <c r="AY19" s="143" t="b">
        <f t="shared" si="14"/>
        <v>0</v>
      </c>
      <c r="AZ19" s="145" t="b">
        <f t="shared" si="15"/>
        <v>0</v>
      </c>
      <c r="BA19" s="453" t="b">
        <f t="shared" si="16"/>
        <v>0</v>
      </c>
      <c r="BB19" s="453" t="b">
        <f t="shared" si="17"/>
        <v>0</v>
      </c>
      <c r="BC19" s="143" t="b">
        <f t="shared" si="18"/>
        <v>0</v>
      </c>
      <c r="BD19" s="146" t="b">
        <f t="shared" si="31"/>
        <v>0</v>
      </c>
      <c r="BE19" s="145" t="b">
        <f t="shared" si="19"/>
        <v>0</v>
      </c>
      <c r="BF19" s="147" t="b">
        <f t="shared" si="20"/>
        <v>0</v>
      </c>
      <c r="BG19" s="453" t="b">
        <f t="shared" si="21"/>
        <v>1</v>
      </c>
      <c r="BH19" s="453">
        <f t="shared" si="32"/>
        <v>1</v>
      </c>
      <c r="BI19" s="453">
        <f t="shared" si="22"/>
        <v>1</v>
      </c>
      <c r="BJ19" s="453" t="str">
        <f t="shared" si="23"/>
        <v>1</v>
      </c>
      <c r="BK19" s="453">
        <f t="shared" si="24"/>
        <v>3</v>
      </c>
      <c r="BL19" s="148">
        <f t="shared" si="33"/>
        <v>1</v>
      </c>
      <c r="BM19" s="453">
        <f t="shared" si="25"/>
        <v>1</v>
      </c>
      <c r="BN19" s="453">
        <f t="shared" si="26"/>
        <v>3</v>
      </c>
      <c r="BO19" s="300"/>
      <c r="BP19" s="150"/>
      <c r="BQ19" s="935" t="s">
        <v>356</v>
      </c>
      <c r="BR19" s="935"/>
      <c r="BS19" s="935"/>
      <c r="BT19" s="935"/>
      <c r="BU19" s="935"/>
    </row>
    <row r="20" spans="2:73" s="94" customFormat="1" ht="12.95" customHeight="1" x14ac:dyDescent="0.2">
      <c r="B20" s="151">
        <f>IF(ISNA(Z20),"",IF(OR(Z20=1,Z20=2),"    ",MAX($B$8:B19)+1))</f>
        <v>8</v>
      </c>
      <c r="C20" s="904" t="str">
        <f t="shared" si="0"/>
        <v xml:space="preserve">      - Flight Manual Recovery (8.0%)</v>
      </c>
      <c r="D20" s="904"/>
      <c r="E20" s="904"/>
      <c r="F20" s="905"/>
      <c r="G20" s="133">
        <f t="shared" si="1"/>
        <v>1</v>
      </c>
      <c r="H20" s="134" t="str">
        <f t="shared" si="2"/>
        <v>1</v>
      </c>
      <c r="I20" s="152">
        <f t="shared" si="2"/>
        <v>3</v>
      </c>
      <c r="J20" s="157"/>
      <c r="K20" s="154"/>
      <c r="L20" s="1015"/>
      <c r="M20" s="1016"/>
      <c r="N20" s="1016"/>
      <c r="O20" s="1016"/>
      <c r="P20" s="1016"/>
      <c r="Q20" s="1016"/>
      <c r="R20" s="1017"/>
      <c r="T20" s="99">
        <v>13</v>
      </c>
      <c r="U20" s="88" t="s">
        <v>596</v>
      </c>
      <c r="V20" s="453">
        <v>1</v>
      </c>
      <c r="W20" s="453">
        <v>1</v>
      </c>
      <c r="X20" s="453" t="s">
        <v>340</v>
      </c>
      <c r="Y20" s="453" t="s">
        <v>340</v>
      </c>
      <c r="Z20" s="146" t="s">
        <v>340</v>
      </c>
      <c r="AA20" s="146">
        <v>2</v>
      </c>
      <c r="AB20" s="146">
        <v>1</v>
      </c>
      <c r="AC20" s="453">
        <v>3</v>
      </c>
      <c r="AD20" s="453">
        <v>1</v>
      </c>
      <c r="AE20" s="453">
        <v>0</v>
      </c>
      <c r="AF20" s="453" t="b">
        <v>1</v>
      </c>
      <c r="AG20" s="453">
        <f t="shared" si="3"/>
        <v>1</v>
      </c>
      <c r="AH20" s="453">
        <f t="shared" si="4"/>
        <v>0</v>
      </c>
      <c r="AI20" s="138">
        <f>IF(NOT(OR(Z20=1,Z20=2)),IF(AQ20&gt;0,$AR$44*AQ20/SUMIF($AQ$8:$AQ$39,"&gt;0"),IF(AU20&gt;0,$AV$44*AU20/SUMIF($AU$8:$AU$39,"&gt;0"),IF(AS20&gt;0,$AT$44*AS20/SUMIF($AS$8:$AS$39,"&gt;0"),""))),IF(SUMIF(AJ21:$AJ$39,"=" &amp; AJ20,AI21:$AI$39)=0,"",SUMIF(AJ21:$AJ$39,"=" &amp; AJ20,AI21:$AI$39)))</f>
        <v>0.08</v>
      </c>
      <c r="AJ20" s="139">
        <f t="shared" si="34"/>
        <v>4</v>
      </c>
      <c r="AK20" s="453">
        <f t="shared" si="27"/>
        <v>1</v>
      </c>
      <c r="AL20" s="146" t="str">
        <f t="shared" si="28"/>
        <v/>
      </c>
      <c r="AM20" s="146" t="str">
        <f t="shared" si="35"/>
        <v/>
      </c>
      <c r="AN20" s="146" t="str">
        <f t="shared" si="5"/>
        <v/>
      </c>
      <c r="AO20" s="146" t="str">
        <f t="shared" si="6"/>
        <v/>
      </c>
      <c r="AP20" s="453" t="b">
        <f t="shared" si="7"/>
        <v>1</v>
      </c>
      <c r="AQ20" s="140">
        <f t="shared" si="29"/>
        <v>1</v>
      </c>
      <c r="AR20" s="141" t="str">
        <f t="shared" si="8"/>
        <v/>
      </c>
      <c r="AS20" s="142">
        <f t="shared" si="30"/>
        <v>0</v>
      </c>
      <c r="AT20" s="141" t="str">
        <f t="shared" si="9"/>
        <v/>
      </c>
      <c r="AU20" s="143">
        <f t="shared" si="10"/>
        <v>0</v>
      </c>
      <c r="AV20" s="144" t="str">
        <f t="shared" si="11"/>
        <v/>
      </c>
      <c r="AW20" s="143" t="b">
        <f t="shared" si="12"/>
        <v>0</v>
      </c>
      <c r="AX20" s="145" t="b">
        <f t="shared" si="13"/>
        <v>1</v>
      </c>
      <c r="AY20" s="143" t="b">
        <f t="shared" si="14"/>
        <v>0</v>
      </c>
      <c r="AZ20" s="145" t="b">
        <f t="shared" si="15"/>
        <v>0</v>
      </c>
      <c r="BA20" s="453" t="b">
        <f t="shared" si="16"/>
        <v>0</v>
      </c>
      <c r="BB20" s="453" t="b">
        <f t="shared" si="17"/>
        <v>0</v>
      </c>
      <c r="BC20" s="143" t="b">
        <f t="shared" si="18"/>
        <v>0</v>
      </c>
      <c r="BD20" s="146" t="b">
        <f t="shared" si="31"/>
        <v>0</v>
      </c>
      <c r="BE20" s="145" t="b">
        <f t="shared" si="19"/>
        <v>0</v>
      </c>
      <c r="BF20" s="147" t="b">
        <f t="shared" si="20"/>
        <v>0</v>
      </c>
      <c r="BG20" s="453" t="b">
        <f t="shared" si="21"/>
        <v>1</v>
      </c>
      <c r="BH20" s="453">
        <f t="shared" si="32"/>
        <v>1</v>
      </c>
      <c r="BI20" s="453">
        <f t="shared" si="22"/>
        <v>1</v>
      </c>
      <c r="BJ20" s="453" t="str">
        <f t="shared" si="23"/>
        <v>1</v>
      </c>
      <c r="BK20" s="453">
        <f t="shared" si="24"/>
        <v>3</v>
      </c>
      <c r="BL20" s="148">
        <f t="shared" si="33"/>
        <v>1</v>
      </c>
      <c r="BM20" s="453">
        <f t="shared" si="25"/>
        <v>1</v>
      </c>
      <c r="BN20" s="453">
        <f t="shared" si="26"/>
        <v>3</v>
      </c>
      <c r="BO20" s="300"/>
      <c r="BP20" s="300"/>
      <c r="BQ20" s="300">
        <v>0</v>
      </c>
      <c r="BR20" s="300">
        <v>1</v>
      </c>
      <c r="BS20" s="300">
        <v>2</v>
      </c>
      <c r="BT20" s="300">
        <v>3</v>
      </c>
      <c r="BU20" s="300">
        <v>4</v>
      </c>
    </row>
    <row r="21" spans="2:73" s="94" customFormat="1" ht="12.95" customHeight="1" x14ac:dyDescent="0.2">
      <c r="B21" s="151">
        <f>IF(ISNA(Z21),"",IF(OR(Z21=1,Z21=2),"    ",MAX($B$8:B20)+1))</f>
        <v>9</v>
      </c>
      <c r="C21" s="904" t="str">
        <f t="shared" si="0"/>
        <v xml:space="preserve">      - NASA Modified Recovery (8.0%)</v>
      </c>
      <c r="D21" s="904"/>
      <c r="E21" s="904"/>
      <c r="F21" s="905"/>
      <c r="G21" s="133">
        <f t="shared" si="1"/>
        <v>1</v>
      </c>
      <c r="H21" s="134" t="str">
        <f t="shared" si="2"/>
        <v>1</v>
      </c>
      <c r="I21" s="152">
        <f t="shared" si="2"/>
        <v>3</v>
      </c>
      <c r="J21" s="157"/>
      <c r="K21" s="154"/>
      <c r="L21" s="1015"/>
      <c r="M21" s="1016"/>
      <c r="N21" s="1016"/>
      <c r="O21" s="1016"/>
      <c r="P21" s="1016"/>
      <c r="Q21" s="1016"/>
      <c r="R21" s="1017"/>
      <c r="T21" s="99">
        <v>14</v>
      </c>
      <c r="U21" s="88" t="s">
        <v>597</v>
      </c>
      <c r="V21" s="453">
        <v>1</v>
      </c>
      <c r="W21" s="453">
        <v>1</v>
      </c>
      <c r="X21" s="453" t="s">
        <v>340</v>
      </c>
      <c r="Y21" s="453" t="s">
        <v>340</v>
      </c>
      <c r="Z21" s="146" t="s">
        <v>340</v>
      </c>
      <c r="AA21" s="146">
        <v>2</v>
      </c>
      <c r="AB21" s="146">
        <v>1</v>
      </c>
      <c r="AC21" s="453">
        <v>3</v>
      </c>
      <c r="AD21" s="453">
        <v>1</v>
      </c>
      <c r="AE21" s="453">
        <v>0</v>
      </c>
      <c r="AF21" s="453" t="b">
        <v>1</v>
      </c>
      <c r="AG21" s="453">
        <f t="shared" si="3"/>
        <v>1</v>
      </c>
      <c r="AH21" s="453">
        <f t="shared" si="4"/>
        <v>0</v>
      </c>
      <c r="AI21" s="138">
        <f>IF(NOT(OR(Z21=1,Z21=2)),IF(AQ21&gt;0,$AR$44*AQ21/SUMIF($AQ$8:$AQ$39,"&gt;0"),IF(AU21&gt;0,$AV$44*AU21/SUMIF($AU$8:$AU$39,"&gt;0"),IF(AS21&gt;0,$AT$44*AS21/SUMIF($AS$8:$AS$39,"&gt;0"),""))),IF(SUMIF(AJ22:$AJ$39,"=" &amp; AJ21,AI22:$AI$39)=0,"",SUMIF(AJ22:$AJ$39,"=" &amp; AJ21,AI22:$AI$39)))</f>
        <v>0.08</v>
      </c>
      <c r="AJ21" s="139">
        <f t="shared" si="34"/>
        <v>4</v>
      </c>
      <c r="AK21" s="453">
        <f t="shared" si="27"/>
        <v>1</v>
      </c>
      <c r="AL21" s="146" t="str">
        <f t="shared" si="28"/>
        <v/>
      </c>
      <c r="AM21" s="146" t="str">
        <f t="shared" si="35"/>
        <v/>
      </c>
      <c r="AN21" s="146" t="str">
        <f t="shared" si="5"/>
        <v/>
      </c>
      <c r="AO21" s="146" t="str">
        <f t="shared" si="6"/>
        <v/>
      </c>
      <c r="AP21" s="453" t="b">
        <f t="shared" si="7"/>
        <v>1</v>
      </c>
      <c r="AQ21" s="140">
        <f t="shared" si="29"/>
        <v>1</v>
      </c>
      <c r="AR21" s="141" t="str">
        <f t="shared" si="8"/>
        <v/>
      </c>
      <c r="AS21" s="142">
        <f t="shared" si="30"/>
        <v>0</v>
      </c>
      <c r="AT21" s="141" t="str">
        <f t="shared" si="9"/>
        <v/>
      </c>
      <c r="AU21" s="143">
        <f t="shared" si="10"/>
        <v>0</v>
      </c>
      <c r="AV21" s="144" t="str">
        <f t="shared" si="11"/>
        <v/>
      </c>
      <c r="AW21" s="143" t="b">
        <f t="shared" si="12"/>
        <v>0</v>
      </c>
      <c r="AX21" s="145" t="b">
        <f t="shared" si="13"/>
        <v>1</v>
      </c>
      <c r="AY21" s="143" t="b">
        <f t="shared" si="14"/>
        <v>0</v>
      </c>
      <c r="AZ21" s="145" t="b">
        <f t="shared" si="15"/>
        <v>0</v>
      </c>
      <c r="BA21" s="453" t="b">
        <f t="shared" si="16"/>
        <v>0</v>
      </c>
      <c r="BB21" s="453" t="b">
        <f t="shared" si="17"/>
        <v>0</v>
      </c>
      <c r="BC21" s="143" t="b">
        <f t="shared" si="18"/>
        <v>0</v>
      </c>
      <c r="BD21" s="146" t="b">
        <f t="shared" si="31"/>
        <v>0</v>
      </c>
      <c r="BE21" s="145" t="b">
        <f t="shared" si="19"/>
        <v>0</v>
      </c>
      <c r="BF21" s="147" t="b">
        <f t="shared" si="20"/>
        <v>0</v>
      </c>
      <c r="BG21" s="453" t="b">
        <f t="shared" si="21"/>
        <v>1</v>
      </c>
      <c r="BH21" s="453">
        <f t="shared" si="32"/>
        <v>1</v>
      </c>
      <c r="BI21" s="453">
        <f t="shared" si="22"/>
        <v>1</v>
      </c>
      <c r="BJ21" s="453" t="str">
        <f t="shared" si="23"/>
        <v>1</v>
      </c>
      <c r="BK21" s="453">
        <f t="shared" si="24"/>
        <v>3</v>
      </c>
      <c r="BL21" s="148">
        <f t="shared" si="33"/>
        <v>1</v>
      </c>
      <c r="BM21" s="453">
        <f t="shared" si="25"/>
        <v>1</v>
      </c>
      <c r="BN21" s="453">
        <f t="shared" si="26"/>
        <v>3</v>
      </c>
      <c r="BO21" s="936" t="s">
        <v>358</v>
      </c>
      <c r="BP21" s="300" t="s">
        <v>359</v>
      </c>
      <c r="BQ21" s="162">
        <f t="shared" ref="BQ21:BU29" si="36">AR50</f>
        <v>0.7</v>
      </c>
      <c r="BR21" s="163">
        <f t="shared" si="36"/>
        <v>0.9</v>
      </c>
      <c r="BS21" s="163">
        <f t="shared" si="36"/>
        <v>0.93330000000000002</v>
      </c>
      <c r="BT21" s="163">
        <f t="shared" si="36"/>
        <v>0.9667</v>
      </c>
      <c r="BU21" s="164">
        <f t="shared" si="36"/>
        <v>1</v>
      </c>
    </row>
    <row r="22" spans="2:73" s="94" customFormat="1" ht="12.95" customHeight="1" x14ac:dyDescent="0.2">
      <c r="B22" s="151">
        <f>IF(ISNA(Z22),"",IF(OR(Z22=1,Z22=2),"    ",MAX($B$8:B21)+1))</f>
        <v>10</v>
      </c>
      <c r="C22" s="904" t="str">
        <f t="shared" si="0"/>
        <v xml:space="preserve">      - Aileron Effects Demo (8.0%)</v>
      </c>
      <c r="D22" s="904"/>
      <c r="E22" s="904"/>
      <c r="F22" s="905"/>
      <c r="G22" s="133">
        <f t="shared" si="1"/>
        <v>1</v>
      </c>
      <c r="H22" s="134" t="str">
        <f t="shared" si="2"/>
        <v>1</v>
      </c>
      <c r="I22" s="152">
        <f t="shared" si="2"/>
        <v>3</v>
      </c>
      <c r="J22" s="157"/>
      <c r="K22" s="154"/>
      <c r="L22" s="1015"/>
      <c r="M22" s="1016"/>
      <c r="N22" s="1016"/>
      <c r="O22" s="1016"/>
      <c r="P22" s="1016"/>
      <c r="Q22" s="1016"/>
      <c r="R22" s="1017"/>
      <c r="T22" s="99">
        <v>15</v>
      </c>
      <c r="U22" s="88" t="s">
        <v>598</v>
      </c>
      <c r="V22" s="453">
        <v>1</v>
      </c>
      <c r="W22" s="453">
        <v>1</v>
      </c>
      <c r="X22" s="453" t="s">
        <v>340</v>
      </c>
      <c r="Y22" s="453" t="s">
        <v>340</v>
      </c>
      <c r="Z22" s="146" t="s">
        <v>340</v>
      </c>
      <c r="AA22" s="146">
        <v>2</v>
      </c>
      <c r="AB22" s="146">
        <v>1</v>
      </c>
      <c r="AC22" s="453">
        <v>3</v>
      </c>
      <c r="AD22" s="453">
        <v>1</v>
      </c>
      <c r="AE22" s="453">
        <v>0</v>
      </c>
      <c r="AF22" s="453" t="b">
        <v>1</v>
      </c>
      <c r="AG22" s="453">
        <f t="shared" si="3"/>
        <v>1</v>
      </c>
      <c r="AH22" s="453">
        <f t="shared" si="4"/>
        <v>0</v>
      </c>
      <c r="AI22" s="138">
        <f>IF(NOT(OR(Z22=1,Z22=2)),IF(AQ22&gt;0,$AR$44*AQ22/SUMIF($AQ$8:$AQ$39,"&gt;0"),IF(AU22&gt;0,$AV$44*AU22/SUMIF($AU$8:$AU$39,"&gt;0"),IF(AS22&gt;0,$AT$44*AS22/SUMIF($AS$8:$AS$39,"&gt;0"),""))),IF(SUMIF(AJ23:$AJ$39,"=" &amp; AJ22,AI23:$AI$39)=0,"",SUMIF(AJ23:$AJ$39,"=" &amp; AJ22,AI23:$AI$39)))</f>
        <v>0.08</v>
      </c>
      <c r="AJ22" s="139">
        <f t="shared" si="34"/>
        <v>4</v>
      </c>
      <c r="AK22" s="453">
        <f t="shared" si="27"/>
        <v>1</v>
      </c>
      <c r="AL22" s="146" t="str">
        <f t="shared" si="28"/>
        <v/>
      </c>
      <c r="AM22" s="146" t="str">
        <f t="shared" si="35"/>
        <v/>
      </c>
      <c r="AN22" s="146" t="str">
        <f t="shared" si="5"/>
        <v/>
      </c>
      <c r="AO22" s="146" t="str">
        <f t="shared" si="6"/>
        <v/>
      </c>
      <c r="AP22" s="453" t="b">
        <f t="shared" si="7"/>
        <v>1</v>
      </c>
      <c r="AQ22" s="140">
        <f t="shared" si="29"/>
        <v>1</v>
      </c>
      <c r="AR22" s="141" t="str">
        <f t="shared" si="8"/>
        <v/>
      </c>
      <c r="AS22" s="142">
        <f t="shared" si="30"/>
        <v>0</v>
      </c>
      <c r="AT22" s="141" t="str">
        <f t="shared" si="9"/>
        <v/>
      </c>
      <c r="AU22" s="143">
        <f t="shared" si="10"/>
        <v>0</v>
      </c>
      <c r="AV22" s="144" t="str">
        <f t="shared" si="11"/>
        <v/>
      </c>
      <c r="AW22" s="143" t="b">
        <f t="shared" si="12"/>
        <v>0</v>
      </c>
      <c r="AX22" s="145" t="b">
        <f t="shared" si="13"/>
        <v>1</v>
      </c>
      <c r="AY22" s="143" t="b">
        <f t="shared" si="14"/>
        <v>0</v>
      </c>
      <c r="AZ22" s="145" t="b">
        <f t="shared" si="15"/>
        <v>0</v>
      </c>
      <c r="BA22" s="453" t="b">
        <f t="shared" si="16"/>
        <v>0</v>
      </c>
      <c r="BB22" s="453" t="b">
        <f t="shared" si="17"/>
        <v>0</v>
      </c>
      <c r="BC22" s="143" t="b">
        <f t="shared" si="18"/>
        <v>0</v>
      </c>
      <c r="BD22" s="146" t="b">
        <f t="shared" si="31"/>
        <v>0</v>
      </c>
      <c r="BE22" s="145" t="b">
        <f>IF(OR(ISNA($Z22),K22&lt;&gt;"D"),FALSE,IF(OR(AND(H22="NG",J22=0),AND(H22&lt;&gt;"NG",NOT(OR(J22="NA",J22=0)))),TRUE,FALSE))</f>
        <v>0</v>
      </c>
      <c r="BF22" s="147" t="b">
        <f t="shared" si="20"/>
        <v>0</v>
      </c>
      <c r="BG22" s="453" t="b">
        <f>IF(ISNA($Z22),"NA",IF(OR(AZ22,AY22,AX22,AW22,AP22,BA22,BB22),TRUE,FALSE))</f>
        <v>1</v>
      </c>
      <c r="BH22" s="453">
        <f t="shared" si="32"/>
        <v>1</v>
      </c>
      <c r="BI22" s="453">
        <f t="shared" si="22"/>
        <v>1</v>
      </c>
      <c r="BJ22" s="453" t="str">
        <f t="shared" si="23"/>
        <v>1</v>
      </c>
      <c r="BK22" s="453">
        <f t="shared" si="24"/>
        <v>3</v>
      </c>
      <c r="BL22" s="148">
        <f t="shared" si="33"/>
        <v>1</v>
      </c>
      <c r="BM22" s="453">
        <f t="shared" si="25"/>
        <v>1</v>
      </c>
      <c r="BN22" s="453">
        <f t="shared" si="26"/>
        <v>3</v>
      </c>
      <c r="BO22" s="936"/>
      <c r="BP22" s="300" t="s">
        <v>360</v>
      </c>
      <c r="BQ22" s="165">
        <f t="shared" si="36"/>
        <v>0.7</v>
      </c>
      <c r="BR22" s="166">
        <f t="shared" si="36"/>
        <v>0.8</v>
      </c>
      <c r="BS22" s="166">
        <f t="shared" si="36"/>
        <v>0.9</v>
      </c>
      <c r="BT22" s="166">
        <f t="shared" si="36"/>
        <v>0.95</v>
      </c>
      <c r="BU22" s="167">
        <f t="shared" si="36"/>
        <v>1</v>
      </c>
    </row>
    <row r="23" spans="2:73" s="94" customFormat="1" ht="12.95" customHeight="1" x14ac:dyDescent="0.2">
      <c r="B23" s="151" t="str">
        <f>IF(ISNA(Z23),"",IF(OR(Z23=1,Z23=2),"    ",MAX($B$8:B22)+1))</f>
        <v/>
      </c>
      <c r="C23" s="904" t="str">
        <f t="shared" si="0"/>
        <v/>
      </c>
      <c r="D23" s="904"/>
      <c r="E23" s="904"/>
      <c r="F23" s="905"/>
      <c r="G23" s="133" t="str">
        <f t="shared" si="1"/>
        <v/>
      </c>
      <c r="H23" s="134" t="str">
        <f t="shared" si="2"/>
        <v/>
      </c>
      <c r="I23" s="152" t="str">
        <f t="shared" si="2"/>
        <v/>
      </c>
      <c r="J23" s="158"/>
      <c r="K23" s="159"/>
      <c r="L23" s="1015"/>
      <c r="M23" s="1016"/>
      <c r="N23" s="1016"/>
      <c r="O23" s="1016"/>
      <c r="P23" s="1016"/>
      <c r="Q23" s="1016"/>
      <c r="R23" s="1017"/>
      <c r="T23" s="99">
        <v>16</v>
      </c>
      <c r="U23" s="88" t="e">
        <v>#N/A</v>
      </c>
      <c r="V23" s="453" t="e">
        <v>#N/A</v>
      </c>
      <c r="W23" s="453" t="e">
        <v>#N/A</v>
      </c>
      <c r="X23" s="453" t="e">
        <v>#N/A</v>
      </c>
      <c r="Y23" s="453" t="e">
        <v>#N/A</v>
      </c>
      <c r="Z23" s="146" t="e">
        <v>#N/A</v>
      </c>
      <c r="AA23" s="146" t="e">
        <v>#N/A</v>
      </c>
      <c r="AB23" s="146" t="e">
        <v>#N/A</v>
      </c>
      <c r="AC23" s="453" t="e">
        <v>#N/A</v>
      </c>
      <c r="AD23" s="453" t="e">
        <v>#N/A</v>
      </c>
      <c r="AE23" s="453" t="e">
        <v>#N/A</v>
      </c>
      <c r="AF23" s="453" t="e">
        <v>#N/A</v>
      </c>
      <c r="AG23" s="453" t="e">
        <f t="shared" si="3"/>
        <v>#N/A</v>
      </c>
      <c r="AH23" s="453" t="str">
        <f t="shared" si="4"/>
        <v/>
      </c>
      <c r="AI23" s="138" t="e">
        <f>IF(NOT(OR(Z23=1,Z23=2)),IF(AQ23&gt;0,$AR$44*AQ23/SUMIF($AQ$8:$AQ$39,"&gt;0"),IF(AU23&gt;0,$AV$44*AU23/SUMIF($AU$8:$AU$39,"&gt;0"),IF(AS23&gt;0,$AT$44*AS23/SUMIF($AS$8:$AS$39,"&gt;0"),""))),IF(SUMIF(AJ24:$AJ$39,"=" &amp; AJ23,AI24:$AI$39)=0,"",SUMIF(AJ24:$AJ$39,"=" &amp; AJ23,AI24:$AI$39)))</f>
        <v>#N/A</v>
      </c>
      <c r="AJ23" s="139" t="e">
        <f t="shared" si="34"/>
        <v>#N/A</v>
      </c>
      <c r="AK23" s="453" t="str">
        <f t="shared" si="27"/>
        <v/>
      </c>
      <c r="AL23" s="146" t="str">
        <f t="shared" si="28"/>
        <v/>
      </c>
      <c r="AM23" s="146" t="str">
        <f t="shared" si="35"/>
        <v/>
      </c>
      <c r="AN23" s="146" t="str">
        <f t="shared" si="5"/>
        <v/>
      </c>
      <c r="AO23" s="146" t="e">
        <f t="shared" si="6"/>
        <v>#N/A</v>
      </c>
      <c r="AP23" s="453" t="str">
        <f t="shared" si="7"/>
        <v/>
      </c>
      <c r="AQ23" s="140">
        <f t="shared" si="29"/>
        <v>0</v>
      </c>
      <c r="AR23" s="141" t="str">
        <f t="shared" si="8"/>
        <v/>
      </c>
      <c r="AS23" s="142">
        <f t="shared" si="30"/>
        <v>0</v>
      </c>
      <c r="AT23" s="141" t="str">
        <f t="shared" si="9"/>
        <v/>
      </c>
      <c r="AU23" s="143">
        <f t="shared" si="10"/>
        <v>0</v>
      </c>
      <c r="AV23" s="144" t="str">
        <f t="shared" si="11"/>
        <v/>
      </c>
      <c r="AW23" s="143" t="b">
        <f t="shared" si="12"/>
        <v>0</v>
      </c>
      <c r="AX23" s="145" t="b">
        <f t="shared" si="13"/>
        <v>0</v>
      </c>
      <c r="AY23" s="143" t="b">
        <f t="shared" si="14"/>
        <v>0</v>
      </c>
      <c r="AZ23" s="145" t="b">
        <f t="shared" si="15"/>
        <v>0</v>
      </c>
      <c r="BA23" s="453" t="b">
        <f t="shared" si="16"/>
        <v>0</v>
      </c>
      <c r="BB23" s="453" t="b">
        <f t="shared" si="17"/>
        <v>0</v>
      </c>
      <c r="BC23" s="143" t="b">
        <f t="shared" si="18"/>
        <v>0</v>
      </c>
      <c r="BD23" s="146" t="b">
        <f t="shared" si="31"/>
        <v>0</v>
      </c>
      <c r="BE23" s="145" t="b">
        <f t="shared" ref="BE23:BE39" si="37">IF(OR(ISNA($Z23),K23&lt;&gt;"D"),FALSE,IF(OR(AND(H23="NG",J23=0),AND(H23&lt;&gt;"NG",NOT(OR(J23="NA",J23=0)))),TRUE,FALSE))</f>
        <v>0</v>
      </c>
      <c r="BF23" s="147" t="b">
        <f t="shared" si="20"/>
        <v>0</v>
      </c>
      <c r="BG23" s="453" t="str">
        <f t="shared" ref="BG23:BG39" si="38">IF(ISNA($Z23),"NA",IF(OR(AZ23,AY23,AX23,AW23,AP23,BA23,BB23),TRUE,FALSE))</f>
        <v>NA</v>
      </c>
      <c r="BH23" s="453" t="str">
        <f t="shared" si="32"/>
        <v/>
      </c>
      <c r="BI23" s="453" t="str">
        <f t="shared" si="22"/>
        <v/>
      </c>
      <c r="BJ23" s="453" t="str">
        <f t="shared" si="23"/>
        <v/>
      </c>
      <c r="BK23" s="453" t="str">
        <f t="shared" si="24"/>
        <v/>
      </c>
      <c r="BL23" s="148" t="str">
        <f t="shared" si="33"/>
        <v/>
      </c>
      <c r="BM23" s="453" t="str">
        <f t="shared" si="25"/>
        <v/>
      </c>
      <c r="BN23" s="453" t="str">
        <f t="shared" si="26"/>
        <v/>
      </c>
      <c r="BO23" s="936"/>
      <c r="BP23" s="300" t="s">
        <v>361</v>
      </c>
      <c r="BQ23" s="165">
        <f t="shared" si="36"/>
        <v>0.7</v>
      </c>
      <c r="BR23" s="166">
        <f t="shared" si="36"/>
        <v>0.76670000000000005</v>
      </c>
      <c r="BS23" s="166">
        <f t="shared" si="36"/>
        <v>0.83330000000000004</v>
      </c>
      <c r="BT23" s="166">
        <f t="shared" si="36"/>
        <v>0.9</v>
      </c>
      <c r="BU23" s="167">
        <f t="shared" si="36"/>
        <v>1</v>
      </c>
    </row>
    <row r="24" spans="2:73" s="94" customFormat="1" ht="12.95" customHeight="1" x14ac:dyDescent="0.2">
      <c r="B24" s="151" t="str">
        <f>IF(ISNA(Z24),"",IF(OR(Z24=1,Z24=2),"    ",MAX($B$8:B23)+1))</f>
        <v/>
      </c>
      <c r="C24" s="904" t="str">
        <f t="shared" si="0"/>
        <v/>
      </c>
      <c r="D24" s="904"/>
      <c r="E24" s="904"/>
      <c r="F24" s="905"/>
      <c r="G24" s="133" t="str">
        <f t="shared" si="1"/>
        <v/>
      </c>
      <c r="H24" s="134" t="str">
        <f t="shared" si="2"/>
        <v/>
      </c>
      <c r="I24" s="152" t="str">
        <f t="shared" si="2"/>
        <v/>
      </c>
      <c r="J24" s="158"/>
      <c r="K24" s="159"/>
      <c r="L24" s="1015"/>
      <c r="M24" s="1016"/>
      <c r="N24" s="1016"/>
      <c r="O24" s="1016"/>
      <c r="P24" s="1016"/>
      <c r="Q24" s="1016"/>
      <c r="R24" s="1017"/>
      <c r="T24" s="99">
        <v>17</v>
      </c>
      <c r="U24" s="88" t="e">
        <v>#N/A</v>
      </c>
      <c r="V24" s="453" t="e">
        <v>#N/A</v>
      </c>
      <c r="W24" s="453" t="e">
        <v>#N/A</v>
      </c>
      <c r="X24" s="453" t="e">
        <v>#N/A</v>
      </c>
      <c r="Y24" s="453" t="e">
        <v>#N/A</v>
      </c>
      <c r="Z24" s="146" t="e">
        <v>#N/A</v>
      </c>
      <c r="AA24" s="146" t="e">
        <v>#N/A</v>
      </c>
      <c r="AB24" s="146" t="e">
        <v>#N/A</v>
      </c>
      <c r="AC24" s="453" t="e">
        <v>#N/A</v>
      </c>
      <c r="AD24" s="453" t="e">
        <v>#N/A</v>
      </c>
      <c r="AE24" s="453" t="e">
        <v>#N/A</v>
      </c>
      <c r="AF24" s="453" t="e">
        <v>#N/A</v>
      </c>
      <c r="AG24" s="453" t="e">
        <f t="shared" si="3"/>
        <v>#N/A</v>
      </c>
      <c r="AH24" s="453" t="str">
        <f t="shared" si="4"/>
        <v/>
      </c>
      <c r="AI24" s="138" t="e">
        <f>IF(NOT(OR(Z24=1,Z24=2)),IF(AQ24&gt;0,$AR$44*AQ24/SUMIF($AQ$8:$AQ$39,"&gt;0"),IF(AU24&gt;0,$AV$44*AU24/SUMIF($AU$8:$AU$39,"&gt;0"),IF(AS24&gt;0,$AT$44*AS24/SUMIF($AS$8:$AS$39,"&gt;0"),""))),IF(SUMIF(AJ25:$AJ$39,"=" &amp; AJ24,AI25:$AI$39)=0,"",SUMIF(AJ25:$AJ$39,"=" &amp; AJ24,AI25:$AI$39)))</f>
        <v>#N/A</v>
      </c>
      <c r="AJ24" s="139" t="e">
        <f t="shared" si="34"/>
        <v>#N/A</v>
      </c>
      <c r="AK24" s="453" t="str">
        <f t="shared" si="27"/>
        <v/>
      </c>
      <c r="AL24" s="146" t="str">
        <f t="shared" si="28"/>
        <v/>
      </c>
      <c r="AM24" s="146" t="str">
        <f t="shared" si="35"/>
        <v/>
      </c>
      <c r="AN24" s="146" t="str">
        <f t="shared" si="5"/>
        <v/>
      </c>
      <c r="AO24" s="146" t="e">
        <f t="shared" si="6"/>
        <v>#N/A</v>
      </c>
      <c r="AP24" s="453" t="str">
        <f t="shared" si="7"/>
        <v/>
      </c>
      <c r="AQ24" s="140">
        <f t="shared" si="29"/>
        <v>0</v>
      </c>
      <c r="AR24" s="141" t="str">
        <f t="shared" si="8"/>
        <v/>
      </c>
      <c r="AS24" s="142">
        <f t="shared" si="30"/>
        <v>0</v>
      </c>
      <c r="AT24" s="141" t="str">
        <f t="shared" si="9"/>
        <v/>
      </c>
      <c r="AU24" s="143">
        <f t="shared" si="10"/>
        <v>0</v>
      </c>
      <c r="AV24" s="144" t="str">
        <f t="shared" si="11"/>
        <v/>
      </c>
      <c r="AW24" s="143" t="b">
        <f t="shared" si="12"/>
        <v>0</v>
      </c>
      <c r="AX24" s="145" t="b">
        <f t="shared" si="13"/>
        <v>0</v>
      </c>
      <c r="AY24" s="143" t="b">
        <f t="shared" si="14"/>
        <v>0</v>
      </c>
      <c r="AZ24" s="145" t="b">
        <f t="shared" si="15"/>
        <v>0</v>
      </c>
      <c r="BA24" s="453" t="b">
        <f t="shared" si="16"/>
        <v>0</v>
      </c>
      <c r="BB24" s="453" t="b">
        <f t="shared" si="17"/>
        <v>0</v>
      </c>
      <c r="BC24" s="143" t="b">
        <f t="shared" si="18"/>
        <v>0</v>
      </c>
      <c r="BD24" s="146" t="b">
        <f t="shared" si="31"/>
        <v>0</v>
      </c>
      <c r="BE24" s="145" t="b">
        <f t="shared" si="37"/>
        <v>0</v>
      </c>
      <c r="BF24" s="147" t="b">
        <f t="shared" si="20"/>
        <v>0</v>
      </c>
      <c r="BG24" s="453" t="str">
        <f t="shared" si="38"/>
        <v>NA</v>
      </c>
      <c r="BH24" s="453" t="str">
        <f t="shared" si="32"/>
        <v/>
      </c>
      <c r="BI24" s="453" t="str">
        <f t="shared" si="22"/>
        <v/>
      </c>
      <c r="BJ24" s="453" t="str">
        <f t="shared" si="23"/>
        <v/>
      </c>
      <c r="BK24" s="453" t="str">
        <f t="shared" si="24"/>
        <v/>
      </c>
      <c r="BL24" s="148" t="str">
        <f t="shared" si="33"/>
        <v/>
      </c>
      <c r="BM24" s="453" t="str">
        <f t="shared" si="25"/>
        <v/>
      </c>
      <c r="BN24" s="453" t="str">
        <f t="shared" si="26"/>
        <v/>
      </c>
      <c r="BO24" s="936"/>
      <c r="BP24" s="300" t="s">
        <v>362</v>
      </c>
      <c r="BQ24" s="165">
        <f t="shared" si="36"/>
        <v>0.6</v>
      </c>
      <c r="BR24" s="166">
        <f t="shared" si="36"/>
        <v>0.9</v>
      </c>
      <c r="BS24" s="166">
        <f t="shared" si="36"/>
        <v>0.93330000000000002</v>
      </c>
      <c r="BT24" s="166">
        <f t="shared" si="36"/>
        <v>0.9667</v>
      </c>
      <c r="BU24" s="167">
        <f t="shared" si="36"/>
        <v>1</v>
      </c>
    </row>
    <row r="25" spans="2:73" s="94" customFormat="1" ht="12.95" customHeight="1" x14ac:dyDescent="0.2">
      <c r="B25" s="151" t="str">
        <f>IF(ISNA(Z25),"",IF(OR(Z25=1,Z25=2),"    ",MAX($B$8:B24)+1))</f>
        <v/>
      </c>
      <c r="C25" s="904" t="str">
        <f t="shared" si="0"/>
        <v/>
      </c>
      <c r="D25" s="904"/>
      <c r="E25" s="904"/>
      <c r="F25" s="905"/>
      <c r="G25" s="133" t="str">
        <f t="shared" si="1"/>
        <v/>
      </c>
      <c r="H25" s="134" t="str">
        <f t="shared" si="2"/>
        <v/>
      </c>
      <c r="I25" s="152" t="str">
        <f t="shared" si="2"/>
        <v/>
      </c>
      <c r="J25" s="158"/>
      <c r="K25" s="159"/>
      <c r="L25" s="1015"/>
      <c r="M25" s="1016"/>
      <c r="N25" s="1016"/>
      <c r="O25" s="1016"/>
      <c r="P25" s="1016"/>
      <c r="Q25" s="1016"/>
      <c r="R25" s="1017"/>
      <c r="T25" s="99">
        <v>18</v>
      </c>
      <c r="U25" s="88" t="e">
        <v>#N/A</v>
      </c>
      <c r="V25" s="453" t="e">
        <v>#N/A</v>
      </c>
      <c r="W25" s="453" t="e">
        <v>#N/A</v>
      </c>
      <c r="X25" s="453" t="e">
        <v>#N/A</v>
      </c>
      <c r="Y25" s="453" t="e">
        <v>#N/A</v>
      </c>
      <c r="Z25" s="146" t="e">
        <v>#N/A</v>
      </c>
      <c r="AA25" s="146" t="e">
        <v>#N/A</v>
      </c>
      <c r="AB25" s="146" t="e">
        <v>#N/A</v>
      </c>
      <c r="AC25" s="453" t="e">
        <v>#N/A</v>
      </c>
      <c r="AD25" s="453" t="e">
        <v>#N/A</v>
      </c>
      <c r="AE25" s="453" t="e">
        <v>#N/A</v>
      </c>
      <c r="AF25" s="453" t="e">
        <v>#N/A</v>
      </c>
      <c r="AG25" s="453" t="e">
        <f t="shared" si="3"/>
        <v>#N/A</v>
      </c>
      <c r="AH25" s="453" t="str">
        <f t="shared" si="4"/>
        <v/>
      </c>
      <c r="AI25" s="138" t="e">
        <f>IF(NOT(OR(Z25=1,Z25=2)),IF(AQ25&gt;0,$AR$44*AQ25/SUMIF($AQ$8:$AQ$39,"&gt;0"),IF(AU25&gt;0,$AV$44*AU25/SUMIF($AU$8:$AU$39,"&gt;0"),IF(AS25&gt;0,$AT$44*AS25/SUMIF($AS$8:$AS$39,"&gt;0"),""))),IF(SUMIF(AJ26:$AJ$39,"=" &amp; AJ25,AI26:$AI$39)=0,"",SUMIF(AJ26:$AJ$39,"=" &amp; AJ25,AI26:$AI$39)))</f>
        <v>#N/A</v>
      </c>
      <c r="AJ25" s="139" t="e">
        <f t="shared" si="34"/>
        <v>#N/A</v>
      </c>
      <c r="AK25" s="453" t="str">
        <f t="shared" si="27"/>
        <v/>
      </c>
      <c r="AL25" s="146" t="str">
        <f t="shared" si="28"/>
        <v/>
      </c>
      <c r="AM25" s="146" t="str">
        <f t="shared" si="35"/>
        <v/>
      </c>
      <c r="AN25" s="146" t="str">
        <f t="shared" si="5"/>
        <v/>
      </c>
      <c r="AO25" s="146" t="e">
        <f t="shared" si="6"/>
        <v>#N/A</v>
      </c>
      <c r="AP25" s="453" t="str">
        <f t="shared" si="7"/>
        <v/>
      </c>
      <c r="AQ25" s="140">
        <f t="shared" si="29"/>
        <v>0</v>
      </c>
      <c r="AR25" s="141" t="str">
        <f t="shared" si="8"/>
        <v/>
      </c>
      <c r="AS25" s="142">
        <f t="shared" si="30"/>
        <v>0</v>
      </c>
      <c r="AT25" s="141" t="str">
        <f t="shared" si="9"/>
        <v/>
      </c>
      <c r="AU25" s="143">
        <f t="shared" si="10"/>
        <v>0</v>
      </c>
      <c r="AV25" s="144" t="str">
        <f t="shared" si="11"/>
        <v/>
      </c>
      <c r="AW25" s="143" t="b">
        <f t="shared" si="12"/>
        <v>0</v>
      </c>
      <c r="AX25" s="145" t="b">
        <f t="shared" si="13"/>
        <v>0</v>
      </c>
      <c r="AY25" s="143" t="b">
        <f t="shared" si="14"/>
        <v>0</v>
      </c>
      <c r="AZ25" s="145" t="b">
        <f t="shared" si="15"/>
        <v>0</v>
      </c>
      <c r="BA25" s="453" t="b">
        <f t="shared" si="16"/>
        <v>0</v>
      </c>
      <c r="BB25" s="453" t="b">
        <f t="shared" si="17"/>
        <v>0</v>
      </c>
      <c r="BC25" s="143" t="b">
        <f t="shared" si="18"/>
        <v>0</v>
      </c>
      <c r="BD25" s="146" t="b">
        <f t="shared" si="31"/>
        <v>0</v>
      </c>
      <c r="BE25" s="145" t="b">
        <f t="shared" si="37"/>
        <v>0</v>
      </c>
      <c r="BF25" s="147" t="b">
        <f t="shared" si="20"/>
        <v>0</v>
      </c>
      <c r="BG25" s="453" t="str">
        <f t="shared" si="38"/>
        <v>NA</v>
      </c>
      <c r="BH25" s="453" t="str">
        <f t="shared" si="32"/>
        <v/>
      </c>
      <c r="BI25" s="453" t="str">
        <f t="shared" si="22"/>
        <v/>
      </c>
      <c r="BJ25" s="453" t="str">
        <f t="shared" si="23"/>
        <v/>
      </c>
      <c r="BK25" s="453" t="str">
        <f t="shared" si="24"/>
        <v/>
      </c>
      <c r="BL25" s="148" t="str">
        <f t="shared" si="33"/>
        <v/>
      </c>
      <c r="BM25" s="453" t="str">
        <f t="shared" si="25"/>
        <v/>
      </c>
      <c r="BN25" s="453" t="str">
        <f t="shared" si="26"/>
        <v/>
      </c>
      <c r="BO25" s="936"/>
      <c r="BP25" s="300" t="s">
        <v>363</v>
      </c>
      <c r="BQ25" s="165">
        <f t="shared" si="36"/>
        <v>0.6</v>
      </c>
      <c r="BR25" s="166">
        <f t="shared" si="36"/>
        <v>0.7</v>
      </c>
      <c r="BS25" s="166">
        <f t="shared" si="36"/>
        <v>0.9</v>
      </c>
      <c r="BT25" s="166">
        <f t="shared" si="36"/>
        <v>0.95</v>
      </c>
      <c r="BU25" s="167">
        <f t="shared" si="36"/>
        <v>1</v>
      </c>
    </row>
    <row r="26" spans="2:73" s="94" customFormat="1" ht="12.95" customHeight="1" x14ac:dyDescent="0.2">
      <c r="B26" s="151" t="str">
        <f>IF(ISNA(Z26),"",IF(OR(Z26=1,Z26=2),"    ",MAX($B$8:B25)+1))</f>
        <v/>
      </c>
      <c r="C26" s="904" t="str">
        <f t="shared" si="0"/>
        <v/>
      </c>
      <c r="D26" s="904"/>
      <c r="E26" s="904"/>
      <c r="F26" s="905"/>
      <c r="G26" s="133" t="str">
        <f t="shared" si="1"/>
        <v/>
      </c>
      <c r="H26" s="134" t="str">
        <f t="shared" si="2"/>
        <v/>
      </c>
      <c r="I26" s="152" t="str">
        <f t="shared" si="2"/>
        <v/>
      </c>
      <c r="J26" s="158"/>
      <c r="K26" s="159"/>
      <c r="L26" s="1015"/>
      <c r="M26" s="1016"/>
      <c r="N26" s="1016"/>
      <c r="O26" s="1016"/>
      <c r="P26" s="1016"/>
      <c r="Q26" s="1016"/>
      <c r="R26" s="1017"/>
      <c r="T26" s="99">
        <v>19</v>
      </c>
      <c r="U26" s="88" t="e">
        <v>#N/A</v>
      </c>
      <c r="V26" s="453" t="e">
        <v>#N/A</v>
      </c>
      <c r="W26" s="453" t="e">
        <v>#N/A</v>
      </c>
      <c r="X26" s="453" t="e">
        <v>#N/A</v>
      </c>
      <c r="Y26" s="453" t="e">
        <v>#N/A</v>
      </c>
      <c r="Z26" s="146" t="e">
        <v>#N/A</v>
      </c>
      <c r="AA26" s="146" t="e">
        <v>#N/A</v>
      </c>
      <c r="AB26" s="146" t="e">
        <v>#N/A</v>
      </c>
      <c r="AC26" s="453" t="e">
        <v>#N/A</v>
      </c>
      <c r="AD26" s="453" t="e">
        <v>#N/A</v>
      </c>
      <c r="AE26" s="453" t="e">
        <v>#N/A</v>
      </c>
      <c r="AF26" s="453" t="e">
        <v>#N/A</v>
      </c>
      <c r="AG26" s="453" t="e">
        <f t="shared" si="3"/>
        <v>#N/A</v>
      </c>
      <c r="AH26" s="453" t="str">
        <f t="shared" si="4"/>
        <v/>
      </c>
      <c r="AI26" s="138" t="e">
        <f>IF(NOT(OR(Z26=1,Z26=2)),IF(AQ26&gt;0,$AR$44*AQ26/SUMIF($AQ$8:$AQ$39,"&gt;0"),IF(AU26&gt;0,$AV$44*AU26/SUMIF($AU$8:$AU$39,"&gt;0"),IF(AS26&gt;0,$AT$44*AS26/SUMIF($AS$8:$AS$39,"&gt;0"),""))),IF(SUMIF(AJ27:$AJ$39,"=" &amp; AJ26,AI27:$AI$39)=0,"",SUMIF(AJ27:$AJ$39,"=" &amp; AJ26,AI27:$AI$39)))</f>
        <v>#N/A</v>
      </c>
      <c r="AJ26" s="139" t="e">
        <f t="shared" si="34"/>
        <v>#N/A</v>
      </c>
      <c r="AK26" s="453" t="str">
        <f t="shared" si="27"/>
        <v/>
      </c>
      <c r="AL26" s="146" t="str">
        <f t="shared" si="28"/>
        <v/>
      </c>
      <c r="AM26" s="146" t="str">
        <f t="shared" si="35"/>
        <v/>
      </c>
      <c r="AN26" s="146" t="str">
        <f t="shared" si="5"/>
        <v/>
      </c>
      <c r="AO26" s="146" t="e">
        <f t="shared" si="6"/>
        <v>#N/A</v>
      </c>
      <c r="AP26" s="453" t="str">
        <f t="shared" si="7"/>
        <v/>
      </c>
      <c r="AQ26" s="140">
        <f t="shared" si="29"/>
        <v>0</v>
      </c>
      <c r="AR26" s="141" t="str">
        <f t="shared" si="8"/>
        <v/>
      </c>
      <c r="AS26" s="142">
        <f t="shared" si="30"/>
        <v>0</v>
      </c>
      <c r="AT26" s="141" t="str">
        <f t="shared" si="9"/>
        <v/>
      </c>
      <c r="AU26" s="143">
        <f t="shared" si="10"/>
        <v>0</v>
      </c>
      <c r="AV26" s="144" t="str">
        <f t="shared" si="11"/>
        <v/>
      </c>
      <c r="AW26" s="143" t="b">
        <f t="shared" si="12"/>
        <v>0</v>
      </c>
      <c r="AX26" s="145" t="b">
        <f t="shared" si="13"/>
        <v>0</v>
      </c>
      <c r="AY26" s="143" t="b">
        <f t="shared" si="14"/>
        <v>0</v>
      </c>
      <c r="AZ26" s="145" t="b">
        <f t="shared" si="15"/>
        <v>0</v>
      </c>
      <c r="BA26" s="453" t="b">
        <f t="shared" si="16"/>
        <v>0</v>
      </c>
      <c r="BB26" s="453" t="b">
        <f t="shared" si="17"/>
        <v>0</v>
      </c>
      <c r="BC26" s="143" t="b">
        <f t="shared" si="18"/>
        <v>0</v>
      </c>
      <c r="BD26" s="146" t="b">
        <f t="shared" si="31"/>
        <v>0</v>
      </c>
      <c r="BE26" s="145" t="b">
        <f t="shared" si="37"/>
        <v>0</v>
      </c>
      <c r="BF26" s="147" t="b">
        <f t="shared" si="20"/>
        <v>0</v>
      </c>
      <c r="BG26" s="453" t="str">
        <f t="shared" si="38"/>
        <v>NA</v>
      </c>
      <c r="BH26" s="453" t="str">
        <f t="shared" si="32"/>
        <v/>
      </c>
      <c r="BI26" s="453" t="str">
        <f t="shared" si="22"/>
        <v/>
      </c>
      <c r="BJ26" s="453" t="str">
        <f t="shared" si="23"/>
        <v/>
      </c>
      <c r="BK26" s="453" t="str">
        <f t="shared" si="24"/>
        <v/>
      </c>
      <c r="BL26" s="148" t="str">
        <f t="shared" si="33"/>
        <v/>
      </c>
      <c r="BM26" s="453" t="str">
        <f t="shared" si="25"/>
        <v/>
      </c>
      <c r="BN26" s="453" t="str">
        <f t="shared" si="26"/>
        <v/>
      </c>
      <c r="BO26" s="936"/>
      <c r="BP26" s="300" t="s">
        <v>364</v>
      </c>
      <c r="BQ26" s="165">
        <f t="shared" si="36"/>
        <v>0.6</v>
      </c>
      <c r="BR26" s="166">
        <f t="shared" si="36"/>
        <v>0.7</v>
      </c>
      <c r="BS26" s="166">
        <f t="shared" si="36"/>
        <v>0.8</v>
      </c>
      <c r="BT26" s="166">
        <f t="shared" si="36"/>
        <v>0.9</v>
      </c>
      <c r="BU26" s="167">
        <f t="shared" si="36"/>
        <v>1</v>
      </c>
    </row>
    <row r="27" spans="2:73" s="94" customFormat="1" ht="12.95" customHeight="1" x14ac:dyDescent="0.2">
      <c r="B27" s="151" t="str">
        <f>IF(ISNA(Z27),"",IF(OR(Z27=1,Z27=2),"    ",MAX($B$8:B26)+1))</f>
        <v/>
      </c>
      <c r="C27" s="904" t="str">
        <f t="shared" si="0"/>
        <v/>
      </c>
      <c r="D27" s="904"/>
      <c r="E27" s="904"/>
      <c r="F27" s="905"/>
      <c r="G27" s="133" t="str">
        <f t="shared" si="1"/>
        <v/>
      </c>
      <c r="H27" s="134" t="str">
        <f t="shared" si="2"/>
        <v/>
      </c>
      <c r="I27" s="152" t="str">
        <f t="shared" si="2"/>
        <v/>
      </c>
      <c r="J27" s="158"/>
      <c r="K27" s="159"/>
      <c r="L27" s="1015"/>
      <c r="M27" s="1016"/>
      <c r="N27" s="1016"/>
      <c r="O27" s="1016"/>
      <c r="P27" s="1016"/>
      <c r="Q27" s="1016"/>
      <c r="R27" s="1017"/>
      <c r="T27" s="99">
        <v>20</v>
      </c>
      <c r="U27" s="88" t="e">
        <v>#N/A</v>
      </c>
      <c r="V27" s="453" t="e">
        <v>#N/A</v>
      </c>
      <c r="W27" s="453" t="e">
        <v>#N/A</v>
      </c>
      <c r="X27" s="453" t="e">
        <v>#N/A</v>
      </c>
      <c r="Y27" s="453" t="e">
        <v>#N/A</v>
      </c>
      <c r="Z27" s="146" t="e">
        <v>#N/A</v>
      </c>
      <c r="AA27" s="146" t="e">
        <v>#N/A</v>
      </c>
      <c r="AB27" s="146" t="e">
        <v>#N/A</v>
      </c>
      <c r="AC27" s="453" t="e">
        <v>#N/A</v>
      </c>
      <c r="AD27" s="453" t="e">
        <v>#N/A</v>
      </c>
      <c r="AE27" s="453" t="e">
        <v>#N/A</v>
      </c>
      <c r="AF27" s="453" t="e">
        <v>#N/A</v>
      </c>
      <c r="AG27" s="453" t="e">
        <f t="shared" si="3"/>
        <v>#N/A</v>
      </c>
      <c r="AH27" s="453" t="str">
        <f t="shared" si="4"/>
        <v/>
      </c>
      <c r="AI27" s="138" t="e">
        <f>IF(NOT(OR(Z27=1,Z27=2)),IF(AQ27&gt;0,$AR$44*AQ27/SUMIF($AQ$8:$AQ$39,"&gt;0"),IF(AU27&gt;0,$AV$44*AU27/SUMIF($AU$8:$AU$39,"&gt;0"),IF(AS27&gt;0,$AT$44*AS27/SUMIF($AS$8:$AS$39,"&gt;0"),""))),IF(SUMIF(AJ28:$AJ$39,"=" &amp; AJ27,AI28:$AI$39)=0,"",SUMIF(AJ28:$AJ$39,"=" &amp; AJ27,AI28:$AI$39)))</f>
        <v>#N/A</v>
      </c>
      <c r="AJ27" s="139" t="e">
        <f t="shared" si="34"/>
        <v>#N/A</v>
      </c>
      <c r="AK27" s="453" t="str">
        <f t="shared" si="27"/>
        <v/>
      </c>
      <c r="AL27" s="146" t="str">
        <f t="shared" si="28"/>
        <v/>
      </c>
      <c r="AM27" s="146" t="str">
        <f t="shared" si="35"/>
        <v/>
      </c>
      <c r="AN27" s="146" t="str">
        <f t="shared" si="5"/>
        <v/>
      </c>
      <c r="AO27" s="146" t="e">
        <f t="shared" si="6"/>
        <v>#N/A</v>
      </c>
      <c r="AP27" s="453" t="str">
        <f t="shared" si="7"/>
        <v/>
      </c>
      <c r="AQ27" s="140">
        <f t="shared" si="29"/>
        <v>0</v>
      </c>
      <c r="AR27" s="141" t="str">
        <f t="shared" si="8"/>
        <v/>
      </c>
      <c r="AS27" s="142">
        <f t="shared" si="30"/>
        <v>0</v>
      </c>
      <c r="AT27" s="141" t="str">
        <f t="shared" si="9"/>
        <v/>
      </c>
      <c r="AU27" s="143">
        <f t="shared" si="10"/>
        <v>0</v>
      </c>
      <c r="AV27" s="144" t="str">
        <f t="shared" si="11"/>
        <v/>
      </c>
      <c r="AW27" s="143" t="b">
        <f t="shared" si="12"/>
        <v>0</v>
      </c>
      <c r="AX27" s="145" t="b">
        <f t="shared" si="13"/>
        <v>0</v>
      </c>
      <c r="AY27" s="143" t="b">
        <f t="shared" si="14"/>
        <v>0</v>
      </c>
      <c r="AZ27" s="145" t="b">
        <f t="shared" si="15"/>
        <v>0</v>
      </c>
      <c r="BA27" s="453" t="b">
        <f t="shared" si="16"/>
        <v>0</v>
      </c>
      <c r="BB27" s="453" t="b">
        <f t="shared" si="17"/>
        <v>0</v>
      </c>
      <c r="BC27" s="143" t="b">
        <f t="shared" si="18"/>
        <v>0</v>
      </c>
      <c r="BD27" s="146" t="b">
        <f t="shared" si="31"/>
        <v>0</v>
      </c>
      <c r="BE27" s="145" t="b">
        <f t="shared" si="37"/>
        <v>0</v>
      </c>
      <c r="BF27" s="147" t="b">
        <f t="shared" si="20"/>
        <v>0</v>
      </c>
      <c r="BG27" s="453" t="str">
        <f t="shared" si="38"/>
        <v>NA</v>
      </c>
      <c r="BH27" s="453" t="str">
        <f t="shared" si="32"/>
        <v/>
      </c>
      <c r="BI27" s="453" t="str">
        <f t="shared" si="22"/>
        <v/>
      </c>
      <c r="BJ27" s="453" t="str">
        <f t="shared" si="23"/>
        <v/>
      </c>
      <c r="BK27" s="453" t="str">
        <f t="shared" si="24"/>
        <v/>
      </c>
      <c r="BL27" s="148" t="str">
        <f t="shared" si="33"/>
        <v/>
      </c>
      <c r="BM27" s="453" t="str">
        <f t="shared" si="25"/>
        <v/>
      </c>
      <c r="BN27" s="453" t="str">
        <f t="shared" si="26"/>
        <v/>
      </c>
      <c r="BO27" s="936"/>
      <c r="BP27" s="300" t="s">
        <v>365</v>
      </c>
      <c r="BQ27" s="165">
        <f t="shared" si="36"/>
        <v>0.3</v>
      </c>
      <c r="BR27" s="166">
        <f t="shared" si="36"/>
        <v>0.6</v>
      </c>
      <c r="BS27" s="166">
        <f t="shared" si="36"/>
        <v>0.9</v>
      </c>
      <c r="BT27" s="166">
        <f t="shared" si="36"/>
        <v>0.95</v>
      </c>
      <c r="BU27" s="167">
        <f t="shared" si="36"/>
        <v>1</v>
      </c>
    </row>
    <row r="28" spans="2:73" s="94" customFormat="1" ht="12.95" customHeight="1" x14ac:dyDescent="0.2">
      <c r="B28" s="151" t="str">
        <f>IF(ISNA(Z28),"",IF(OR(Z28=1,Z28=2),"    ",MAX($B$8:B27)+1))</f>
        <v/>
      </c>
      <c r="C28" s="904" t="str">
        <f t="shared" si="0"/>
        <v/>
      </c>
      <c r="D28" s="904"/>
      <c r="E28" s="904"/>
      <c r="F28" s="905"/>
      <c r="G28" s="133" t="str">
        <f t="shared" si="1"/>
        <v/>
      </c>
      <c r="H28" s="134" t="str">
        <f t="shared" si="2"/>
        <v/>
      </c>
      <c r="I28" s="152" t="str">
        <f t="shared" si="2"/>
        <v/>
      </c>
      <c r="J28" s="158"/>
      <c r="K28" s="159"/>
      <c r="L28" s="1015"/>
      <c r="M28" s="1016"/>
      <c r="N28" s="1016"/>
      <c r="O28" s="1016"/>
      <c r="P28" s="1016"/>
      <c r="Q28" s="1016"/>
      <c r="R28" s="1017"/>
      <c r="T28" s="99">
        <v>21</v>
      </c>
      <c r="U28" s="88" t="e">
        <v>#N/A</v>
      </c>
      <c r="V28" s="453" t="e">
        <v>#N/A</v>
      </c>
      <c r="W28" s="453" t="e">
        <v>#N/A</v>
      </c>
      <c r="X28" s="453" t="e">
        <v>#N/A</v>
      </c>
      <c r="Y28" s="453" t="e">
        <v>#N/A</v>
      </c>
      <c r="Z28" s="146" t="e">
        <v>#N/A</v>
      </c>
      <c r="AA28" s="146" t="e">
        <v>#N/A</v>
      </c>
      <c r="AB28" s="146" t="e">
        <v>#N/A</v>
      </c>
      <c r="AC28" s="453" t="e">
        <v>#N/A</v>
      </c>
      <c r="AD28" s="453" t="e">
        <v>#N/A</v>
      </c>
      <c r="AE28" s="453" t="e">
        <v>#N/A</v>
      </c>
      <c r="AF28" s="453" t="e">
        <v>#N/A</v>
      </c>
      <c r="AG28" s="453" t="e">
        <f t="shared" si="3"/>
        <v>#N/A</v>
      </c>
      <c r="AH28" s="453" t="str">
        <f t="shared" si="4"/>
        <v/>
      </c>
      <c r="AI28" s="138" t="e">
        <f>IF(NOT(OR(Z28=1,Z28=2)),IF(AQ28&gt;0,$AR$44*AQ28/SUMIF($AQ$8:$AQ$39,"&gt;0"),IF(AU28&gt;0,$AV$44*AU28/SUMIF($AU$8:$AU$39,"&gt;0"),IF(AS28&gt;0,$AT$44*AS28/SUMIF($AS$8:$AS$39,"&gt;0"),""))),IF(SUMIF(AJ29:$AJ$39,"=" &amp; AJ28,AI29:$AI$39)=0,"",SUMIF(AJ29:$AJ$39,"=" &amp; AJ28,AI29:$AI$39)))</f>
        <v>#N/A</v>
      </c>
      <c r="AJ28" s="139" t="e">
        <f t="shared" si="34"/>
        <v>#N/A</v>
      </c>
      <c r="AK28" s="453" t="str">
        <f t="shared" si="27"/>
        <v/>
      </c>
      <c r="AL28" s="146" t="str">
        <f t="shared" si="28"/>
        <v/>
      </c>
      <c r="AM28" s="146" t="str">
        <f t="shared" si="35"/>
        <v/>
      </c>
      <c r="AN28" s="146" t="str">
        <f t="shared" si="5"/>
        <v/>
      </c>
      <c r="AO28" s="146" t="e">
        <f t="shared" si="6"/>
        <v>#N/A</v>
      </c>
      <c r="AP28" s="453" t="str">
        <f t="shared" si="7"/>
        <v/>
      </c>
      <c r="AQ28" s="140">
        <f t="shared" si="29"/>
        <v>0</v>
      </c>
      <c r="AR28" s="141" t="str">
        <f t="shared" si="8"/>
        <v/>
      </c>
      <c r="AS28" s="142">
        <f t="shared" si="30"/>
        <v>0</v>
      </c>
      <c r="AT28" s="141" t="str">
        <f t="shared" si="9"/>
        <v/>
      </c>
      <c r="AU28" s="143">
        <f t="shared" si="10"/>
        <v>0</v>
      </c>
      <c r="AV28" s="144" t="str">
        <f t="shared" si="11"/>
        <v/>
      </c>
      <c r="AW28" s="143" t="b">
        <f t="shared" si="12"/>
        <v>0</v>
      </c>
      <c r="AX28" s="145" t="b">
        <f t="shared" si="13"/>
        <v>0</v>
      </c>
      <c r="AY28" s="143" t="b">
        <f t="shared" si="14"/>
        <v>0</v>
      </c>
      <c r="AZ28" s="145" t="b">
        <f t="shared" si="15"/>
        <v>0</v>
      </c>
      <c r="BA28" s="453" t="b">
        <f t="shared" si="16"/>
        <v>0</v>
      </c>
      <c r="BB28" s="453" t="b">
        <f t="shared" si="17"/>
        <v>0</v>
      </c>
      <c r="BC28" s="143" t="b">
        <f t="shared" si="18"/>
        <v>0</v>
      </c>
      <c r="BD28" s="146" t="b">
        <f t="shared" si="31"/>
        <v>0</v>
      </c>
      <c r="BE28" s="145" t="b">
        <f t="shared" si="37"/>
        <v>0</v>
      </c>
      <c r="BF28" s="147" t="b">
        <f t="shared" si="20"/>
        <v>0</v>
      </c>
      <c r="BG28" s="453" t="str">
        <f t="shared" si="38"/>
        <v>NA</v>
      </c>
      <c r="BH28" s="453" t="str">
        <f t="shared" si="32"/>
        <v/>
      </c>
      <c r="BI28" s="453" t="str">
        <f t="shared" si="22"/>
        <v/>
      </c>
      <c r="BJ28" s="453" t="str">
        <f t="shared" si="23"/>
        <v/>
      </c>
      <c r="BK28" s="453" t="str">
        <f t="shared" si="24"/>
        <v/>
      </c>
      <c r="BL28" s="148" t="str">
        <f t="shared" si="33"/>
        <v/>
      </c>
      <c r="BM28" s="453" t="str">
        <f t="shared" si="25"/>
        <v/>
      </c>
      <c r="BN28" s="453" t="str">
        <f t="shared" si="26"/>
        <v/>
      </c>
      <c r="BO28" s="936"/>
      <c r="BP28" s="300" t="s">
        <v>366</v>
      </c>
      <c r="BQ28" s="165">
        <f t="shared" si="36"/>
        <v>0.3</v>
      </c>
      <c r="BR28" s="166">
        <f t="shared" si="36"/>
        <v>0.6</v>
      </c>
      <c r="BS28" s="166">
        <f t="shared" si="36"/>
        <v>0.7</v>
      </c>
      <c r="BT28" s="166">
        <f t="shared" si="36"/>
        <v>0.9</v>
      </c>
      <c r="BU28" s="167">
        <f t="shared" si="36"/>
        <v>1</v>
      </c>
    </row>
    <row r="29" spans="2:73" s="94" customFormat="1" ht="12.95" customHeight="1" x14ac:dyDescent="0.2">
      <c r="B29" s="151" t="str">
        <f>IF(ISNA(Z29),"",IF(OR(Z29=1,Z29=2),"    ",MAX($B$8:B28)+1))</f>
        <v/>
      </c>
      <c r="C29" s="904" t="str">
        <f t="shared" si="0"/>
        <v/>
      </c>
      <c r="D29" s="904"/>
      <c r="E29" s="904"/>
      <c r="F29" s="905"/>
      <c r="G29" s="133" t="str">
        <f t="shared" si="1"/>
        <v/>
      </c>
      <c r="H29" s="134" t="str">
        <f t="shared" si="2"/>
        <v/>
      </c>
      <c r="I29" s="152" t="str">
        <f t="shared" si="2"/>
        <v/>
      </c>
      <c r="J29" s="158"/>
      <c r="K29" s="159"/>
      <c r="L29" s="1015"/>
      <c r="M29" s="1016"/>
      <c r="N29" s="1016"/>
      <c r="O29" s="1016"/>
      <c r="P29" s="1016"/>
      <c r="Q29" s="1016"/>
      <c r="R29" s="1017"/>
      <c r="T29" s="99">
        <v>22</v>
      </c>
      <c r="U29" s="88" t="e">
        <v>#N/A</v>
      </c>
      <c r="V29" s="453" t="e">
        <v>#N/A</v>
      </c>
      <c r="W29" s="453" t="e">
        <v>#N/A</v>
      </c>
      <c r="X29" s="453" t="e">
        <v>#N/A</v>
      </c>
      <c r="Y29" s="453" t="e">
        <v>#N/A</v>
      </c>
      <c r="Z29" s="146" t="e">
        <v>#N/A</v>
      </c>
      <c r="AA29" s="146" t="e">
        <v>#N/A</v>
      </c>
      <c r="AB29" s="146" t="e">
        <v>#N/A</v>
      </c>
      <c r="AC29" s="453" t="e">
        <v>#N/A</v>
      </c>
      <c r="AD29" s="453" t="e">
        <v>#N/A</v>
      </c>
      <c r="AE29" s="453" t="e">
        <v>#N/A</v>
      </c>
      <c r="AF29" s="453" t="e">
        <v>#N/A</v>
      </c>
      <c r="AG29" s="453" t="e">
        <f t="shared" si="3"/>
        <v>#N/A</v>
      </c>
      <c r="AH29" s="453" t="str">
        <f t="shared" si="4"/>
        <v/>
      </c>
      <c r="AI29" s="138" t="e">
        <f>IF(NOT(OR(Z29=1,Z29=2)),IF(AQ29&gt;0,$AR$44*AQ29/SUMIF($AQ$8:$AQ$39,"&gt;0"),IF(AU29&gt;0,$AV$44*AU29/SUMIF($AU$8:$AU$39,"&gt;0"),IF(AS29&gt;0,$AT$44*AS29/SUMIF($AS$8:$AS$39,"&gt;0"),""))),IF(SUMIF(AJ30:$AJ$39,"=" &amp; AJ29,AI30:$AI$39)=0,"",SUMIF(AJ30:$AJ$39,"=" &amp; AJ29,AI30:$AI$39)))</f>
        <v>#N/A</v>
      </c>
      <c r="AJ29" s="139" t="e">
        <f t="shared" si="34"/>
        <v>#N/A</v>
      </c>
      <c r="AK29" s="453" t="str">
        <f t="shared" si="27"/>
        <v/>
      </c>
      <c r="AL29" s="146" t="str">
        <f t="shared" si="28"/>
        <v/>
      </c>
      <c r="AM29" s="146" t="str">
        <f t="shared" si="35"/>
        <v/>
      </c>
      <c r="AN29" s="146" t="str">
        <f t="shared" si="5"/>
        <v/>
      </c>
      <c r="AO29" s="146" t="e">
        <f t="shared" si="6"/>
        <v>#N/A</v>
      </c>
      <c r="AP29" s="453" t="str">
        <f t="shared" si="7"/>
        <v/>
      </c>
      <c r="AQ29" s="140">
        <f t="shared" si="29"/>
        <v>0</v>
      </c>
      <c r="AR29" s="141" t="str">
        <f t="shared" si="8"/>
        <v/>
      </c>
      <c r="AS29" s="142">
        <f t="shared" si="30"/>
        <v>0</v>
      </c>
      <c r="AT29" s="141" t="str">
        <f t="shared" si="9"/>
        <v/>
      </c>
      <c r="AU29" s="143">
        <f t="shared" si="10"/>
        <v>0</v>
      </c>
      <c r="AV29" s="144" t="str">
        <f t="shared" si="11"/>
        <v/>
      </c>
      <c r="AW29" s="143" t="b">
        <f t="shared" si="12"/>
        <v>0</v>
      </c>
      <c r="AX29" s="145" t="b">
        <f t="shared" si="13"/>
        <v>0</v>
      </c>
      <c r="AY29" s="143" t="b">
        <f t="shared" si="14"/>
        <v>0</v>
      </c>
      <c r="AZ29" s="145" t="b">
        <f t="shared" si="15"/>
        <v>0</v>
      </c>
      <c r="BA29" s="453" t="b">
        <f t="shared" si="16"/>
        <v>0</v>
      </c>
      <c r="BB29" s="453" t="b">
        <f t="shared" si="17"/>
        <v>0</v>
      </c>
      <c r="BC29" s="143" t="b">
        <f t="shared" si="18"/>
        <v>0</v>
      </c>
      <c r="BD29" s="146" t="b">
        <f t="shared" si="31"/>
        <v>0</v>
      </c>
      <c r="BE29" s="145" t="b">
        <f t="shared" si="37"/>
        <v>0</v>
      </c>
      <c r="BF29" s="147" t="b">
        <f t="shared" si="20"/>
        <v>0</v>
      </c>
      <c r="BG29" s="453" t="str">
        <f t="shared" si="38"/>
        <v>NA</v>
      </c>
      <c r="BH29" s="453" t="str">
        <f t="shared" si="32"/>
        <v/>
      </c>
      <c r="BI29" s="453" t="str">
        <f t="shared" si="22"/>
        <v/>
      </c>
      <c r="BJ29" s="453" t="str">
        <f t="shared" si="23"/>
        <v/>
      </c>
      <c r="BK29" s="453" t="str">
        <f t="shared" si="24"/>
        <v/>
      </c>
      <c r="BL29" s="148" t="str">
        <f t="shared" si="33"/>
        <v/>
      </c>
      <c r="BM29" s="453" t="str">
        <f t="shared" si="25"/>
        <v/>
      </c>
      <c r="BN29" s="453" t="str">
        <f t="shared" si="26"/>
        <v/>
      </c>
      <c r="BO29" s="936"/>
      <c r="BP29" s="300" t="s">
        <v>367</v>
      </c>
      <c r="BQ29" s="168">
        <f t="shared" si="36"/>
        <v>0</v>
      </c>
      <c r="BR29" s="169">
        <f t="shared" si="36"/>
        <v>0.3</v>
      </c>
      <c r="BS29" s="169">
        <f t="shared" si="36"/>
        <v>0.6</v>
      </c>
      <c r="BT29" s="169">
        <f t="shared" si="36"/>
        <v>0.9</v>
      </c>
      <c r="BU29" s="170">
        <f t="shared" si="36"/>
        <v>1</v>
      </c>
    </row>
    <row r="30" spans="2:73" s="94" customFormat="1" ht="12.95" customHeight="1" x14ac:dyDescent="0.2">
      <c r="B30" s="151" t="str">
        <f>IF(ISNA(Z30),"",IF(OR(Z30=1,Z30=2),"    ",MAX($B$8:B29)+1))</f>
        <v/>
      </c>
      <c r="C30" s="904" t="str">
        <f t="shared" si="0"/>
        <v/>
      </c>
      <c r="D30" s="904"/>
      <c r="E30" s="904"/>
      <c r="F30" s="905"/>
      <c r="G30" s="133" t="str">
        <f t="shared" si="1"/>
        <v/>
      </c>
      <c r="H30" s="134" t="str">
        <f t="shared" si="2"/>
        <v/>
      </c>
      <c r="I30" s="152" t="str">
        <f t="shared" si="2"/>
        <v/>
      </c>
      <c r="J30" s="158"/>
      <c r="K30" s="159"/>
      <c r="L30" s="1015"/>
      <c r="M30" s="1016"/>
      <c r="N30" s="1016"/>
      <c r="O30" s="1016"/>
      <c r="P30" s="1016"/>
      <c r="Q30" s="1016"/>
      <c r="R30" s="1017"/>
      <c r="T30" s="99">
        <v>23</v>
      </c>
      <c r="U30" s="88" t="e">
        <v>#N/A</v>
      </c>
      <c r="V30" s="453" t="e">
        <v>#N/A</v>
      </c>
      <c r="W30" s="453" t="e">
        <v>#N/A</v>
      </c>
      <c r="X30" s="453" t="e">
        <v>#N/A</v>
      </c>
      <c r="Y30" s="453" t="e">
        <v>#N/A</v>
      </c>
      <c r="Z30" s="146" t="e">
        <v>#N/A</v>
      </c>
      <c r="AA30" s="146" t="e">
        <v>#N/A</v>
      </c>
      <c r="AB30" s="146" t="e">
        <v>#N/A</v>
      </c>
      <c r="AC30" s="453" t="e">
        <v>#N/A</v>
      </c>
      <c r="AD30" s="453" t="e">
        <v>#N/A</v>
      </c>
      <c r="AE30" s="453" t="e">
        <v>#N/A</v>
      </c>
      <c r="AF30" s="453" t="e">
        <v>#N/A</v>
      </c>
      <c r="AG30" s="453" t="e">
        <f t="shared" si="3"/>
        <v>#N/A</v>
      </c>
      <c r="AH30" s="453" t="str">
        <f t="shared" si="4"/>
        <v/>
      </c>
      <c r="AI30" s="138" t="e">
        <f>IF(NOT(OR(Z30=1,Z30=2)),IF(AQ30&gt;0,$AR$44*AQ30/SUMIF($AQ$8:$AQ$39,"&gt;0"),IF(AU30&gt;0,$AV$44*AU30/SUMIF($AU$8:$AU$39,"&gt;0"),IF(AS30&gt;0,$AT$44*AS30/SUMIF($AS$8:$AS$39,"&gt;0"),""))),IF(SUMIF(AJ31:$AJ$39,"=" &amp; AJ30,AI31:$AI$39)=0,"",SUMIF(AJ31:$AJ$39,"=" &amp; AJ30,AI31:$AI$39)))</f>
        <v>#N/A</v>
      </c>
      <c r="AJ30" s="139" t="e">
        <f t="shared" si="34"/>
        <v>#N/A</v>
      </c>
      <c r="AK30" s="453" t="str">
        <f t="shared" si="27"/>
        <v/>
      </c>
      <c r="AL30" s="146" t="str">
        <f t="shared" si="28"/>
        <v/>
      </c>
      <c r="AM30" s="146" t="str">
        <f t="shared" si="35"/>
        <v/>
      </c>
      <c r="AN30" s="146" t="str">
        <f t="shared" si="5"/>
        <v/>
      </c>
      <c r="AO30" s="146" t="e">
        <f t="shared" si="6"/>
        <v>#N/A</v>
      </c>
      <c r="AP30" s="453" t="str">
        <f t="shared" si="7"/>
        <v/>
      </c>
      <c r="AQ30" s="140">
        <f t="shared" si="29"/>
        <v>0</v>
      </c>
      <c r="AR30" s="141" t="str">
        <f t="shared" si="8"/>
        <v/>
      </c>
      <c r="AS30" s="142">
        <f t="shared" si="30"/>
        <v>0</v>
      </c>
      <c r="AT30" s="141" t="str">
        <f t="shared" si="9"/>
        <v/>
      </c>
      <c r="AU30" s="143">
        <f t="shared" si="10"/>
        <v>0</v>
      </c>
      <c r="AV30" s="144" t="str">
        <f t="shared" si="11"/>
        <v/>
      </c>
      <c r="AW30" s="143" t="b">
        <f t="shared" si="12"/>
        <v>0</v>
      </c>
      <c r="AX30" s="145" t="b">
        <f t="shared" si="13"/>
        <v>0</v>
      </c>
      <c r="AY30" s="143" t="b">
        <f t="shared" si="14"/>
        <v>0</v>
      </c>
      <c r="AZ30" s="145" t="b">
        <f t="shared" si="15"/>
        <v>0</v>
      </c>
      <c r="BA30" s="453" t="b">
        <f t="shared" si="16"/>
        <v>0</v>
      </c>
      <c r="BB30" s="453" t="b">
        <f t="shared" si="17"/>
        <v>0</v>
      </c>
      <c r="BC30" s="143" t="b">
        <f t="shared" si="18"/>
        <v>0</v>
      </c>
      <c r="BD30" s="146" t="b">
        <f t="shared" si="31"/>
        <v>0</v>
      </c>
      <c r="BE30" s="145" t="b">
        <f t="shared" si="37"/>
        <v>0</v>
      </c>
      <c r="BF30" s="147" t="b">
        <f t="shared" si="20"/>
        <v>0</v>
      </c>
      <c r="BG30" s="453" t="str">
        <f t="shared" si="38"/>
        <v>NA</v>
      </c>
      <c r="BH30" s="453" t="str">
        <f t="shared" si="32"/>
        <v/>
      </c>
      <c r="BI30" s="453" t="str">
        <f t="shared" si="22"/>
        <v/>
      </c>
      <c r="BJ30" s="453" t="str">
        <f t="shared" si="23"/>
        <v/>
      </c>
      <c r="BK30" s="453" t="str">
        <f t="shared" si="24"/>
        <v/>
      </c>
      <c r="BL30" s="148" t="str">
        <f t="shared" si="33"/>
        <v/>
      </c>
      <c r="BM30" s="453" t="str">
        <f t="shared" si="25"/>
        <v/>
      </c>
      <c r="BN30" s="453" t="str">
        <f t="shared" si="26"/>
        <v/>
      </c>
      <c r="BO30" s="90"/>
    </row>
    <row r="31" spans="2:73" s="94" customFormat="1" ht="12.95" customHeight="1" x14ac:dyDescent="0.2">
      <c r="B31" s="151" t="str">
        <f>IF(ISNA(Z31),"",IF(OR(Z31=1,Z31=2),"    ",MAX($B$8:B30)+1))</f>
        <v/>
      </c>
      <c r="C31" s="904" t="str">
        <f t="shared" si="0"/>
        <v/>
      </c>
      <c r="D31" s="904"/>
      <c r="E31" s="904"/>
      <c r="F31" s="905"/>
      <c r="G31" s="133" t="str">
        <f t="shared" si="1"/>
        <v/>
      </c>
      <c r="H31" s="134" t="str">
        <f t="shared" si="2"/>
        <v/>
      </c>
      <c r="I31" s="152" t="str">
        <f t="shared" si="2"/>
        <v/>
      </c>
      <c r="J31" s="158"/>
      <c r="K31" s="159"/>
      <c r="L31" s="1015"/>
      <c r="M31" s="1016"/>
      <c r="N31" s="1016"/>
      <c r="O31" s="1016"/>
      <c r="P31" s="1016"/>
      <c r="Q31" s="1016"/>
      <c r="R31" s="1017"/>
      <c r="T31" s="99">
        <v>24</v>
      </c>
      <c r="U31" s="88" t="e">
        <v>#N/A</v>
      </c>
      <c r="V31" s="453" t="e">
        <v>#N/A</v>
      </c>
      <c r="W31" s="453" t="e">
        <v>#N/A</v>
      </c>
      <c r="X31" s="453" t="e">
        <v>#N/A</v>
      </c>
      <c r="Y31" s="453" t="e">
        <v>#N/A</v>
      </c>
      <c r="Z31" s="146" t="e">
        <v>#N/A</v>
      </c>
      <c r="AA31" s="146" t="e">
        <v>#N/A</v>
      </c>
      <c r="AB31" s="146" t="e">
        <v>#N/A</v>
      </c>
      <c r="AC31" s="453" t="e">
        <v>#N/A</v>
      </c>
      <c r="AD31" s="453" t="e">
        <v>#N/A</v>
      </c>
      <c r="AE31" s="453" t="e">
        <v>#N/A</v>
      </c>
      <c r="AF31" s="453" t="e">
        <v>#N/A</v>
      </c>
      <c r="AG31" s="453" t="e">
        <f t="shared" si="3"/>
        <v>#N/A</v>
      </c>
      <c r="AH31" s="453" t="str">
        <f t="shared" si="4"/>
        <v/>
      </c>
      <c r="AI31" s="138" t="e">
        <f>IF(NOT(OR(Z31=1,Z31=2)),IF(AQ31&gt;0,$AR$44*AQ31/SUMIF($AQ$8:$AQ$39,"&gt;0"),IF(AU31&gt;0,$AV$44*AU31/SUMIF($AU$8:$AU$39,"&gt;0"),IF(AS31&gt;0,$AT$44*AS31/SUMIF($AS$8:$AS$39,"&gt;0"),""))),IF(SUMIF(AJ32:$AJ$39,"=" &amp; AJ31,AI32:$AI$39)=0,"",SUMIF(AJ32:$AJ$39,"=" &amp; AJ31,AI32:$AI$39)))</f>
        <v>#N/A</v>
      </c>
      <c r="AJ31" s="139" t="e">
        <f t="shared" si="34"/>
        <v>#N/A</v>
      </c>
      <c r="AK31" s="453" t="str">
        <f t="shared" si="27"/>
        <v/>
      </c>
      <c r="AL31" s="146" t="str">
        <f t="shared" si="28"/>
        <v/>
      </c>
      <c r="AM31" s="146" t="str">
        <f t="shared" si="35"/>
        <v/>
      </c>
      <c r="AN31" s="146" t="str">
        <f t="shared" si="5"/>
        <v/>
      </c>
      <c r="AO31" s="146" t="e">
        <f t="shared" si="6"/>
        <v>#N/A</v>
      </c>
      <c r="AP31" s="453" t="str">
        <f t="shared" si="7"/>
        <v/>
      </c>
      <c r="AQ31" s="140">
        <f t="shared" si="29"/>
        <v>0</v>
      </c>
      <c r="AR31" s="141" t="str">
        <f t="shared" si="8"/>
        <v/>
      </c>
      <c r="AS31" s="142">
        <f t="shared" si="30"/>
        <v>0</v>
      </c>
      <c r="AT31" s="141" t="str">
        <f t="shared" si="9"/>
        <v/>
      </c>
      <c r="AU31" s="143">
        <f t="shared" si="10"/>
        <v>0</v>
      </c>
      <c r="AV31" s="144" t="str">
        <f t="shared" si="11"/>
        <v/>
      </c>
      <c r="AW31" s="143" t="b">
        <f t="shared" si="12"/>
        <v>0</v>
      </c>
      <c r="AX31" s="145" t="b">
        <f t="shared" si="13"/>
        <v>0</v>
      </c>
      <c r="AY31" s="143" t="b">
        <f t="shared" si="14"/>
        <v>0</v>
      </c>
      <c r="AZ31" s="145" t="b">
        <f t="shared" si="15"/>
        <v>0</v>
      </c>
      <c r="BA31" s="453" t="b">
        <f t="shared" si="16"/>
        <v>0</v>
      </c>
      <c r="BB31" s="453" t="b">
        <f t="shared" si="17"/>
        <v>0</v>
      </c>
      <c r="BC31" s="143" t="b">
        <f t="shared" si="18"/>
        <v>0</v>
      </c>
      <c r="BD31" s="146" t="b">
        <f>IF(OR(ISNA($Z31),ISNUMBER($Z31),NOT(ISNUMBER(K31))),FALSE,OR(NOT(ISNUMBER(J31)),J31=0,AND(J31=0,K31&lt;&gt;0)))</f>
        <v>0</v>
      </c>
      <c r="BE31" s="145" t="b">
        <f t="shared" si="37"/>
        <v>0</v>
      </c>
      <c r="BF31" s="147" t="b">
        <f>IF(OR(ISNA($Z31),H31&lt;&gt;"NG"),FALSE,IF(AND(J31="NA",K31&lt;&gt;""),TRUE,FALSE))</f>
        <v>0</v>
      </c>
      <c r="BG31" s="453" t="str">
        <f t="shared" si="38"/>
        <v>NA</v>
      </c>
      <c r="BH31" s="453" t="str">
        <f t="shared" si="32"/>
        <v/>
      </c>
      <c r="BI31" s="453" t="str">
        <f t="shared" si="22"/>
        <v/>
      </c>
      <c r="BJ31" s="453" t="str">
        <f t="shared" si="23"/>
        <v/>
      </c>
      <c r="BK31" s="453" t="str">
        <f t="shared" si="24"/>
        <v/>
      </c>
      <c r="BL31" s="148" t="str">
        <f t="shared" si="33"/>
        <v/>
      </c>
      <c r="BM31" s="453" t="str">
        <f t="shared" si="25"/>
        <v/>
      </c>
      <c r="BN31" s="453" t="str">
        <f t="shared" si="26"/>
        <v/>
      </c>
      <c r="BO31" s="155" t="s">
        <v>368</v>
      </c>
      <c r="BP31" s="161" t="s">
        <v>369</v>
      </c>
    </row>
    <row r="32" spans="2:73" s="94" customFormat="1" ht="12.95" customHeight="1" x14ac:dyDescent="0.2">
      <c r="B32" s="151" t="str">
        <f>IF(ISNA(Z32),"",IF(OR(Z32=1,Z32=2),"    ",MAX($B$8:B31)+1))</f>
        <v/>
      </c>
      <c r="C32" s="904" t="str">
        <f t="shared" si="0"/>
        <v/>
      </c>
      <c r="D32" s="904"/>
      <c r="E32" s="904"/>
      <c r="F32" s="905"/>
      <c r="G32" s="133" t="str">
        <f t="shared" si="1"/>
        <v/>
      </c>
      <c r="H32" s="134" t="str">
        <f t="shared" si="2"/>
        <v/>
      </c>
      <c r="I32" s="152" t="str">
        <f t="shared" si="2"/>
        <v/>
      </c>
      <c r="J32" s="158"/>
      <c r="K32" s="159"/>
      <c r="L32" s="1015"/>
      <c r="M32" s="1016"/>
      <c r="N32" s="1016"/>
      <c r="O32" s="1016"/>
      <c r="P32" s="1016"/>
      <c r="Q32" s="1016"/>
      <c r="R32" s="1017"/>
      <c r="T32" s="99">
        <v>25</v>
      </c>
      <c r="U32" s="88" t="e">
        <v>#N/A</v>
      </c>
      <c r="V32" s="453" t="e">
        <v>#N/A</v>
      </c>
      <c r="W32" s="453" t="e">
        <v>#N/A</v>
      </c>
      <c r="X32" s="453" t="e">
        <v>#N/A</v>
      </c>
      <c r="Y32" s="453" t="e">
        <v>#N/A</v>
      </c>
      <c r="Z32" s="146" t="e">
        <v>#N/A</v>
      </c>
      <c r="AA32" s="146" t="e">
        <v>#N/A</v>
      </c>
      <c r="AB32" s="146" t="e">
        <v>#N/A</v>
      </c>
      <c r="AC32" s="453" t="e">
        <v>#N/A</v>
      </c>
      <c r="AD32" s="453" t="e">
        <v>#N/A</v>
      </c>
      <c r="AE32" s="453" t="e">
        <v>#N/A</v>
      </c>
      <c r="AF32" s="453" t="e">
        <v>#N/A</v>
      </c>
      <c r="AG32" s="453" t="e">
        <f t="shared" si="3"/>
        <v>#N/A</v>
      </c>
      <c r="AH32" s="453" t="str">
        <f t="shared" si="4"/>
        <v/>
      </c>
      <c r="AI32" s="138" t="e">
        <f>IF(NOT(OR(Z32=1,Z32=2)),IF(AQ32&gt;0,$AR$44*AQ32/SUMIF($AQ$8:$AQ$39,"&gt;0"),IF(AU32&gt;0,$AV$44*AU32/SUMIF($AU$8:$AU$39,"&gt;0"),IF(AS32&gt;0,$AT$44*AS32/SUMIF($AS$8:$AS$39,"&gt;0"),""))),IF(SUMIF(AJ33:$AJ$39,"=" &amp; AJ32,AI33:$AI$39)=0,"",SUMIF(AJ33:$AJ$39,"=" &amp; AJ32,AI33:$AI$39)))</f>
        <v>#N/A</v>
      </c>
      <c r="AJ32" s="139" t="e">
        <f t="shared" si="34"/>
        <v>#N/A</v>
      </c>
      <c r="AK32" s="453" t="str">
        <f t="shared" si="27"/>
        <v/>
      </c>
      <c r="AL32" s="146" t="str">
        <f t="shared" si="28"/>
        <v/>
      </c>
      <c r="AM32" s="146" t="str">
        <f t="shared" si="35"/>
        <v/>
      </c>
      <c r="AN32" s="146" t="str">
        <f t="shared" si="5"/>
        <v/>
      </c>
      <c r="AO32" s="146" t="e">
        <f t="shared" si="6"/>
        <v>#N/A</v>
      </c>
      <c r="AP32" s="453" t="str">
        <f t="shared" si="7"/>
        <v/>
      </c>
      <c r="AQ32" s="140">
        <f t="shared" si="29"/>
        <v>0</v>
      </c>
      <c r="AR32" s="141" t="str">
        <f t="shared" si="8"/>
        <v/>
      </c>
      <c r="AS32" s="142">
        <f t="shared" si="30"/>
        <v>0</v>
      </c>
      <c r="AT32" s="141" t="str">
        <f t="shared" si="9"/>
        <v/>
      </c>
      <c r="AU32" s="143">
        <f t="shared" si="10"/>
        <v>0</v>
      </c>
      <c r="AV32" s="144" t="str">
        <f t="shared" si="11"/>
        <v/>
      </c>
      <c r="AW32" s="143" t="b">
        <f t="shared" si="12"/>
        <v>0</v>
      </c>
      <c r="AX32" s="145" t="b">
        <f t="shared" si="13"/>
        <v>0</v>
      </c>
      <c r="AY32" s="143" t="b">
        <f t="shared" si="14"/>
        <v>0</v>
      </c>
      <c r="AZ32" s="145" t="b">
        <f t="shared" si="15"/>
        <v>0</v>
      </c>
      <c r="BA32" s="453" t="b">
        <f t="shared" si="16"/>
        <v>0</v>
      </c>
      <c r="BB32" s="453" t="b">
        <f t="shared" si="17"/>
        <v>0</v>
      </c>
      <c r="BC32" s="143" t="b">
        <f t="shared" si="18"/>
        <v>0</v>
      </c>
      <c r="BD32" s="146" t="b">
        <f t="shared" si="31"/>
        <v>0</v>
      </c>
      <c r="BE32" s="145" t="b">
        <f t="shared" si="37"/>
        <v>0</v>
      </c>
      <c r="BF32" s="147" t="b">
        <f t="shared" ref="BF32:BF39" si="39">IF(OR(ISNA($Z32),H32&lt;&gt;"NG"),FALSE,IF(AND(J32="NA",K32&lt;&gt;""),TRUE,FALSE))</f>
        <v>0</v>
      </c>
      <c r="BG32" s="453" t="str">
        <f t="shared" si="38"/>
        <v>NA</v>
      </c>
      <c r="BH32" s="453" t="str">
        <f t="shared" si="32"/>
        <v/>
      </c>
      <c r="BI32" s="453" t="str">
        <f t="shared" si="22"/>
        <v/>
      </c>
      <c r="BJ32" s="453" t="str">
        <f t="shared" si="23"/>
        <v/>
      </c>
      <c r="BK32" s="453" t="str">
        <f t="shared" si="24"/>
        <v/>
      </c>
      <c r="BL32" s="148" t="str">
        <f t="shared" si="33"/>
        <v/>
      </c>
      <c r="BM32" s="453" t="str">
        <f t="shared" si="25"/>
        <v/>
      </c>
      <c r="BN32" s="453" t="str">
        <f t="shared" si="26"/>
        <v/>
      </c>
      <c r="BO32" s="155" t="s">
        <v>370</v>
      </c>
      <c r="BP32" s="161" t="s">
        <v>371</v>
      </c>
    </row>
    <row r="33" spans="2:73" s="94" customFormat="1" ht="12.95" customHeight="1" x14ac:dyDescent="0.2">
      <c r="B33" s="151" t="str">
        <f>IF(ISNA(Z33),"",IF(OR(Z33=1,Z33=2),"    ",MAX($B$8:B32)+1))</f>
        <v/>
      </c>
      <c r="C33" s="904" t="str">
        <f t="shared" si="0"/>
        <v/>
      </c>
      <c r="D33" s="904"/>
      <c r="E33" s="904"/>
      <c r="F33" s="905"/>
      <c r="G33" s="133" t="str">
        <f t="shared" si="1"/>
        <v/>
      </c>
      <c r="H33" s="134" t="str">
        <f t="shared" si="2"/>
        <v/>
      </c>
      <c r="I33" s="152" t="str">
        <f t="shared" si="2"/>
        <v/>
      </c>
      <c r="J33" s="158"/>
      <c r="K33" s="159"/>
      <c r="L33" s="1015"/>
      <c r="M33" s="1016"/>
      <c r="N33" s="1016"/>
      <c r="O33" s="1016"/>
      <c r="P33" s="1016"/>
      <c r="Q33" s="1016"/>
      <c r="R33" s="1017"/>
      <c r="T33" s="99">
        <v>26</v>
      </c>
      <c r="U33" s="88" t="e">
        <v>#N/A</v>
      </c>
      <c r="V33" s="453" t="e">
        <v>#N/A</v>
      </c>
      <c r="W33" s="453" t="e">
        <v>#N/A</v>
      </c>
      <c r="X33" s="453" t="e">
        <v>#N/A</v>
      </c>
      <c r="Y33" s="453" t="e">
        <v>#N/A</v>
      </c>
      <c r="Z33" s="146" t="e">
        <v>#N/A</v>
      </c>
      <c r="AA33" s="146" t="e">
        <v>#N/A</v>
      </c>
      <c r="AB33" s="146" t="e">
        <v>#N/A</v>
      </c>
      <c r="AC33" s="453" t="e">
        <v>#N/A</v>
      </c>
      <c r="AD33" s="453" t="e">
        <v>#N/A</v>
      </c>
      <c r="AE33" s="453" t="e">
        <v>#N/A</v>
      </c>
      <c r="AF33" s="453" t="e">
        <v>#N/A</v>
      </c>
      <c r="AG33" s="453" t="e">
        <f t="shared" si="3"/>
        <v>#N/A</v>
      </c>
      <c r="AH33" s="453" t="str">
        <f t="shared" si="4"/>
        <v/>
      </c>
      <c r="AI33" s="138" t="e">
        <f>IF(NOT(OR(Z33=1,Z33=2)),IF(AQ33&gt;0,$AR$44*AQ33/SUMIF($AQ$8:$AQ$39,"&gt;0"),IF(AU33&gt;0,$AV$44*AU33/SUMIF($AU$8:$AU$39,"&gt;0"),IF(AS33&gt;0,$AT$44*AS33/SUMIF($AS$8:$AS$39,"&gt;0"),""))),IF(SUMIF(AJ34:$AJ$39,"=" &amp; AJ33,AI34:$AI$39)=0,"",SUMIF(AJ34:$AJ$39,"=" &amp; AJ33,AI34:$AI$39)))</f>
        <v>#N/A</v>
      </c>
      <c r="AJ33" s="139" t="e">
        <f t="shared" si="34"/>
        <v>#N/A</v>
      </c>
      <c r="AK33" s="453" t="str">
        <f t="shared" si="27"/>
        <v/>
      </c>
      <c r="AL33" s="146" t="str">
        <f t="shared" si="28"/>
        <v/>
      </c>
      <c r="AM33" s="146" t="str">
        <f t="shared" si="35"/>
        <v/>
      </c>
      <c r="AN33" s="146" t="str">
        <f t="shared" si="5"/>
        <v/>
      </c>
      <c r="AO33" s="146" t="e">
        <f t="shared" si="6"/>
        <v>#N/A</v>
      </c>
      <c r="AP33" s="453" t="str">
        <f t="shared" si="7"/>
        <v/>
      </c>
      <c r="AQ33" s="140">
        <f t="shared" si="29"/>
        <v>0</v>
      </c>
      <c r="AR33" s="141" t="str">
        <f t="shared" si="8"/>
        <v/>
      </c>
      <c r="AS33" s="142">
        <f t="shared" si="30"/>
        <v>0</v>
      </c>
      <c r="AT33" s="141" t="str">
        <f t="shared" si="9"/>
        <v/>
      </c>
      <c r="AU33" s="143">
        <f t="shared" si="10"/>
        <v>0</v>
      </c>
      <c r="AV33" s="144" t="str">
        <f t="shared" si="11"/>
        <v/>
      </c>
      <c r="AW33" s="143" t="b">
        <f t="shared" si="12"/>
        <v>0</v>
      </c>
      <c r="AX33" s="145" t="b">
        <f t="shared" si="13"/>
        <v>0</v>
      </c>
      <c r="AY33" s="143" t="b">
        <f t="shared" si="14"/>
        <v>0</v>
      </c>
      <c r="AZ33" s="145" t="b">
        <f t="shared" si="15"/>
        <v>0</v>
      </c>
      <c r="BA33" s="453" t="b">
        <f t="shared" si="16"/>
        <v>0</v>
      </c>
      <c r="BB33" s="453" t="b">
        <f t="shared" si="17"/>
        <v>0</v>
      </c>
      <c r="BC33" s="143" t="b">
        <f t="shared" si="18"/>
        <v>0</v>
      </c>
      <c r="BD33" s="146" t="b">
        <f t="shared" si="31"/>
        <v>0</v>
      </c>
      <c r="BE33" s="145" t="b">
        <f t="shared" si="37"/>
        <v>0</v>
      </c>
      <c r="BF33" s="147" t="b">
        <f t="shared" si="39"/>
        <v>0</v>
      </c>
      <c r="BG33" s="453" t="str">
        <f t="shared" si="38"/>
        <v>NA</v>
      </c>
      <c r="BH33" s="453" t="str">
        <f t="shared" si="32"/>
        <v/>
      </c>
      <c r="BI33" s="453" t="str">
        <f t="shared" si="22"/>
        <v/>
      </c>
      <c r="BJ33" s="453" t="str">
        <f t="shared" si="23"/>
        <v/>
      </c>
      <c r="BK33" s="453" t="str">
        <f t="shared" si="24"/>
        <v/>
      </c>
      <c r="BL33" s="148" t="str">
        <f t="shared" si="33"/>
        <v/>
      </c>
      <c r="BM33" s="453" t="str">
        <f t="shared" si="25"/>
        <v/>
      </c>
      <c r="BN33" s="453" t="str">
        <f t="shared" si="26"/>
        <v/>
      </c>
      <c r="BO33" s="150" t="s">
        <v>372</v>
      </c>
      <c r="BP33" s="161"/>
      <c r="BQ33" s="161"/>
      <c r="BR33" s="161"/>
      <c r="BS33" s="161"/>
      <c r="BT33" s="161"/>
      <c r="BU33" s="161"/>
    </row>
    <row r="34" spans="2:73" s="94" customFormat="1" ht="12.95" customHeight="1" x14ac:dyDescent="0.2">
      <c r="B34" s="151" t="str">
        <f>IF(ISNA(Z34),"",IF(OR(Z34=1,Z34=2),"    ",MAX($B$8:B33)+1))</f>
        <v/>
      </c>
      <c r="C34" s="904" t="str">
        <f t="shared" si="0"/>
        <v/>
      </c>
      <c r="D34" s="904"/>
      <c r="E34" s="904"/>
      <c r="F34" s="905"/>
      <c r="G34" s="133" t="str">
        <f t="shared" si="1"/>
        <v/>
      </c>
      <c r="H34" s="134" t="str">
        <f t="shared" si="2"/>
        <v/>
      </c>
      <c r="I34" s="152" t="str">
        <f t="shared" si="2"/>
        <v/>
      </c>
      <c r="J34" s="158"/>
      <c r="K34" s="159"/>
      <c r="L34" s="1015"/>
      <c r="M34" s="1016"/>
      <c r="N34" s="1016"/>
      <c r="O34" s="1016"/>
      <c r="P34" s="1016"/>
      <c r="Q34" s="1016"/>
      <c r="R34" s="1017"/>
      <c r="T34" s="99">
        <v>27</v>
      </c>
      <c r="U34" s="88" t="e">
        <v>#N/A</v>
      </c>
      <c r="V34" s="453" t="e">
        <v>#N/A</v>
      </c>
      <c r="W34" s="453" t="e">
        <v>#N/A</v>
      </c>
      <c r="X34" s="453" t="e">
        <v>#N/A</v>
      </c>
      <c r="Y34" s="453" t="e">
        <v>#N/A</v>
      </c>
      <c r="Z34" s="146" t="e">
        <v>#N/A</v>
      </c>
      <c r="AA34" s="146" t="e">
        <v>#N/A</v>
      </c>
      <c r="AB34" s="146" t="e">
        <v>#N/A</v>
      </c>
      <c r="AC34" s="453" t="e">
        <v>#N/A</v>
      </c>
      <c r="AD34" s="453" t="e">
        <v>#N/A</v>
      </c>
      <c r="AE34" s="453" t="e">
        <v>#N/A</v>
      </c>
      <c r="AF34" s="453" t="e">
        <v>#N/A</v>
      </c>
      <c r="AG34" s="453" t="e">
        <f t="shared" si="3"/>
        <v>#N/A</v>
      </c>
      <c r="AH34" s="453" t="str">
        <f t="shared" si="4"/>
        <v/>
      </c>
      <c r="AI34" s="138" t="e">
        <f>IF(NOT(OR(Z34=1,Z34=2)),IF(AQ34&gt;0,$AR$44*AQ34/SUMIF($AQ$8:$AQ$39,"&gt;0"),IF(AU34&gt;0,$AV$44*AU34/SUMIF($AU$8:$AU$39,"&gt;0"),IF(AS34&gt;0,$AT$44*AS34/SUMIF($AS$8:$AS$39,"&gt;0"),""))),IF(SUMIF(AJ35:$AJ$39,"=" &amp; AJ34,AI35:$AI$39)=0,"",SUMIF(AJ35:$AJ$39,"=" &amp; AJ34,AI35:$AI$39)))</f>
        <v>#N/A</v>
      </c>
      <c r="AJ34" s="139" t="e">
        <f t="shared" si="34"/>
        <v>#N/A</v>
      </c>
      <c r="AK34" s="453" t="str">
        <f t="shared" si="27"/>
        <v/>
      </c>
      <c r="AL34" s="146" t="str">
        <f t="shared" si="28"/>
        <v/>
      </c>
      <c r="AM34" s="146" t="str">
        <f t="shared" si="35"/>
        <v/>
      </c>
      <c r="AN34" s="146" t="str">
        <f t="shared" si="5"/>
        <v/>
      </c>
      <c r="AO34" s="146" t="e">
        <f t="shared" si="6"/>
        <v>#N/A</v>
      </c>
      <c r="AP34" s="453" t="str">
        <f t="shared" si="7"/>
        <v/>
      </c>
      <c r="AQ34" s="140">
        <f t="shared" si="29"/>
        <v>0</v>
      </c>
      <c r="AR34" s="141" t="str">
        <f t="shared" si="8"/>
        <v/>
      </c>
      <c r="AS34" s="142">
        <f t="shared" si="30"/>
        <v>0</v>
      </c>
      <c r="AT34" s="141" t="str">
        <f t="shared" si="9"/>
        <v/>
      </c>
      <c r="AU34" s="143">
        <f t="shared" si="10"/>
        <v>0</v>
      </c>
      <c r="AV34" s="144" t="str">
        <f t="shared" si="11"/>
        <v/>
      </c>
      <c r="AW34" s="143" t="b">
        <f t="shared" si="12"/>
        <v>0</v>
      </c>
      <c r="AX34" s="145" t="b">
        <f t="shared" si="13"/>
        <v>0</v>
      </c>
      <c r="AY34" s="143" t="b">
        <f t="shared" si="14"/>
        <v>0</v>
      </c>
      <c r="AZ34" s="145" t="b">
        <f t="shared" si="15"/>
        <v>0</v>
      </c>
      <c r="BA34" s="453" t="b">
        <f t="shared" si="16"/>
        <v>0</v>
      </c>
      <c r="BB34" s="453" t="b">
        <f t="shared" si="17"/>
        <v>0</v>
      </c>
      <c r="BC34" s="143" t="b">
        <f t="shared" si="18"/>
        <v>0</v>
      </c>
      <c r="BD34" s="146" t="b">
        <f t="shared" si="31"/>
        <v>0</v>
      </c>
      <c r="BE34" s="145" t="b">
        <f t="shared" si="37"/>
        <v>0</v>
      </c>
      <c r="BF34" s="147" t="b">
        <f t="shared" si="39"/>
        <v>0</v>
      </c>
      <c r="BG34" s="453" t="str">
        <f t="shared" si="38"/>
        <v>NA</v>
      </c>
      <c r="BH34" s="453" t="str">
        <f t="shared" si="32"/>
        <v/>
      </c>
      <c r="BI34" s="453" t="str">
        <f t="shared" si="22"/>
        <v/>
      </c>
      <c r="BJ34" s="453" t="str">
        <f t="shared" si="23"/>
        <v/>
      </c>
      <c r="BK34" s="453" t="str">
        <f t="shared" si="24"/>
        <v/>
      </c>
      <c r="BL34" s="148" t="str">
        <f t="shared" si="33"/>
        <v/>
      </c>
      <c r="BM34" s="453" t="str">
        <f t="shared" si="25"/>
        <v/>
      </c>
      <c r="BN34" s="453" t="str">
        <f t="shared" si="26"/>
        <v/>
      </c>
      <c r="BO34" s="1023"/>
      <c r="BP34" s="1024"/>
      <c r="BQ34" s="1024"/>
      <c r="BR34" s="1024"/>
      <c r="BS34" s="1024"/>
      <c r="BT34" s="1024"/>
      <c r="BU34" s="1025"/>
    </row>
    <row r="35" spans="2:73" s="94" customFormat="1" ht="12.95" customHeight="1" x14ac:dyDescent="0.2">
      <c r="B35" s="151" t="str">
        <f>IF(ISNA(Z35),"",IF(OR(Z35=1,Z35=2),"    ",MAX($B$8:B34)+1))</f>
        <v/>
      </c>
      <c r="C35" s="904" t="str">
        <f t="shared" si="0"/>
        <v/>
      </c>
      <c r="D35" s="904"/>
      <c r="E35" s="904"/>
      <c r="F35" s="905"/>
      <c r="G35" s="133" t="str">
        <f t="shared" si="1"/>
        <v/>
      </c>
      <c r="H35" s="134" t="str">
        <f t="shared" si="2"/>
        <v/>
      </c>
      <c r="I35" s="152" t="str">
        <f t="shared" si="2"/>
        <v/>
      </c>
      <c r="J35" s="158"/>
      <c r="K35" s="159"/>
      <c r="L35" s="1015"/>
      <c r="M35" s="1016"/>
      <c r="N35" s="1016"/>
      <c r="O35" s="1016"/>
      <c r="P35" s="1016"/>
      <c r="Q35" s="1016"/>
      <c r="R35" s="1017"/>
      <c r="T35" s="99">
        <v>28</v>
      </c>
      <c r="U35" s="88" t="e">
        <v>#N/A</v>
      </c>
      <c r="V35" s="453" t="e">
        <v>#N/A</v>
      </c>
      <c r="W35" s="453" t="e">
        <v>#N/A</v>
      </c>
      <c r="X35" s="453" t="e">
        <v>#N/A</v>
      </c>
      <c r="Y35" s="453" t="e">
        <v>#N/A</v>
      </c>
      <c r="Z35" s="146" t="e">
        <v>#N/A</v>
      </c>
      <c r="AA35" s="146" t="e">
        <v>#N/A</v>
      </c>
      <c r="AB35" s="146" t="e">
        <v>#N/A</v>
      </c>
      <c r="AC35" s="453" t="e">
        <v>#N/A</v>
      </c>
      <c r="AD35" s="453" t="e">
        <v>#N/A</v>
      </c>
      <c r="AE35" s="453" t="e">
        <v>#N/A</v>
      </c>
      <c r="AF35" s="453" t="e">
        <v>#N/A</v>
      </c>
      <c r="AG35" s="453" t="e">
        <f t="shared" si="3"/>
        <v>#N/A</v>
      </c>
      <c r="AH35" s="453" t="str">
        <f t="shared" si="4"/>
        <v/>
      </c>
      <c r="AI35" s="138" t="e">
        <f>IF(NOT(OR(Z35=1,Z35=2)),IF(AQ35&gt;0,$AR$44*AQ35/SUMIF($AQ$8:$AQ$39,"&gt;0"),IF(AU35&gt;0,$AV$44*AU35/SUMIF($AU$8:$AU$39,"&gt;0"),IF(AS35&gt;0,$AT$44*AS35/SUMIF($AS$8:$AS$39,"&gt;0"),""))),IF(SUMIF(AJ36:$AJ$39,"=" &amp; AJ35,AI36:$AI$39)=0,"",SUMIF(AJ36:$AJ$39,"=" &amp; AJ35,AI36:$AI$39)))</f>
        <v>#N/A</v>
      </c>
      <c r="AJ35" s="139" t="e">
        <f t="shared" si="34"/>
        <v>#N/A</v>
      </c>
      <c r="AK35" s="453" t="str">
        <f t="shared" si="27"/>
        <v/>
      </c>
      <c r="AL35" s="146" t="str">
        <f t="shared" si="28"/>
        <v/>
      </c>
      <c r="AM35" s="146" t="str">
        <f t="shared" si="35"/>
        <v/>
      </c>
      <c r="AN35" s="146" t="str">
        <f t="shared" si="5"/>
        <v/>
      </c>
      <c r="AO35" s="146" t="e">
        <f t="shared" si="6"/>
        <v>#N/A</v>
      </c>
      <c r="AP35" s="453" t="str">
        <f t="shared" si="7"/>
        <v/>
      </c>
      <c r="AQ35" s="140">
        <f t="shared" si="29"/>
        <v>0</v>
      </c>
      <c r="AR35" s="141" t="str">
        <f t="shared" si="8"/>
        <v/>
      </c>
      <c r="AS35" s="142">
        <f t="shared" si="30"/>
        <v>0</v>
      </c>
      <c r="AT35" s="141" t="str">
        <f t="shared" si="9"/>
        <v/>
      </c>
      <c r="AU35" s="143">
        <f t="shared" si="10"/>
        <v>0</v>
      </c>
      <c r="AV35" s="144" t="str">
        <f t="shared" si="11"/>
        <v/>
      </c>
      <c r="AW35" s="143" t="b">
        <f t="shared" si="12"/>
        <v>0</v>
      </c>
      <c r="AX35" s="145" t="b">
        <f t="shared" si="13"/>
        <v>0</v>
      </c>
      <c r="AY35" s="143" t="b">
        <f t="shared" si="14"/>
        <v>0</v>
      </c>
      <c r="AZ35" s="145" t="b">
        <f t="shared" si="15"/>
        <v>0</v>
      </c>
      <c r="BA35" s="453" t="b">
        <f t="shared" si="16"/>
        <v>0</v>
      </c>
      <c r="BB35" s="453" t="b">
        <f t="shared" si="17"/>
        <v>0</v>
      </c>
      <c r="BC35" s="143" t="b">
        <f t="shared" si="18"/>
        <v>0</v>
      </c>
      <c r="BD35" s="146" t="b">
        <f t="shared" si="31"/>
        <v>0</v>
      </c>
      <c r="BE35" s="145" t="b">
        <f t="shared" si="37"/>
        <v>0</v>
      </c>
      <c r="BF35" s="147" t="b">
        <f t="shared" si="39"/>
        <v>0</v>
      </c>
      <c r="BG35" s="453" t="str">
        <f t="shared" si="38"/>
        <v>NA</v>
      </c>
      <c r="BH35" s="453" t="str">
        <f t="shared" si="32"/>
        <v/>
      </c>
      <c r="BI35" s="453" t="str">
        <f t="shared" si="22"/>
        <v/>
      </c>
      <c r="BJ35" s="453" t="str">
        <f t="shared" si="23"/>
        <v/>
      </c>
      <c r="BK35" s="453" t="str">
        <f t="shared" si="24"/>
        <v/>
      </c>
      <c r="BL35" s="148" t="str">
        <f t="shared" si="33"/>
        <v/>
      </c>
      <c r="BM35" s="453" t="str">
        <f t="shared" si="25"/>
        <v/>
      </c>
      <c r="BN35" s="453" t="str">
        <f t="shared" si="26"/>
        <v/>
      </c>
      <c r="BO35" s="1026"/>
      <c r="BP35" s="1027"/>
      <c r="BQ35" s="1027"/>
      <c r="BR35" s="1027"/>
      <c r="BS35" s="1027"/>
      <c r="BT35" s="1027"/>
      <c r="BU35" s="1028"/>
    </row>
    <row r="36" spans="2:73" s="94" customFormat="1" ht="12.95" customHeight="1" x14ac:dyDescent="0.2">
      <c r="B36" s="151" t="str">
        <f>IF(ISNA(Z36),"",IF(OR(Z36=1,Z36=2),"    ",MAX($B$8:B35)+1))</f>
        <v/>
      </c>
      <c r="C36" s="904" t="str">
        <f t="shared" si="0"/>
        <v/>
      </c>
      <c r="D36" s="904"/>
      <c r="E36" s="904"/>
      <c r="F36" s="905"/>
      <c r="G36" s="133" t="str">
        <f t="shared" si="1"/>
        <v/>
      </c>
      <c r="H36" s="134" t="str">
        <f t="shared" si="2"/>
        <v/>
      </c>
      <c r="I36" s="152" t="str">
        <f t="shared" si="2"/>
        <v/>
      </c>
      <c r="J36" s="158"/>
      <c r="K36" s="159"/>
      <c r="L36" s="1015"/>
      <c r="M36" s="1016"/>
      <c r="N36" s="1016"/>
      <c r="O36" s="1016"/>
      <c r="P36" s="1016"/>
      <c r="Q36" s="1016"/>
      <c r="R36" s="1017"/>
      <c r="T36" s="99">
        <v>29</v>
      </c>
      <c r="U36" s="88" t="e">
        <v>#N/A</v>
      </c>
      <c r="V36" s="453" t="e">
        <v>#N/A</v>
      </c>
      <c r="W36" s="453" t="e">
        <v>#N/A</v>
      </c>
      <c r="X36" s="453" t="e">
        <v>#N/A</v>
      </c>
      <c r="Y36" s="453" t="e">
        <v>#N/A</v>
      </c>
      <c r="Z36" s="146" t="e">
        <v>#N/A</v>
      </c>
      <c r="AA36" s="146" t="e">
        <v>#N/A</v>
      </c>
      <c r="AB36" s="146" t="e">
        <v>#N/A</v>
      </c>
      <c r="AC36" s="453" t="e">
        <v>#N/A</v>
      </c>
      <c r="AD36" s="453" t="e">
        <v>#N/A</v>
      </c>
      <c r="AE36" s="453" t="e">
        <v>#N/A</v>
      </c>
      <c r="AF36" s="453" t="e">
        <v>#N/A</v>
      </c>
      <c r="AG36" s="453" t="e">
        <f t="shared" si="3"/>
        <v>#N/A</v>
      </c>
      <c r="AH36" s="453" t="str">
        <f t="shared" si="4"/>
        <v/>
      </c>
      <c r="AI36" s="138" t="e">
        <f>IF(NOT(OR(Z36=1,Z36=2)),IF(AQ36&gt;0,$AR$44*AQ36/SUMIF($AQ$8:$AQ$39,"&gt;0"),IF(AU36&gt;0,$AV$44*AU36/SUMIF($AU$8:$AU$39,"&gt;0"),IF(AS36&gt;0,$AT$44*AS36/SUMIF($AS$8:$AS$39,"&gt;0"),""))),IF(SUMIF(AJ37:$AJ$39,"=" &amp; AJ36,AI37:$AI$39)=0,"",SUMIF(AJ37:$AJ$39,"=" &amp; AJ36,AI37:$AI$39)))</f>
        <v>#N/A</v>
      </c>
      <c r="AJ36" s="139" t="e">
        <f t="shared" si="34"/>
        <v>#N/A</v>
      </c>
      <c r="AK36" s="453" t="str">
        <f t="shared" si="27"/>
        <v/>
      </c>
      <c r="AL36" s="146" t="str">
        <f t="shared" si="28"/>
        <v/>
      </c>
      <c r="AM36" s="146" t="str">
        <f t="shared" si="35"/>
        <v/>
      </c>
      <c r="AN36" s="146" t="str">
        <f t="shared" si="5"/>
        <v/>
      </c>
      <c r="AO36" s="146" t="e">
        <f t="shared" si="6"/>
        <v>#N/A</v>
      </c>
      <c r="AP36" s="453" t="str">
        <f t="shared" si="7"/>
        <v/>
      </c>
      <c r="AQ36" s="140">
        <f t="shared" si="29"/>
        <v>0</v>
      </c>
      <c r="AR36" s="141" t="str">
        <f t="shared" si="8"/>
        <v/>
      </c>
      <c r="AS36" s="142">
        <f t="shared" si="30"/>
        <v>0</v>
      </c>
      <c r="AT36" s="141" t="str">
        <f t="shared" si="9"/>
        <v/>
      </c>
      <c r="AU36" s="143">
        <f t="shared" si="10"/>
        <v>0</v>
      </c>
      <c r="AV36" s="144" t="str">
        <f t="shared" si="11"/>
        <v/>
      </c>
      <c r="AW36" s="143" t="b">
        <f t="shared" si="12"/>
        <v>0</v>
      </c>
      <c r="AX36" s="145" t="b">
        <f t="shared" si="13"/>
        <v>0</v>
      </c>
      <c r="AY36" s="143" t="b">
        <f t="shared" si="14"/>
        <v>0</v>
      </c>
      <c r="AZ36" s="145" t="b">
        <f t="shared" si="15"/>
        <v>0</v>
      </c>
      <c r="BA36" s="453" t="b">
        <f t="shared" si="16"/>
        <v>0</v>
      </c>
      <c r="BB36" s="453" t="b">
        <f t="shared" si="17"/>
        <v>0</v>
      </c>
      <c r="BC36" s="143" t="b">
        <f t="shared" si="18"/>
        <v>0</v>
      </c>
      <c r="BD36" s="146" t="b">
        <f t="shared" si="31"/>
        <v>0</v>
      </c>
      <c r="BE36" s="145" t="b">
        <f t="shared" si="37"/>
        <v>0</v>
      </c>
      <c r="BF36" s="147" t="b">
        <f t="shared" si="39"/>
        <v>0</v>
      </c>
      <c r="BG36" s="453" t="str">
        <f t="shared" si="38"/>
        <v>NA</v>
      </c>
      <c r="BH36" s="453" t="str">
        <f t="shared" si="32"/>
        <v/>
      </c>
      <c r="BI36" s="453" t="str">
        <f t="shared" si="22"/>
        <v/>
      </c>
      <c r="BJ36" s="453" t="str">
        <f t="shared" si="23"/>
        <v/>
      </c>
      <c r="BK36" s="453" t="str">
        <f t="shared" si="24"/>
        <v/>
      </c>
      <c r="BL36" s="148" t="str">
        <f t="shared" si="33"/>
        <v/>
      </c>
      <c r="BM36" s="453" t="str">
        <f t="shared" si="25"/>
        <v/>
      </c>
      <c r="BN36" s="453" t="str">
        <f t="shared" si="26"/>
        <v/>
      </c>
      <c r="BO36" s="1026"/>
      <c r="BP36" s="1027"/>
      <c r="BQ36" s="1027"/>
      <c r="BR36" s="1027"/>
      <c r="BS36" s="1027"/>
      <c r="BT36" s="1027"/>
      <c r="BU36" s="1028"/>
    </row>
    <row r="37" spans="2:73" s="94" customFormat="1" ht="12.95" customHeight="1" x14ac:dyDescent="0.2">
      <c r="B37" s="151" t="str">
        <f>IF(ISNA(Z37),"",IF(OR(Z37=1,Z37=2),"    ",MAX($B$8:B36)+1))</f>
        <v/>
      </c>
      <c r="C37" s="904" t="str">
        <f>IF(ISNA(Z37),"",CONCATENATE($U37,IF(ISNUMBER(AI37),TEXT(ROUND($AI37,3)," (0.0%)"),""),IF(AU37&gt;0," Bonus","")))</f>
        <v/>
      </c>
      <c r="D37" s="904"/>
      <c r="E37" s="904"/>
      <c r="F37" s="905"/>
      <c r="G37" s="133" t="str">
        <f t="shared" si="1"/>
        <v/>
      </c>
      <c r="H37" s="134" t="str">
        <f t="shared" si="2"/>
        <v/>
      </c>
      <c r="I37" s="152" t="str">
        <f t="shared" si="2"/>
        <v/>
      </c>
      <c r="J37" s="158"/>
      <c r="K37" s="159"/>
      <c r="L37" s="1015"/>
      <c r="M37" s="1016"/>
      <c r="N37" s="1016"/>
      <c r="O37" s="1016"/>
      <c r="P37" s="1016"/>
      <c r="Q37" s="1016"/>
      <c r="R37" s="1017"/>
      <c r="T37" s="99">
        <v>30</v>
      </c>
      <c r="U37" s="88" t="e">
        <v>#N/A</v>
      </c>
      <c r="V37" s="453" t="e">
        <v>#N/A</v>
      </c>
      <c r="W37" s="453" t="e">
        <v>#N/A</v>
      </c>
      <c r="X37" s="453" t="e">
        <v>#N/A</v>
      </c>
      <c r="Y37" s="453" t="e">
        <v>#N/A</v>
      </c>
      <c r="Z37" s="146" t="e">
        <v>#N/A</v>
      </c>
      <c r="AA37" s="146" t="e">
        <v>#N/A</v>
      </c>
      <c r="AB37" s="146" t="e">
        <v>#N/A</v>
      </c>
      <c r="AC37" s="453" t="e">
        <v>#N/A</v>
      </c>
      <c r="AD37" s="453" t="e">
        <v>#N/A</v>
      </c>
      <c r="AE37" s="453" t="e">
        <v>#N/A</v>
      </c>
      <c r="AF37" s="453" t="e">
        <v>#N/A</v>
      </c>
      <c r="AG37" s="453" t="e">
        <f t="shared" si="3"/>
        <v>#N/A</v>
      </c>
      <c r="AH37" s="453" t="str">
        <f t="shared" si="4"/>
        <v/>
      </c>
      <c r="AI37" s="138" t="e">
        <f>IF(NOT(OR(Z37=1,Z37=2)),IF(AQ37&gt;0,$AR$44*AQ37/SUMIF($AQ$8:$AQ$39,"&gt;0"),IF(AU37&gt;0,$AV$44*AU37/SUMIF($AU$8:$AU$39,"&gt;0"),IF(AS37&gt;0,$AT$44*AS37/SUMIF($AS$8:$AS$39,"&gt;0"),""))),IF(SUMIF(AJ38:$AJ$39,"=" &amp; AJ37,AI38:$AI$39)=0,"",SUMIF(AJ38:$AJ$39,"=" &amp; AJ37,AI38:$AI$39)))</f>
        <v>#N/A</v>
      </c>
      <c r="AJ37" s="139" t="e">
        <f t="shared" si="34"/>
        <v>#N/A</v>
      </c>
      <c r="AK37" s="453" t="str">
        <f t="shared" si="27"/>
        <v/>
      </c>
      <c r="AL37" s="146" t="str">
        <f t="shared" si="28"/>
        <v/>
      </c>
      <c r="AM37" s="146" t="str">
        <f t="shared" si="35"/>
        <v/>
      </c>
      <c r="AN37" s="146" t="str">
        <f>IF(ISNUMBER(AH37),IF(AND(AB37=0,ISNUMBER(AC37),ISNUMBER(AL37)),1,""),"")</f>
        <v/>
      </c>
      <c r="AO37" s="146" t="e">
        <f t="shared" si="6"/>
        <v>#N/A</v>
      </c>
      <c r="AP37" s="453" t="str">
        <f t="shared" si="7"/>
        <v/>
      </c>
      <c r="AQ37" s="140">
        <f t="shared" si="29"/>
        <v>0</v>
      </c>
      <c r="AR37" s="141" t="str">
        <f t="shared" si="8"/>
        <v/>
      </c>
      <c r="AS37" s="142">
        <f t="shared" si="30"/>
        <v>0</v>
      </c>
      <c r="AT37" s="141" t="str">
        <f t="shared" si="9"/>
        <v/>
      </c>
      <c r="AU37" s="143">
        <f t="shared" si="10"/>
        <v>0</v>
      </c>
      <c r="AV37" s="144" t="str">
        <f t="shared" si="11"/>
        <v/>
      </c>
      <c r="AW37" s="143" t="b">
        <f t="shared" si="12"/>
        <v>0</v>
      </c>
      <c r="AX37" s="145" t="b">
        <f t="shared" si="13"/>
        <v>0</v>
      </c>
      <c r="AY37" s="143" t="b">
        <f t="shared" si="14"/>
        <v>0</v>
      </c>
      <c r="AZ37" s="145" t="b">
        <f t="shared" si="15"/>
        <v>0</v>
      </c>
      <c r="BA37" s="453" t="b">
        <f t="shared" si="16"/>
        <v>0</v>
      </c>
      <c r="BB37" s="453" t="b">
        <f t="shared" si="17"/>
        <v>0</v>
      </c>
      <c r="BC37" s="143" t="b">
        <f t="shared" si="18"/>
        <v>0</v>
      </c>
      <c r="BD37" s="146" t="b">
        <f t="shared" si="31"/>
        <v>0</v>
      </c>
      <c r="BE37" s="145" t="b">
        <f t="shared" si="37"/>
        <v>0</v>
      </c>
      <c r="BF37" s="147" t="b">
        <f t="shared" si="39"/>
        <v>0</v>
      </c>
      <c r="BG37" s="453" t="str">
        <f t="shared" si="38"/>
        <v>NA</v>
      </c>
      <c r="BH37" s="453" t="str">
        <f t="shared" si="32"/>
        <v/>
      </c>
      <c r="BI37" s="453" t="str">
        <f t="shared" si="22"/>
        <v/>
      </c>
      <c r="BJ37" s="453" t="str">
        <f t="shared" si="23"/>
        <v/>
      </c>
      <c r="BK37" s="453" t="str">
        <f t="shared" si="24"/>
        <v/>
      </c>
      <c r="BL37" s="148" t="str">
        <f t="shared" si="33"/>
        <v/>
      </c>
      <c r="BM37" s="453" t="str">
        <f t="shared" si="25"/>
        <v/>
      </c>
      <c r="BN37" s="453" t="str">
        <f t="shared" si="26"/>
        <v/>
      </c>
      <c r="BO37" s="1029"/>
      <c r="BP37" s="1030"/>
      <c r="BQ37" s="1030"/>
      <c r="BR37" s="1030"/>
      <c r="BS37" s="1030"/>
      <c r="BT37" s="1030"/>
      <c r="BU37" s="1031"/>
    </row>
    <row r="38" spans="2:73" s="94" customFormat="1" ht="12.95" customHeight="1" x14ac:dyDescent="0.2">
      <c r="B38" s="151" t="str">
        <f>IF(ISNA(Z38),"",IF(OR(Z38=1,Z38=2),"    ",MAX($B$8:B37)+1))</f>
        <v/>
      </c>
      <c r="C38" s="904" t="str">
        <f t="shared" ref="C38:C39" si="40">IF(ISNA(Z38),"",CONCATENATE($U38,IF(ISNUMBER(AI38),TEXT(ROUND($AI38,3)," (0.0%)"),""),IF(AU38&gt;0," Bonus","")))</f>
        <v/>
      </c>
      <c r="D38" s="904"/>
      <c r="E38" s="904"/>
      <c r="F38" s="905"/>
      <c r="G38" s="133" t="str">
        <f t="shared" si="1"/>
        <v/>
      </c>
      <c r="H38" s="134" t="str">
        <f t="shared" si="2"/>
        <v/>
      </c>
      <c r="I38" s="152" t="str">
        <f t="shared" si="2"/>
        <v/>
      </c>
      <c r="J38" s="158"/>
      <c r="K38" s="159"/>
      <c r="L38" s="1015"/>
      <c r="M38" s="1016"/>
      <c r="N38" s="1016"/>
      <c r="O38" s="1016"/>
      <c r="P38" s="1016"/>
      <c r="Q38" s="1016"/>
      <c r="R38" s="1017"/>
      <c r="T38" s="99">
        <v>31</v>
      </c>
      <c r="U38" s="88" t="e">
        <v>#N/A</v>
      </c>
      <c r="V38" s="453" t="e">
        <v>#N/A</v>
      </c>
      <c r="W38" s="453" t="e">
        <v>#N/A</v>
      </c>
      <c r="X38" s="453" t="e">
        <v>#N/A</v>
      </c>
      <c r="Y38" s="453" t="e">
        <v>#N/A</v>
      </c>
      <c r="Z38" s="146" t="e">
        <v>#N/A</v>
      </c>
      <c r="AA38" s="146" t="e">
        <v>#N/A</v>
      </c>
      <c r="AB38" s="146" t="e">
        <v>#N/A</v>
      </c>
      <c r="AC38" s="453" t="e">
        <v>#N/A</v>
      </c>
      <c r="AD38" s="453" t="e">
        <v>#N/A</v>
      </c>
      <c r="AE38" s="453" t="e">
        <v>#N/A</v>
      </c>
      <c r="AF38" s="453" t="e">
        <v>#N/A</v>
      </c>
      <c r="AG38" s="453" t="e">
        <f t="shared" si="3"/>
        <v>#N/A</v>
      </c>
      <c r="AH38" s="453" t="str">
        <f t="shared" si="4"/>
        <v/>
      </c>
      <c r="AI38" s="138" t="e">
        <f>IF(NOT(OR(Z38=1,Z38=2)),IF(AQ38&gt;0,$AR$44*AQ38/SUMIF($AQ$8:$AQ$39,"&gt;0"),IF(AU38&gt;0,$AV$44*AU38/SUMIF($AU$8:$AU$39,"&gt;0"),IF(AS38&gt;0,$AT$44*AS38/SUMIF($AS$8:$AS$39,"&gt;0"),""))),IF(SUMIF(AJ39:$AJ$39,"=" &amp; AJ38,AI39:$AI$39)=0,"",SUMIF(AJ39:$AJ$39,"=" &amp; AJ38,AI39:$AI$39)))</f>
        <v>#N/A</v>
      </c>
      <c r="AJ38" s="139" t="e">
        <f t="shared" si="34"/>
        <v>#N/A</v>
      </c>
      <c r="AK38" s="453" t="str">
        <f t="shared" si="27"/>
        <v/>
      </c>
      <c r="AL38" s="146" t="str">
        <f t="shared" si="28"/>
        <v/>
      </c>
      <c r="AM38" s="146" t="str">
        <f t="shared" si="35"/>
        <v/>
      </c>
      <c r="AN38" s="146" t="str">
        <f>IF(ISNUMBER(AH38),IF(AND(AB38=0,ISNUMBER(AC38),ISNUMBER(AL38)),1,""),"")</f>
        <v/>
      </c>
      <c r="AO38" s="146" t="e">
        <f t="shared" si="6"/>
        <v>#N/A</v>
      </c>
      <c r="AP38" s="453" t="str">
        <f t="shared" si="7"/>
        <v/>
      </c>
      <c r="AQ38" s="140">
        <f t="shared" si="29"/>
        <v>0</v>
      </c>
      <c r="AR38" s="141" t="str">
        <f t="shared" si="8"/>
        <v/>
      </c>
      <c r="AS38" s="142">
        <f t="shared" si="30"/>
        <v>0</v>
      </c>
      <c r="AT38" s="141" t="str">
        <f t="shared" si="9"/>
        <v/>
      </c>
      <c r="AU38" s="143">
        <f t="shared" si="10"/>
        <v>0</v>
      </c>
      <c r="AV38" s="144" t="str">
        <f t="shared" si="11"/>
        <v/>
      </c>
      <c r="AW38" s="143" t="b">
        <f t="shared" si="12"/>
        <v>0</v>
      </c>
      <c r="AX38" s="145" t="b">
        <f t="shared" si="13"/>
        <v>0</v>
      </c>
      <c r="AY38" s="143" t="b">
        <f t="shared" si="14"/>
        <v>0</v>
      </c>
      <c r="AZ38" s="145" t="b">
        <f t="shared" si="15"/>
        <v>0</v>
      </c>
      <c r="BA38" s="453" t="b">
        <f t="shared" si="16"/>
        <v>0</v>
      </c>
      <c r="BB38" s="453" t="b">
        <f t="shared" si="17"/>
        <v>0</v>
      </c>
      <c r="BC38" s="143" t="b">
        <f t="shared" si="18"/>
        <v>0</v>
      </c>
      <c r="BD38" s="146" t="b">
        <f t="shared" si="31"/>
        <v>0</v>
      </c>
      <c r="BE38" s="145" t="b">
        <f t="shared" si="37"/>
        <v>0</v>
      </c>
      <c r="BF38" s="147" t="b">
        <f t="shared" si="39"/>
        <v>0</v>
      </c>
      <c r="BG38" s="453" t="str">
        <f t="shared" si="38"/>
        <v>NA</v>
      </c>
      <c r="BH38" s="453" t="str">
        <f t="shared" si="32"/>
        <v/>
      </c>
      <c r="BI38" s="453" t="str">
        <f t="shared" si="22"/>
        <v/>
      </c>
      <c r="BJ38" s="453" t="str">
        <f t="shared" si="23"/>
        <v/>
      </c>
      <c r="BK38" s="453" t="str">
        <f t="shared" si="24"/>
        <v/>
      </c>
      <c r="BL38" s="148" t="str">
        <f t="shared" si="33"/>
        <v/>
      </c>
      <c r="BM38" s="453" t="str">
        <f t="shared" si="25"/>
        <v/>
      </c>
      <c r="BN38" s="453" t="str">
        <f t="shared" si="26"/>
        <v/>
      </c>
      <c r="BO38" s="150" t="s">
        <v>373</v>
      </c>
      <c r="BP38" s="150"/>
      <c r="BQ38" s="150"/>
      <c r="BR38" s="150"/>
      <c r="BS38" s="150"/>
      <c r="BT38" s="150"/>
      <c r="BU38" s="150"/>
    </row>
    <row r="39" spans="2:73" s="94" customFormat="1" ht="12.95" customHeight="1" thickBot="1" x14ac:dyDescent="0.25">
      <c r="B39" s="151" t="str">
        <f>IF(ISNA(Z39),"",IF(OR(Z39=1,Z39=2),"    ",MAX($B$8:B38)+1))</f>
        <v/>
      </c>
      <c r="C39" s="904" t="str">
        <f t="shared" si="40"/>
        <v/>
      </c>
      <c r="D39" s="904"/>
      <c r="E39" s="904"/>
      <c r="F39" s="905"/>
      <c r="G39" s="171" t="str">
        <f t="shared" si="1"/>
        <v/>
      </c>
      <c r="H39" s="134" t="str">
        <f t="shared" si="2"/>
        <v/>
      </c>
      <c r="I39" s="172" t="str">
        <f t="shared" si="2"/>
        <v/>
      </c>
      <c r="J39" s="173"/>
      <c r="K39" s="174"/>
      <c r="L39" s="1018"/>
      <c r="M39" s="1019"/>
      <c r="N39" s="1019"/>
      <c r="O39" s="1019"/>
      <c r="P39" s="1019"/>
      <c r="Q39" s="1019"/>
      <c r="R39" s="1020"/>
      <c r="T39" s="99">
        <v>32</v>
      </c>
      <c r="U39" s="88" t="e">
        <v>#N/A</v>
      </c>
      <c r="V39" s="453" t="e">
        <v>#N/A</v>
      </c>
      <c r="W39" s="453" t="e">
        <v>#N/A</v>
      </c>
      <c r="X39" s="453" t="e">
        <v>#N/A</v>
      </c>
      <c r="Y39" s="453" t="e">
        <v>#N/A</v>
      </c>
      <c r="Z39" s="146" t="e">
        <v>#N/A</v>
      </c>
      <c r="AA39" s="146" t="e">
        <v>#N/A</v>
      </c>
      <c r="AB39" s="146" t="e">
        <v>#N/A</v>
      </c>
      <c r="AC39" s="453" t="e">
        <v>#N/A</v>
      </c>
      <c r="AD39" s="453" t="e">
        <v>#N/A</v>
      </c>
      <c r="AE39" s="453" t="e">
        <v>#N/A</v>
      </c>
      <c r="AF39" s="453" t="e">
        <v>#N/A</v>
      </c>
      <c r="AG39" s="453" t="e">
        <f t="shared" si="3"/>
        <v>#N/A</v>
      </c>
      <c r="AH39" s="453" t="str">
        <f t="shared" si="4"/>
        <v/>
      </c>
      <c r="AI39" s="138" t="e">
        <f>IF(NOT(OR(Z39=1,Z39=2)),IF(AQ39&gt;0,$AR$44*AQ39/SUMIF($AQ$8:$AQ$39,"&gt;0"),IF(AU39&gt;0,$AV$44*AU39/SUMIF($AU$8:$AU$39,"&gt;0"),IF(AS39&gt;0,$AT$44*AS39/SUMIF($AS$8:$AS$39,"&gt;0"),""))),IF(SUMIF(AJ$39:$AJ40,"=" &amp; AJ39,AI$39:$AI40)=0,"",SUMIF(AJ$39:$AJ40,"=" &amp; AJ39,AI$39:$AI40)))</f>
        <v>#N/A</v>
      </c>
      <c r="AJ39" s="139" t="e">
        <f t="shared" si="34"/>
        <v>#N/A</v>
      </c>
      <c r="AK39" s="453" t="str">
        <f t="shared" si="27"/>
        <v/>
      </c>
      <c r="AL39" s="146" t="str">
        <f t="shared" si="28"/>
        <v/>
      </c>
      <c r="AM39" s="146" t="str">
        <f t="shared" si="35"/>
        <v/>
      </c>
      <c r="AN39" s="146" t="str">
        <f>IF(ISNUMBER(AH39),IF(AND(AB39=0,ISNUMBER(AC39),ISNUMBER(AL39)),1,""),"")</f>
        <v/>
      </c>
      <c r="AO39" s="146" t="e">
        <f t="shared" si="6"/>
        <v>#N/A</v>
      </c>
      <c r="AP39" s="453" t="str">
        <f t="shared" si="7"/>
        <v/>
      </c>
      <c r="AQ39" s="140">
        <f t="shared" si="29"/>
        <v>0</v>
      </c>
      <c r="AR39" s="141" t="str">
        <f t="shared" si="8"/>
        <v/>
      </c>
      <c r="AS39" s="142">
        <f t="shared" si="30"/>
        <v>0</v>
      </c>
      <c r="AT39" s="141" t="str">
        <f t="shared" si="9"/>
        <v/>
      </c>
      <c r="AU39" s="143">
        <f t="shared" si="10"/>
        <v>0</v>
      </c>
      <c r="AV39" s="144" t="str">
        <f t="shared" si="11"/>
        <v/>
      </c>
      <c r="AW39" s="143" t="b">
        <f t="shared" si="12"/>
        <v>0</v>
      </c>
      <c r="AX39" s="145" t="b">
        <f t="shared" si="13"/>
        <v>0</v>
      </c>
      <c r="AY39" s="143" t="b">
        <f t="shared" si="14"/>
        <v>0</v>
      </c>
      <c r="AZ39" s="145" t="b">
        <f t="shared" si="15"/>
        <v>0</v>
      </c>
      <c r="BA39" s="453" t="b">
        <f t="shared" si="16"/>
        <v>0</v>
      </c>
      <c r="BB39" s="453" t="b">
        <f t="shared" si="17"/>
        <v>0</v>
      </c>
      <c r="BC39" s="143" t="b">
        <f t="shared" si="18"/>
        <v>0</v>
      </c>
      <c r="BD39" s="146" t="b">
        <f t="shared" si="31"/>
        <v>0</v>
      </c>
      <c r="BE39" s="145" t="b">
        <f t="shared" si="37"/>
        <v>0</v>
      </c>
      <c r="BF39" s="147" t="b">
        <f t="shared" si="39"/>
        <v>0</v>
      </c>
      <c r="BG39" s="453" t="str">
        <f t="shared" si="38"/>
        <v>NA</v>
      </c>
      <c r="BH39" s="453" t="str">
        <f t="shared" si="32"/>
        <v/>
      </c>
      <c r="BI39" s="453" t="str">
        <f t="shared" si="22"/>
        <v/>
      </c>
      <c r="BJ39" s="453" t="str">
        <f t="shared" si="23"/>
        <v/>
      </c>
      <c r="BK39" s="453" t="str">
        <f t="shared" si="24"/>
        <v/>
      </c>
      <c r="BL39" s="453" t="str">
        <f t="shared" si="33"/>
        <v/>
      </c>
      <c r="BM39" s="453" t="str">
        <f t="shared" si="25"/>
        <v/>
      </c>
      <c r="BN39" s="453" t="str">
        <f t="shared" si="26"/>
        <v/>
      </c>
      <c r="BO39" s="1023"/>
      <c r="BP39" s="1024"/>
      <c r="BQ39" s="1024"/>
      <c r="BR39" s="1024"/>
      <c r="BS39" s="1024"/>
      <c r="BT39" s="1024"/>
      <c r="BU39" s="1025"/>
    </row>
    <row r="40" spans="2:73" s="91" customFormat="1" ht="8.25" customHeight="1" x14ac:dyDescent="0.2">
      <c r="B40" s="915" t="s">
        <v>374</v>
      </c>
      <c r="C40" s="916"/>
      <c r="D40" s="917"/>
      <c r="E40" s="452" t="s">
        <v>375</v>
      </c>
      <c r="F40" s="918" t="s">
        <v>376</v>
      </c>
      <c r="G40" s="919"/>
      <c r="H40" s="919" t="s">
        <v>377</v>
      </c>
      <c r="I40" s="919"/>
      <c r="J40" s="920" t="s">
        <v>378</v>
      </c>
      <c r="K40" s="921"/>
      <c r="L40" s="175" t="s">
        <v>379</v>
      </c>
      <c r="M40" s="922" t="s">
        <v>380</v>
      </c>
      <c r="N40" s="922"/>
      <c r="O40" s="923" t="str">
        <f>IF(U44,"DO REVIEW","DO REV N/A")</f>
        <v>DO REVIEW</v>
      </c>
      <c r="P40" s="924"/>
      <c r="Q40" s="176" t="str">
        <f>IF(U45,"ED REVIEW","ED REV N/A")</f>
        <v>ED REVIEW</v>
      </c>
      <c r="R40" s="177"/>
      <c r="S40" s="178">
        <v>0</v>
      </c>
      <c r="AI40" s="179"/>
      <c r="AJ40" s="92"/>
      <c r="AK40" s="92"/>
      <c r="AL40" s="92"/>
      <c r="AM40" s="92"/>
      <c r="AN40" s="92"/>
      <c r="AO40" s="88"/>
      <c r="AP40" s="92"/>
      <c r="AQ40" s="180"/>
      <c r="AR40" s="92"/>
      <c r="AS40" s="180"/>
      <c r="AT40" s="92"/>
      <c r="AU40" s="180"/>
      <c r="AV40" s="181"/>
      <c r="AW40" s="92"/>
      <c r="AX40" s="92"/>
      <c r="AY40" s="92"/>
      <c r="AZ40" s="92"/>
      <c r="BA40" s="92"/>
      <c r="BB40" s="92"/>
      <c r="BC40" s="92"/>
      <c r="BD40" s="92"/>
      <c r="BE40" s="92"/>
      <c r="BF40" s="92"/>
      <c r="BG40" s="92"/>
      <c r="BH40" s="88"/>
      <c r="BI40" s="88"/>
      <c r="BJ40" s="88"/>
      <c r="BK40" s="88"/>
      <c r="BL40" s="88"/>
      <c r="BM40" s="88"/>
      <c r="BN40" s="88"/>
      <c r="BO40" s="1026"/>
      <c r="BP40" s="1027"/>
      <c r="BQ40" s="1027"/>
      <c r="BR40" s="1027"/>
      <c r="BS40" s="1027"/>
      <c r="BT40" s="1027"/>
      <c r="BU40" s="1028"/>
    </row>
    <row r="41" spans="2:73" ht="18.75" customHeight="1" thickBot="1" x14ac:dyDescent="0.25">
      <c r="B41" s="925" t="str">
        <f>IF(ISERROR(AR46),"",TEXT(AR45,"0.0%"))</f>
        <v>0.0%</v>
      </c>
      <c r="C41" s="926"/>
      <c r="D41" s="927"/>
      <c r="E41" s="182" t="str">
        <f>IF(AU41=0,"N/A",CONCATENATE(TEXT(AV45,"0.0%")," of ",TEXT(AV44,"0.0%")))</f>
        <v>N/A</v>
      </c>
      <c r="F41" s="929" t="str">
        <f>IF((graded_aca_events+graded_amn_events)&lt;1,"---",IF(AND(AW4,AX4),"INCOMPLETE",IF(AND(NOT(AW4),AX4),"ACA INC",IF(AND(AW4,NOT(AX4)),"AMN INC","COMPLETE"))))</f>
        <v>---</v>
      </c>
      <c r="G41" s="929"/>
      <c r="H41" s="929" t="str">
        <f>IF(AU4,IF(OR(AY4="UNK",NOT(AN6)),"---",IF(AY4,"UNSAT",IF(AVERAGEIFS(AT8:AT39,AS8:AS39,"&gt;0")&lt;0.9,"MARG","SAT"))),"N/A")</f>
        <v>---</v>
      </c>
      <c r="I41" s="929"/>
      <c r="J41" s="930" t="str">
        <f>IF(OR(AZ4="UNK",NOT(AM6)),"---",IF(OR(AZ4,AR45&lt;0.7),"FAIL","PASS"))</f>
        <v>---</v>
      </c>
      <c r="K41" s="931"/>
      <c r="L41" s="430"/>
      <c r="M41" s="932"/>
      <c r="N41" s="932"/>
      <c r="O41" s="1021" t="s">
        <v>265</v>
      </c>
      <c r="P41" s="1021"/>
      <c r="Q41" s="1021" t="s">
        <v>265</v>
      </c>
      <c r="R41" s="1022"/>
      <c r="S41" s="183"/>
      <c r="T41" s="99" t="s">
        <v>381</v>
      </c>
      <c r="U41" s="146" t="s">
        <v>382</v>
      </c>
      <c r="V41" s="184"/>
      <c r="W41" s="184"/>
      <c r="X41" s="184"/>
      <c r="Y41" s="184"/>
      <c r="Z41" s="184"/>
      <c r="AA41" s="184"/>
      <c r="AB41" s="184"/>
      <c r="AC41" s="184"/>
      <c r="AD41" s="184"/>
      <c r="AE41" s="184"/>
      <c r="AF41" s="184"/>
      <c r="AG41" s="184"/>
      <c r="AH41" s="184"/>
      <c r="AI41" s="86"/>
      <c r="AJ41" s="85"/>
      <c r="AK41" s="184"/>
      <c r="AL41" s="184"/>
      <c r="AM41" s="184">
        <f>SUM(AM8:AM39)</f>
        <v>0</v>
      </c>
      <c r="AN41" s="184">
        <f>SUM(AN8:AN39)</f>
        <v>0</v>
      </c>
      <c r="AO41" s="99"/>
      <c r="AP41" s="85"/>
      <c r="AQ41" s="185">
        <f>SUMIF(AQ8:AQ39,"&gt;0")</f>
        <v>10</v>
      </c>
      <c r="AR41" s="186">
        <f>IF(AQ41=0,0,SUMPRODUCT($AQ$8:$AQ$39,AR8:AR39)/SUM($AQ$8:$AQ$39))</f>
        <v>0</v>
      </c>
      <c r="AS41" s="187">
        <f>SUMIF(AS8:AS39,"&gt;0")</f>
        <v>4</v>
      </c>
      <c r="AT41" s="186">
        <f>IF(AS41=0,0,SUMPRODUCT($AS$8:$AS$39,AT8:AT39)/SUM($AS$8:$AS$39))</f>
        <v>0</v>
      </c>
      <c r="AU41" s="187">
        <f>SUM(AU9:AU39)</f>
        <v>0</v>
      </c>
      <c r="AV41" s="186">
        <f>IF(AU41=0,0,SUMPRODUCT($AU$8:$AU$39,AV8:AV39)/SUM($AU$8:$AU$39))</f>
        <v>0</v>
      </c>
      <c r="AW41" s="188"/>
      <c r="AX41" s="188"/>
      <c r="AY41" s="188"/>
      <c r="AZ41" s="188"/>
      <c r="BA41" s="188"/>
      <c r="BB41" s="188"/>
      <c r="BC41" s="88" t="s">
        <v>383</v>
      </c>
      <c r="BD41" s="88" t="s">
        <v>384</v>
      </c>
      <c r="BE41" s="88" t="s">
        <v>385</v>
      </c>
      <c r="BO41" s="1026"/>
      <c r="BP41" s="1027"/>
      <c r="BQ41" s="1027"/>
      <c r="BR41" s="1027"/>
      <c r="BS41" s="1027"/>
      <c r="BT41" s="1027"/>
      <c r="BU41" s="1028"/>
    </row>
    <row r="42" spans="2:73" ht="7.5" customHeight="1" thickTop="1" x14ac:dyDescent="0.2">
      <c r="L42" s="928" t="s">
        <v>599</v>
      </c>
      <c r="M42" s="928"/>
      <c r="N42" s="928"/>
      <c r="O42" s="928"/>
      <c r="P42" s="928"/>
      <c r="Q42" s="928"/>
      <c r="R42" s="928"/>
      <c r="AP42" s="184"/>
      <c r="AQ42" s="85"/>
      <c r="AR42" s="85"/>
      <c r="AT42" s="186"/>
      <c r="AU42" s="186"/>
      <c r="AV42" s="186"/>
      <c r="AW42" s="85"/>
      <c r="AX42" s="186"/>
      <c r="BO42" s="1029"/>
      <c r="BP42" s="1030"/>
      <c r="BQ42" s="1030"/>
      <c r="BR42" s="1030"/>
      <c r="BS42" s="1030"/>
      <c r="BT42" s="1030"/>
      <c r="BU42" s="1031"/>
    </row>
    <row r="43" spans="2:73" ht="30.75" customHeight="1" x14ac:dyDescent="0.2">
      <c r="T43" s="189" t="s">
        <v>386</v>
      </c>
      <c r="U43" s="146" t="b">
        <v>0</v>
      </c>
      <c r="AI43" s="89">
        <f ca="1">SUMIF(AJ8:$AJ$39,"=" &amp; AJ8,AI9:$AI$39)</f>
        <v>0.2</v>
      </c>
      <c r="AO43" s="190"/>
      <c r="AS43" s="118" t="s">
        <v>387</v>
      </c>
      <c r="AT43" s="191">
        <f>SUMIF(X8:X39,"&gt;0")/SUMIF(W8:W39,"&gt;0")</f>
        <v>0.4</v>
      </c>
      <c r="AU43" s="118" t="s">
        <v>388</v>
      </c>
      <c r="AV43" s="192">
        <f>SUMIF(AU8:AU39,"&gt;0")/SUMIF(AQ8:AQ39,"&gt;0")</f>
        <v>0</v>
      </c>
      <c r="AW43" s="193"/>
      <c r="BE43" s="88" t="b">
        <f>AND(ISBLANK($K30),J30&gt;0)</f>
        <v>0</v>
      </c>
      <c r="BO43" s="88"/>
      <c r="BP43" s="88"/>
      <c r="BQ43" s="90"/>
    </row>
    <row r="44" spans="2:73" ht="30.75" customHeight="1" x14ac:dyDescent="0.2">
      <c r="J44" s="194"/>
      <c r="T44" s="195" t="s">
        <v>389</v>
      </c>
      <c r="U44" s="88" t="b">
        <f>IF(AND(Flight?,OR(AW4,AY4,BA4,AZ4,AR45&lt;0.7,H41="MARG")),TRUE,FALSE)</f>
        <v>1</v>
      </c>
      <c r="AO44" s="196"/>
      <c r="AQ44" s="118" t="s">
        <v>390</v>
      </c>
      <c r="AR44" s="191">
        <f>1-AT44</f>
        <v>0.8</v>
      </c>
      <c r="AS44" s="118" t="s">
        <v>391</v>
      </c>
      <c r="AT44" s="191">
        <f>MIN(AT43,AT6)</f>
        <v>0.2</v>
      </c>
      <c r="AU44" s="118" t="s">
        <v>392</v>
      </c>
      <c r="AV44" s="89">
        <f>MIN(AV43,AV6)</f>
        <v>0</v>
      </c>
      <c r="BO44" s="88"/>
      <c r="BP44" s="88"/>
      <c r="BQ44" s="90"/>
    </row>
    <row r="45" spans="2:73" ht="25.5" x14ac:dyDescent="0.2">
      <c r="T45" s="195" t="s">
        <v>393</v>
      </c>
      <c r="U45" s="88" t="b">
        <f>IF(OR(AX4,AY4,AZ4,BB4,AR45&lt;0.7),TRUE,FALSE)</f>
        <v>1</v>
      </c>
      <c r="AO45" s="197"/>
      <c r="AQ45" s="118" t="s">
        <v>394</v>
      </c>
      <c r="AR45" s="89">
        <f>AR41*(1-AT44)+(AT41*AT44)</f>
        <v>0</v>
      </c>
      <c r="AU45" s="88" t="s">
        <v>324</v>
      </c>
      <c r="AV45" s="89">
        <f>AV41*AV44</f>
        <v>0</v>
      </c>
      <c r="BO45" s="88"/>
      <c r="BP45" s="88"/>
      <c r="BQ45" s="90"/>
    </row>
    <row r="46" spans="2:73" ht="25.5" x14ac:dyDescent="0.2">
      <c r="T46" s="195" t="s">
        <v>395</v>
      </c>
      <c r="U46" s="88" t="b">
        <v>0</v>
      </c>
      <c r="AO46" s="197"/>
      <c r="AQ46" s="118" t="s">
        <v>396</v>
      </c>
      <c r="AR46" s="89">
        <f>MIN(1,IF(NOT(OR(AY4,AZ4)),AR45+AV45,MIN(0.69,AR45+AV45)))</f>
        <v>0</v>
      </c>
      <c r="BO46" s="88"/>
      <c r="BP46" s="88"/>
      <c r="BQ46" s="90"/>
    </row>
    <row r="47" spans="2:73" x14ac:dyDescent="0.2">
      <c r="T47" s="195" t="s">
        <v>397</v>
      </c>
      <c r="U47" s="88" t="b">
        <f>IF(NOT(Flight?),TRUE,NOT(OR(ISBLANK(comments),ISBLANK(hdr_class),ISBLANK(hdr_date),ISBLANK(hdr_stud),ISBLANK(hdr_instr),ISBLANK(hdr_acft),ISBLANK(hdr_time),F41="---")))</f>
        <v>0</v>
      </c>
      <c r="AO47" s="197"/>
      <c r="AR47" s="118"/>
      <c r="AS47" s="89"/>
    </row>
    <row r="48" spans="2:73" x14ac:dyDescent="0.2">
      <c r="T48" s="195" t="s">
        <v>398</v>
      </c>
      <c r="U48" s="88" t="b">
        <f>IF(Flight?,TRUE,NOT(OR(ISBLANK(comments),ISBLANK(hdr_class),ISBLANK(hdr_date),ISBLANK(hdr_stud),ISBLANK(hdr_instr),F41="---")))</f>
        <v>1</v>
      </c>
      <c r="AO48" s="196"/>
      <c r="AP48" s="85" t="s">
        <v>399</v>
      </c>
      <c r="AQ48" s="85"/>
      <c r="AR48" s="85"/>
      <c r="AS48" s="85"/>
      <c r="AT48" s="85"/>
    </row>
    <row r="49" spans="20:50" x14ac:dyDescent="0.2">
      <c r="T49" s="195" t="s">
        <v>400</v>
      </c>
      <c r="U49" s="88" t="b">
        <f>AND(U47:U48)</f>
        <v>0</v>
      </c>
      <c r="AO49" s="196"/>
      <c r="AP49" s="85"/>
      <c r="AQ49" s="85"/>
      <c r="AR49" s="85">
        <v>0</v>
      </c>
      <c r="AS49" s="85">
        <v>1</v>
      </c>
      <c r="AT49" s="85">
        <v>2</v>
      </c>
      <c r="AU49" s="85">
        <v>3</v>
      </c>
      <c r="AV49" s="85">
        <v>4</v>
      </c>
    </row>
    <row r="50" spans="20:50" x14ac:dyDescent="0.2">
      <c r="AO50" s="196"/>
      <c r="AP50" s="85" t="s">
        <v>359</v>
      </c>
      <c r="AQ50" s="85">
        <v>1</v>
      </c>
      <c r="AR50" s="198">
        <v>0.7</v>
      </c>
      <c r="AS50" s="198">
        <v>0.9</v>
      </c>
      <c r="AT50" s="198">
        <v>0.93330000000000002</v>
      </c>
      <c r="AU50" s="198">
        <v>0.9667</v>
      </c>
      <c r="AV50" s="198">
        <v>1</v>
      </c>
    </row>
    <row r="51" spans="20:50" x14ac:dyDescent="0.2">
      <c r="AO51" s="196"/>
      <c r="AP51" s="85" t="s">
        <v>360</v>
      </c>
      <c r="AQ51" s="85">
        <v>2</v>
      </c>
      <c r="AR51" s="198">
        <v>0.7</v>
      </c>
      <c r="AS51" s="198">
        <v>0.8</v>
      </c>
      <c r="AT51" s="198">
        <v>0.9</v>
      </c>
      <c r="AU51" s="198">
        <v>0.95</v>
      </c>
      <c r="AV51" s="198">
        <v>1</v>
      </c>
    </row>
    <row r="52" spans="20:50" x14ac:dyDescent="0.2">
      <c r="AO52" s="196"/>
      <c r="AP52" s="85" t="s">
        <v>361</v>
      </c>
      <c r="AQ52" s="85">
        <v>3</v>
      </c>
      <c r="AR52" s="198">
        <v>0.7</v>
      </c>
      <c r="AS52" s="198">
        <v>0.76670000000000005</v>
      </c>
      <c r="AT52" s="198">
        <v>0.83330000000000004</v>
      </c>
      <c r="AU52" s="198">
        <v>0.9</v>
      </c>
      <c r="AV52" s="198">
        <v>1</v>
      </c>
    </row>
    <row r="53" spans="20:50" x14ac:dyDescent="0.2">
      <c r="AP53" s="199" t="s">
        <v>362</v>
      </c>
      <c r="AQ53" s="85">
        <v>11</v>
      </c>
      <c r="AR53" s="198">
        <v>0.6</v>
      </c>
      <c r="AS53" s="198">
        <v>0.9</v>
      </c>
      <c r="AT53" s="198">
        <v>0.93330000000000002</v>
      </c>
      <c r="AU53" s="198">
        <v>0.9667</v>
      </c>
      <c r="AV53" s="198">
        <v>1</v>
      </c>
    </row>
    <row r="54" spans="20:50" x14ac:dyDescent="0.2">
      <c r="AP54" s="199" t="s">
        <v>363</v>
      </c>
      <c r="AQ54" s="85">
        <v>12</v>
      </c>
      <c r="AR54" s="198">
        <v>0.6</v>
      </c>
      <c r="AS54" s="198">
        <v>0.7</v>
      </c>
      <c r="AT54" s="198">
        <v>0.9</v>
      </c>
      <c r="AU54" s="198">
        <v>0.95</v>
      </c>
      <c r="AV54" s="198">
        <v>1</v>
      </c>
    </row>
    <row r="55" spans="20:50" x14ac:dyDescent="0.2">
      <c r="AP55" s="199" t="s">
        <v>364</v>
      </c>
      <c r="AQ55" s="85">
        <v>13</v>
      </c>
      <c r="AR55" s="198">
        <v>0.6</v>
      </c>
      <c r="AS55" s="198">
        <v>0.7</v>
      </c>
      <c r="AT55" s="198">
        <v>0.8</v>
      </c>
      <c r="AU55" s="198">
        <v>0.9</v>
      </c>
      <c r="AV55" s="198">
        <v>1</v>
      </c>
    </row>
    <row r="56" spans="20:50" x14ac:dyDescent="0.2">
      <c r="AP56" s="199" t="s">
        <v>365</v>
      </c>
      <c r="AQ56" s="85">
        <v>22</v>
      </c>
      <c r="AR56" s="198">
        <v>0.3</v>
      </c>
      <c r="AS56" s="198">
        <v>0.6</v>
      </c>
      <c r="AT56" s="198">
        <v>0.9</v>
      </c>
      <c r="AU56" s="198">
        <v>0.95</v>
      </c>
      <c r="AV56" s="198">
        <v>1</v>
      </c>
    </row>
    <row r="57" spans="20:50" x14ac:dyDescent="0.2">
      <c r="AP57" s="199" t="s">
        <v>366</v>
      </c>
      <c r="AQ57" s="85">
        <v>23</v>
      </c>
      <c r="AR57" s="198">
        <v>0.3</v>
      </c>
      <c r="AS57" s="198">
        <v>0.6</v>
      </c>
      <c r="AT57" s="198">
        <v>0.7</v>
      </c>
      <c r="AU57" s="198">
        <v>0.9</v>
      </c>
      <c r="AV57" s="198">
        <v>1</v>
      </c>
    </row>
    <row r="58" spans="20:50" x14ac:dyDescent="0.2">
      <c r="AP58" s="199" t="s">
        <v>367</v>
      </c>
      <c r="AQ58" s="85">
        <v>33</v>
      </c>
      <c r="AR58" s="198">
        <v>0</v>
      </c>
      <c r="AS58" s="198">
        <v>0.3</v>
      </c>
      <c r="AT58" s="198">
        <v>0.6</v>
      </c>
      <c r="AU58" s="198">
        <v>0.9</v>
      </c>
      <c r="AV58" s="198">
        <v>1</v>
      </c>
      <c r="AW58" s="85"/>
    </row>
    <row r="60" spans="20:50" x14ac:dyDescent="0.2">
      <c r="AQ60" s="85"/>
      <c r="AW60" s="85"/>
      <c r="AX60" s="85"/>
    </row>
    <row r="61" spans="20:50" x14ac:dyDescent="0.2">
      <c r="AP61" s="200"/>
      <c r="AQ61" s="85"/>
      <c r="AW61" s="85"/>
      <c r="AX61" s="85"/>
    </row>
    <row r="62" spans="20:50" x14ac:dyDescent="0.2">
      <c r="AP62" s="85"/>
      <c r="AQ62" s="85"/>
      <c r="AW62" s="85"/>
      <c r="AX62" s="85"/>
    </row>
    <row r="63" spans="20:50" x14ac:dyDescent="0.2">
      <c r="AP63" s="85"/>
      <c r="AQ63" s="85"/>
      <c r="AW63" s="85"/>
    </row>
    <row r="64" spans="20:50" x14ac:dyDescent="0.2">
      <c r="AP64" s="85"/>
      <c r="AQ64" s="85"/>
      <c r="AW64" s="85"/>
    </row>
    <row r="65" spans="42:43" x14ac:dyDescent="0.2">
      <c r="AP65" s="85"/>
      <c r="AQ65" s="85"/>
    </row>
    <row r="66" spans="42:43" x14ac:dyDescent="0.2">
      <c r="AP66" s="85"/>
      <c r="AQ66" s="85"/>
    </row>
  </sheetData>
  <sheetProtection algorithmName="SHA-512" hashValue="5gyPvg32yuAt3o7Plq/1/eOV2ktlp0N/n1hoKwYZxoQ6Bj47PJ0zak4Bb39f31Rj4xlG+6/+cDPLmu+iJQajdg==" saltValue="Xu3jCD0w4N99Qb4r2p4EdQ==" spinCount="100000" sheet="1" selectLockedCells="1"/>
  <mergeCells count="76">
    <mergeCell ref="Q5:R5"/>
    <mergeCell ref="B6:E6"/>
    <mergeCell ref="B4:G4"/>
    <mergeCell ref="H4:N4"/>
    <mergeCell ref="O4:P4"/>
    <mergeCell ref="Q4:R4"/>
    <mergeCell ref="B5:E5"/>
    <mergeCell ref="F5:G5"/>
    <mergeCell ref="H5:L5"/>
    <mergeCell ref="M5:N5"/>
    <mergeCell ref="O5:P5"/>
    <mergeCell ref="C31:F31"/>
    <mergeCell ref="C32:F32"/>
    <mergeCell ref="BP3:BU4"/>
    <mergeCell ref="F6:G6"/>
    <mergeCell ref="H6:L6"/>
    <mergeCell ref="M6:N6"/>
    <mergeCell ref="O6:P6"/>
    <mergeCell ref="Q6:R6"/>
    <mergeCell ref="B3:G3"/>
    <mergeCell ref="H3:N3"/>
    <mergeCell ref="O3:P3"/>
    <mergeCell ref="Q3:R3"/>
    <mergeCell ref="B7:F7"/>
    <mergeCell ref="L7:R7"/>
    <mergeCell ref="BH4:BK6"/>
    <mergeCell ref="BL4:BN6"/>
    <mergeCell ref="C33:F33"/>
    <mergeCell ref="C34:F34"/>
    <mergeCell ref="BO34:BU37"/>
    <mergeCell ref="C8:F8"/>
    <mergeCell ref="L8:R39"/>
    <mergeCell ref="C9:F9"/>
    <mergeCell ref="C10:F10"/>
    <mergeCell ref="C11:F11"/>
    <mergeCell ref="C12:F12"/>
    <mergeCell ref="C13:F13"/>
    <mergeCell ref="C14:F14"/>
    <mergeCell ref="C15:F15"/>
    <mergeCell ref="C16:F16"/>
    <mergeCell ref="C30:F30"/>
    <mergeCell ref="C17:F17"/>
    <mergeCell ref="C18:F18"/>
    <mergeCell ref="BQ19:BU19"/>
    <mergeCell ref="C20:F20"/>
    <mergeCell ref="C21:F21"/>
    <mergeCell ref="BO21:BO29"/>
    <mergeCell ref="C22:F22"/>
    <mergeCell ref="C23:F23"/>
    <mergeCell ref="C24:F24"/>
    <mergeCell ref="C25:F25"/>
    <mergeCell ref="C26:F26"/>
    <mergeCell ref="C27:F27"/>
    <mergeCell ref="C28:F28"/>
    <mergeCell ref="C29:F29"/>
    <mergeCell ref="C19:F19"/>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s>
  <conditionalFormatting sqref="B8:F39">
    <cfRule type="expression" dxfId="230" priority="8" stopIfTrue="1">
      <formula>IF($Z8=1,TRUE,FALSE)</formula>
    </cfRule>
    <cfRule type="expression" dxfId="229" priority="9">
      <formula>IF($Z8=2,TRUE,FALSE)</formula>
    </cfRule>
  </conditionalFormatting>
  <conditionalFormatting sqref="C8:F39">
    <cfRule type="expression" dxfId="228" priority="1" stopIfTrue="1">
      <formula>IF($AF8=FALSE,TRUE,FALSE)</formula>
    </cfRule>
  </conditionalFormatting>
  <conditionalFormatting sqref="F5:G6 M5:P6">
    <cfRule type="expression" dxfId="227" priority="4" stopIfTrue="1">
      <formula>NOT($AU$4)</formula>
    </cfRule>
  </conditionalFormatting>
  <conditionalFormatting sqref="F6:G6">
    <cfRule type="cellIs" dxfId="226" priority="3" operator="equal">
      <formula>""</formula>
    </cfRule>
  </conditionalFormatting>
  <conditionalFormatting sqref="G8:K39">
    <cfRule type="expression" dxfId="225" priority="6" stopIfTrue="1">
      <formula>IF($Z8=1,TRUE,FALSE)</formula>
    </cfRule>
    <cfRule type="expression" dxfId="224" priority="7" stopIfTrue="1">
      <formula>IF($Z8=2,TRUE,FALSE)</formula>
    </cfRule>
  </conditionalFormatting>
  <conditionalFormatting sqref="H8:H39">
    <cfRule type="expression" dxfId="223" priority="10" stopIfTrue="1">
      <formula>IF($AB8=0,TRUE,FALSE)</formula>
    </cfRule>
  </conditionalFormatting>
  <conditionalFormatting sqref="H40:I41">
    <cfRule type="expression" dxfId="222" priority="2" stopIfTrue="1">
      <formula>IF($H$41="N/A",TRUE,FALSE)</formula>
    </cfRule>
  </conditionalFormatting>
  <conditionalFormatting sqref="H6:P6 O4:R4 B6 L8 L41 O41:R41">
    <cfRule type="containsBlanks" dxfId="221" priority="5">
      <formula>LEN(TRIM(B4))=0</formula>
    </cfRule>
  </conditionalFormatting>
  <conditionalFormatting sqref="J8:J39">
    <cfRule type="expression" dxfId="220" priority="14">
      <formula>IF($Z8=1,FALSE,OR($BE8,$BD8))</formula>
    </cfRule>
  </conditionalFormatting>
  <conditionalFormatting sqref="J8:K39 C8:F39">
    <cfRule type="expression" dxfId="219" priority="13">
      <formula>IF($Z8=1,FALSE,OR($AW8,$AX8,$AY8,$AZ8))</formula>
    </cfRule>
  </conditionalFormatting>
  <conditionalFormatting sqref="J8:K39">
    <cfRule type="expression" dxfId="218" priority="11" stopIfTrue="1">
      <formula>IF(ISNA($Z8),TRUE,FALSE)</formula>
    </cfRule>
  </conditionalFormatting>
  <conditionalFormatting sqref="K8:K39">
    <cfRule type="expression" dxfId="217" priority="12">
      <formula>IF(OR($Z8=1,$Z8=2),FALSE,OR($BC8,$BE8,$BF8))</formula>
    </cfRule>
  </conditionalFormatting>
  <dataValidations count="6">
    <dataValidation type="list" allowBlank="1" showInputMessage="1" showErrorMessage="1" sqref="F6:G6" xr:uid="{BB17761A-BCC7-4DA9-942D-EDF6A691506C}">
      <formula1>"No,Yes"</formula1>
    </dataValidation>
    <dataValidation type="list" allowBlank="1" showInputMessage="1" showErrorMessage="1" sqref="J8:J39" xr:uid="{C70A572C-A639-4433-8445-80945CC08927}">
      <formula1>"NA,0,1,2,3,4,5,6,7,8,9,10,11,12,13,14,15"</formula1>
    </dataValidation>
    <dataValidation type="list" allowBlank="1" showInputMessage="1" showErrorMessage="1" sqref="K8:K39" xr:uid="{A826158A-A394-49DE-9B65-6FC66171BBA0}">
      <formula1>"D,0,1,2,3,4"</formula1>
    </dataValidation>
    <dataValidation showInputMessage="1" showErrorMessage="1" sqref="O41:R41" xr:uid="{99F3B709-6BE3-4AF5-8142-1E7F5458ED99}"/>
    <dataValidation type="decimal" allowBlank="1" showInputMessage="1" showErrorMessage="1" sqref="O6:P6" xr:uid="{7F1D0D04-9800-4934-96CE-663F16929E6C}">
      <formula1>0</formula1>
      <formula2>10</formula2>
    </dataValidation>
    <dataValidation type="date" allowBlank="1" showInputMessage="1" showErrorMessage="1" sqref="Q4:R4" xr:uid="{3029A910-0161-42CA-BFBA-3C89AE58693D}">
      <formula1>41151</formula1>
      <formula2>77433</formula2>
    </dataValidation>
  </dataValidations>
  <hyperlinks>
    <hyperlink ref="BP3" location="PF!A1" display="PF phase Summary Page" xr:uid="{55D8DA75-8842-4769-8A83-C40038721343}"/>
    <hyperlink ref="BP3:BU4" location="FQ!A1" display="FQ Summary Page" xr:uid="{E1580243-5F7D-4823-8177-90DFC85F622E}"/>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2691"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242692"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242693"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242694"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242695"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FA8AF-6F90-446D-869A-FEBBAE32ECFB}">
  <sheetPr codeName="Sheet32">
    <tabColor rgb="FF00B050"/>
    <pageSetUpPr autoPageBreaks="0"/>
  </sheetPr>
  <dimension ref="B1:DO66"/>
  <sheetViews>
    <sheetView showGridLines="0" showRowColHeaders="0" topLeftCell="A2" zoomScaleNormal="100" zoomScaleSheetLayoutView="100" workbookViewId="0">
      <selection activeCell="BP3" sqref="BP3:BU4"/>
    </sheetView>
  </sheetViews>
  <sheetFormatPr defaultColWidth="9.140625" defaultRowHeight="12.75" x14ac:dyDescent="0.2"/>
  <cols>
    <col min="1" max="1" width="1.5703125" style="87" customWidth="1"/>
    <col min="2" max="2" width="3.5703125" style="87" customWidth="1"/>
    <col min="3" max="3" width="5.5703125" style="87" customWidth="1"/>
    <col min="4" max="4" width="9.140625" style="87" customWidth="1"/>
    <col min="5" max="5" width="14" style="87" customWidth="1"/>
    <col min="6" max="6" width="7.85546875" style="87" customWidth="1"/>
    <col min="7" max="11" width="5.140625" style="87" customWidth="1"/>
    <col min="12" max="12" width="21.5703125" style="87" customWidth="1"/>
    <col min="13" max="13" width="6.5703125" style="87" customWidth="1"/>
    <col min="14" max="14" width="12.5703125" style="87" customWidth="1"/>
    <col min="15" max="15" width="7.85546875" style="87" customWidth="1"/>
    <col min="16" max="16" width="2.7109375" style="87" customWidth="1"/>
    <col min="17" max="17" width="4.85546875" style="87" customWidth="1"/>
    <col min="18" max="18" width="7.28515625" style="87" customWidth="1"/>
    <col min="19" max="19" width="1.7109375" style="87" customWidth="1"/>
    <col min="20" max="20" width="19.140625" style="88" hidden="1" customWidth="1"/>
    <col min="21" max="21" width="31.140625" style="88" hidden="1" customWidth="1"/>
    <col min="22" max="22" width="5.140625" style="88" hidden="1" customWidth="1"/>
    <col min="23" max="24" width="6.28515625" style="88" hidden="1" customWidth="1"/>
    <col min="25" max="25" width="8.42578125" style="88" hidden="1" customWidth="1"/>
    <col min="26" max="26" width="7.85546875" style="88" hidden="1" customWidth="1"/>
    <col min="27" max="27" width="10.7109375" style="88" hidden="1" customWidth="1"/>
    <col min="28" max="28" width="8" style="88" hidden="1" customWidth="1"/>
    <col min="29" max="31" width="5.140625" style="88" hidden="1" customWidth="1"/>
    <col min="32" max="34" width="5.85546875" style="88" hidden="1" customWidth="1"/>
    <col min="35" max="35" width="8.5703125" style="89" hidden="1" customWidth="1"/>
    <col min="36" max="36" width="7" style="88" hidden="1" customWidth="1"/>
    <col min="37" max="38" width="5.28515625" style="88" hidden="1" customWidth="1"/>
    <col min="39" max="40" width="7" style="88" hidden="1" customWidth="1"/>
    <col min="41" max="41" width="5.140625" style="88" hidden="1" customWidth="1"/>
    <col min="42" max="42" width="11.28515625" style="88" hidden="1" customWidth="1"/>
    <col min="43" max="43" width="6.42578125" style="88" hidden="1" customWidth="1"/>
    <col min="44" max="44" width="8.28515625" style="88" hidden="1" customWidth="1"/>
    <col min="45" max="45" width="8.85546875" style="88" hidden="1" customWidth="1"/>
    <col min="46" max="46" width="10.7109375" style="88" hidden="1" customWidth="1"/>
    <col min="47" max="47" width="8.85546875" style="88" hidden="1" customWidth="1"/>
    <col min="48" max="48" width="6.28515625" style="88" hidden="1" customWidth="1"/>
    <col min="49" max="49" width="10" style="88" hidden="1" customWidth="1"/>
    <col min="50" max="50" width="7.5703125" style="88" hidden="1" customWidth="1"/>
    <col min="51" max="51" width="7" style="88" hidden="1" customWidth="1"/>
    <col min="52" max="52" width="8.140625" style="88" hidden="1" customWidth="1"/>
    <col min="53" max="53" width="12.5703125" style="88" hidden="1" customWidth="1"/>
    <col min="54" max="54" width="7.7109375" style="88" hidden="1" customWidth="1"/>
    <col min="55" max="55" width="12.7109375" style="88" hidden="1" customWidth="1"/>
    <col min="56" max="56" width="7" style="88" hidden="1" customWidth="1"/>
    <col min="57" max="57" width="15.5703125" style="88" hidden="1" customWidth="1"/>
    <col min="58" max="58" width="9.140625" style="88" hidden="1" customWidth="1"/>
    <col min="59" max="59" width="10" style="88" hidden="1" customWidth="1"/>
    <col min="60" max="60" width="5.28515625" style="88" hidden="1" customWidth="1"/>
    <col min="61" max="61" width="4" style="88" hidden="1" customWidth="1"/>
    <col min="62" max="62" width="4.7109375" style="88" hidden="1" customWidth="1"/>
    <col min="63" max="63" width="5.5703125" style="88" hidden="1" customWidth="1"/>
    <col min="64" max="64" width="5.28515625" style="88" hidden="1" customWidth="1"/>
    <col min="65" max="65" width="4" style="88" hidden="1" customWidth="1"/>
    <col min="66" max="66" width="5.5703125" style="88" hidden="1" customWidth="1"/>
    <col min="67" max="67" width="5.140625" style="90" customWidth="1"/>
    <col min="68" max="73" width="5.140625" style="87" customWidth="1"/>
    <col min="74" max="16384" width="9.140625" style="87"/>
  </cols>
  <sheetData>
    <row r="1" spans="2:119" s="84" customFormat="1" ht="12" hidden="1" x14ac:dyDescent="0.2">
      <c r="T1" s="85"/>
      <c r="U1" s="85"/>
      <c r="V1" s="85"/>
      <c r="W1" s="85"/>
      <c r="X1" s="85"/>
      <c r="Y1" s="85"/>
      <c r="Z1" s="85"/>
      <c r="AA1" s="85"/>
      <c r="AB1" s="85"/>
      <c r="AC1" s="85"/>
      <c r="AD1" s="85"/>
      <c r="AE1" s="85"/>
      <c r="AF1" s="85"/>
      <c r="AG1" s="85"/>
      <c r="AH1" s="85"/>
      <c r="AI1" s="86"/>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row>
    <row r="2" spans="2:119" ht="13.5" thickBot="1" x14ac:dyDescent="0.25"/>
    <row r="3" spans="2:119" ht="13.5" customHeight="1" thickTop="1" x14ac:dyDescent="0.2">
      <c r="B3" s="967" t="s">
        <v>267</v>
      </c>
      <c r="C3" s="968"/>
      <c r="D3" s="968"/>
      <c r="E3" s="968"/>
      <c r="F3" s="968"/>
      <c r="G3" s="969"/>
      <c r="H3" s="970" t="s">
        <v>793</v>
      </c>
      <c r="I3" s="971"/>
      <c r="J3" s="971"/>
      <c r="K3" s="971"/>
      <c r="L3" s="971"/>
      <c r="M3" s="971"/>
      <c r="N3" s="972"/>
      <c r="O3" s="973" t="s">
        <v>269</v>
      </c>
      <c r="P3" s="974"/>
      <c r="Q3" s="973" t="s">
        <v>270</v>
      </c>
      <c r="R3" s="975"/>
      <c r="S3" s="91"/>
      <c r="T3" s="92"/>
      <c r="U3" s="92"/>
      <c r="V3" s="92"/>
      <c r="W3" s="92"/>
      <c r="X3" s="92"/>
      <c r="Y3" s="92"/>
      <c r="Z3" s="92"/>
      <c r="AA3" s="92"/>
      <c r="AB3" s="92"/>
      <c r="AC3" s="92"/>
      <c r="AD3" s="92"/>
      <c r="AE3" s="92"/>
      <c r="AF3" s="92"/>
      <c r="AG3" s="92"/>
      <c r="AH3" s="92"/>
      <c r="AI3" s="93"/>
      <c r="AJ3" s="92"/>
      <c r="AK3" s="92"/>
      <c r="AL3" s="92"/>
      <c r="AM3" s="92"/>
      <c r="AN3" s="92"/>
      <c r="AO3" s="92"/>
      <c r="AP3" s="92"/>
      <c r="AQ3" s="85"/>
      <c r="AR3" s="85"/>
      <c r="AW3" s="88" t="s">
        <v>271</v>
      </c>
      <c r="AX3" s="88" t="s">
        <v>272</v>
      </c>
      <c r="AY3" s="88" t="s">
        <v>273</v>
      </c>
      <c r="AZ3" s="88" t="s">
        <v>274</v>
      </c>
      <c r="BA3" s="88" t="s">
        <v>275</v>
      </c>
      <c r="BB3" s="88" t="s">
        <v>276</v>
      </c>
      <c r="BP3" s="1032" t="s">
        <v>843</v>
      </c>
      <c r="BQ3" s="1032"/>
      <c r="BR3" s="1032"/>
      <c r="BS3" s="1032"/>
      <c r="BT3" s="1032"/>
      <c r="BU3" s="1032"/>
    </row>
    <row r="4" spans="2:119" s="94" customFormat="1" ht="15.75" customHeight="1" x14ac:dyDescent="0.3">
      <c r="B4" s="994" t="s">
        <v>277</v>
      </c>
      <c r="C4" s="995"/>
      <c r="D4" s="995"/>
      <c r="E4" s="995"/>
      <c r="F4" s="995"/>
      <c r="G4" s="996"/>
      <c r="H4" s="937" t="s">
        <v>753</v>
      </c>
      <c r="I4" s="938"/>
      <c r="J4" s="938"/>
      <c r="K4" s="938"/>
      <c r="L4" s="938"/>
      <c r="M4" s="938"/>
      <c r="N4" s="939"/>
      <c r="O4" s="997"/>
      <c r="P4" s="998"/>
      <c r="Q4" s="999"/>
      <c r="R4" s="1000"/>
      <c r="S4" s="95"/>
      <c r="T4" s="96"/>
      <c r="U4" s="96"/>
      <c r="V4" s="96"/>
      <c r="W4" s="96"/>
      <c r="X4" s="96"/>
      <c r="Y4" s="96"/>
      <c r="Z4" s="96"/>
      <c r="AA4" s="96"/>
      <c r="AB4" s="96"/>
      <c r="AC4" s="96"/>
      <c r="AD4" s="96"/>
      <c r="AE4" s="96"/>
      <c r="AF4" s="96"/>
      <c r="AG4" s="96"/>
      <c r="AH4" s="96"/>
      <c r="AI4" s="97"/>
      <c r="AJ4" s="96"/>
      <c r="AK4" s="96"/>
      <c r="AL4" s="96"/>
      <c r="AM4" s="96"/>
      <c r="AN4" s="96"/>
      <c r="AO4" s="96"/>
      <c r="AP4" s="96"/>
      <c r="AQ4" s="98"/>
      <c r="AR4" s="98"/>
      <c r="AS4" s="99"/>
      <c r="AT4" s="100" t="s">
        <v>278</v>
      </c>
      <c r="AU4" s="101" t="b">
        <v>1</v>
      </c>
      <c r="AV4" s="99">
        <v>5</v>
      </c>
      <c r="AW4" s="99" t="b">
        <f>IF(ISERR(OR(AW8:AW39)),"UNK",IF(AND(graded_aca_events&gt;=1,input_test),FALSE,OR(AW8:AW39)))</f>
        <v>1</v>
      </c>
      <c r="AX4" s="99" t="b">
        <f>IF(ISERR(OR(AX8:AX39)),"UNK",IF(AND(graded_aca_events&gt;=1,input_test),FALSE,OR(AX8:AX39)))</f>
        <v>1</v>
      </c>
      <c r="AY4" s="99" t="b">
        <f>IF(ISERR(OR(AY8:AY39)),"UNK",OR(AY8:AY39))</f>
        <v>0</v>
      </c>
      <c r="AZ4" s="99" t="b">
        <f>IF(ISERR(OR(AZ8:AZ39)),"UNK",OR(AZ8:AZ39))</f>
        <v>0</v>
      </c>
      <c r="BA4" s="99" t="b">
        <f>IF(ISERR(OR(BA8:BA39)),"UNK",OR(BA8:BA39))</f>
        <v>0</v>
      </c>
      <c r="BB4" s="99" t="b">
        <f>IF(ISERR(OR(BB8:BB39)),"UNK",OR(BB8:BB39))</f>
        <v>0</v>
      </c>
      <c r="BC4" s="102" t="b">
        <f>OR(BC8:BC39)</f>
        <v>0</v>
      </c>
      <c r="BD4" s="102" t="b">
        <f>OR(BD8:BD39)</f>
        <v>0</v>
      </c>
      <c r="BE4" s="102" t="b">
        <f>OR(BE8:BE39)</f>
        <v>0</v>
      </c>
      <c r="BF4" s="102"/>
      <c r="BG4" s="99"/>
      <c r="BH4" s="944" t="s">
        <v>279</v>
      </c>
      <c r="BI4" s="944"/>
      <c r="BJ4" s="944"/>
      <c r="BK4" s="944"/>
      <c r="BL4" s="977" t="s">
        <v>280</v>
      </c>
      <c r="BM4" s="977"/>
      <c r="BN4" s="977"/>
      <c r="BO4" s="483"/>
      <c r="BP4" s="1032"/>
      <c r="BQ4" s="1032"/>
      <c r="BR4" s="1032"/>
      <c r="BS4" s="1032"/>
      <c r="BT4" s="1032"/>
      <c r="BU4" s="1032"/>
      <c r="BV4" s="445"/>
      <c r="BW4" s="445"/>
      <c r="BX4" s="445"/>
      <c r="BY4" s="445"/>
      <c r="BZ4" s="445"/>
      <c r="CA4" s="445"/>
      <c r="CB4" s="445"/>
      <c r="CC4" s="445"/>
      <c r="CD4" s="445"/>
      <c r="CE4" s="445"/>
      <c r="CF4" s="445"/>
      <c r="CG4" s="445"/>
      <c r="CH4" s="445"/>
      <c r="CI4" s="445"/>
      <c r="CJ4" s="445"/>
      <c r="CK4" s="445"/>
      <c r="CL4" s="445"/>
      <c r="CM4" s="445"/>
      <c r="CN4" s="445"/>
      <c r="CO4" s="445"/>
      <c r="CP4" s="445"/>
      <c r="CQ4" s="445"/>
      <c r="CR4" s="445"/>
      <c r="CS4" s="445"/>
      <c r="CT4" s="445"/>
      <c r="CU4" s="445"/>
      <c r="CV4" s="445"/>
      <c r="CW4" s="445"/>
      <c r="CX4" s="445"/>
      <c r="CY4" s="445"/>
      <c r="CZ4" s="445"/>
      <c r="DA4" s="445"/>
      <c r="DB4" s="445"/>
      <c r="DC4" s="445"/>
      <c r="DD4" s="445"/>
      <c r="DE4" s="445"/>
      <c r="DF4" s="445"/>
      <c r="DG4" s="445"/>
      <c r="DH4" s="445"/>
      <c r="DI4" s="445"/>
      <c r="DJ4" s="445"/>
      <c r="DK4" s="445"/>
      <c r="DL4" s="445"/>
      <c r="DM4" s="445"/>
      <c r="DN4" s="445"/>
      <c r="DO4" s="445"/>
    </row>
    <row r="5" spans="2:119" s="91" customFormat="1" ht="7.5" customHeight="1" x14ac:dyDescent="0.25">
      <c r="B5" s="978" t="s">
        <v>281</v>
      </c>
      <c r="C5" s="979"/>
      <c r="D5" s="979"/>
      <c r="E5" s="980"/>
      <c r="F5" s="981" t="s">
        <v>282</v>
      </c>
      <c r="G5" s="980"/>
      <c r="H5" s="981" t="s">
        <v>283</v>
      </c>
      <c r="I5" s="979"/>
      <c r="J5" s="979"/>
      <c r="K5" s="979"/>
      <c r="L5" s="980"/>
      <c r="M5" s="982" t="s">
        <v>284</v>
      </c>
      <c r="N5" s="983"/>
      <c r="O5" s="984" t="s">
        <v>285</v>
      </c>
      <c r="P5" s="985"/>
      <c r="Q5" s="981" t="str">
        <f>IF(AU41=0,"GRADE","GRADE (inc. bonus)")</f>
        <v>GRADE (inc. bonus)</v>
      </c>
      <c r="R5" s="986"/>
      <c r="T5" s="92"/>
      <c r="U5" s="92"/>
      <c r="V5" s="92"/>
      <c r="W5" s="92"/>
      <c r="X5" s="92"/>
      <c r="Y5" s="92"/>
      <c r="Z5" s="92"/>
      <c r="AA5" s="92"/>
      <c r="AB5" s="92"/>
      <c r="AC5" s="92"/>
      <c r="AD5" s="92"/>
      <c r="AE5" s="92"/>
      <c r="AF5" s="92"/>
      <c r="AG5" s="92"/>
      <c r="AH5" s="92"/>
      <c r="AI5" s="93"/>
      <c r="AJ5" s="92"/>
      <c r="AK5" s="92"/>
      <c r="AL5" s="92"/>
      <c r="AM5" s="92"/>
      <c r="AN5" s="92"/>
      <c r="AO5" s="92"/>
      <c r="AP5" s="92"/>
      <c r="AQ5" s="92"/>
      <c r="AR5" s="92"/>
      <c r="AS5" s="92"/>
      <c r="AT5" s="92"/>
      <c r="AU5" s="92"/>
      <c r="AV5" s="92"/>
      <c r="AW5" s="92"/>
      <c r="AX5" s="92"/>
      <c r="AY5" s="92"/>
      <c r="AZ5" s="92"/>
      <c r="BA5" s="92"/>
      <c r="BB5" s="92"/>
      <c r="BC5" s="92"/>
      <c r="BD5" s="92"/>
      <c r="BE5" s="92"/>
      <c r="BF5" s="92"/>
      <c r="BG5" s="92"/>
      <c r="BH5" s="944"/>
      <c r="BI5" s="944"/>
      <c r="BJ5" s="944"/>
      <c r="BK5" s="944"/>
      <c r="BL5" s="977"/>
      <c r="BM5" s="977"/>
      <c r="BN5" s="977"/>
      <c r="BO5" s="103"/>
    </row>
    <row r="6" spans="2:119" s="94" customFormat="1" ht="15.75" customHeight="1" thickBot="1" x14ac:dyDescent="0.25">
      <c r="B6" s="1001"/>
      <c r="C6" s="1002"/>
      <c r="D6" s="1002"/>
      <c r="E6" s="1003"/>
      <c r="F6" s="1004" t="s">
        <v>286</v>
      </c>
      <c r="G6" s="1005"/>
      <c r="H6" s="1006"/>
      <c r="I6" s="1007"/>
      <c r="J6" s="1007"/>
      <c r="K6" s="1007"/>
      <c r="L6" s="1005"/>
      <c r="M6" s="1008"/>
      <c r="N6" s="1009"/>
      <c r="O6" s="1010"/>
      <c r="P6" s="1011"/>
      <c r="Q6" s="949" t="str">
        <f>IF((graded_aca_events+graded_amn_events)&lt;1,"0",IF(ISERROR(AR46),"",IF(F41&lt;&gt;"COMPLETE","INCOMPLETE",AR46)))</f>
        <v>0</v>
      </c>
      <c r="R6" s="950"/>
      <c r="S6" s="87"/>
      <c r="T6" s="99"/>
      <c r="U6" s="99">
        <v>2</v>
      </c>
      <c r="V6" s="99">
        <v>3</v>
      </c>
      <c r="W6" s="99">
        <v>6</v>
      </c>
      <c r="X6" s="99">
        <v>7</v>
      </c>
      <c r="Y6" s="99">
        <v>11</v>
      </c>
      <c r="Z6" s="99">
        <v>8</v>
      </c>
      <c r="AA6" s="99">
        <v>9</v>
      </c>
      <c r="AB6" s="99">
        <v>10</v>
      </c>
      <c r="AC6" s="99">
        <v>5</v>
      </c>
      <c r="AD6" s="99">
        <v>4</v>
      </c>
      <c r="AE6" s="99">
        <v>12</v>
      </c>
      <c r="AF6" s="99">
        <v>13</v>
      </c>
      <c r="AG6" s="99"/>
      <c r="AH6" s="99"/>
      <c r="AI6" s="104"/>
      <c r="AJ6" s="105"/>
      <c r="AK6" s="105"/>
      <c r="AL6" s="105"/>
      <c r="AM6" s="105" t="b">
        <f>IF(COUNT(AM8:AM39)&gt;0,TRUE,FALSE)</f>
        <v>0</v>
      </c>
      <c r="AN6" s="105" t="b">
        <f>IF(COUNT(AN8:AN39)&gt;0,TRUE,FALSE)</f>
        <v>0</v>
      </c>
      <c r="AO6" s="99"/>
      <c r="AP6" s="99"/>
      <c r="AQ6" s="98"/>
      <c r="AR6" s="98"/>
      <c r="AS6" s="99"/>
      <c r="AT6" s="106">
        <v>0.2</v>
      </c>
      <c r="AU6" s="99"/>
      <c r="AV6" s="107">
        <f>0.01*input_maxb</f>
        <v>0.05</v>
      </c>
      <c r="AW6" s="108" t="s">
        <v>287</v>
      </c>
      <c r="AX6" s="109"/>
      <c r="AY6" s="108" t="s">
        <v>288</v>
      </c>
      <c r="AZ6" s="109"/>
      <c r="BA6" s="110" t="s">
        <v>289</v>
      </c>
      <c r="BB6" s="110"/>
      <c r="BC6" s="108" t="s">
        <v>290</v>
      </c>
      <c r="BD6" s="110"/>
      <c r="BE6" s="111"/>
      <c r="BF6" s="112"/>
      <c r="BG6" s="99" t="s">
        <v>291</v>
      </c>
      <c r="BH6" s="944"/>
      <c r="BI6" s="944"/>
      <c r="BJ6" s="944"/>
      <c r="BK6" s="944"/>
      <c r="BL6" s="977"/>
      <c r="BM6" s="977"/>
      <c r="BN6" s="977"/>
      <c r="BO6" s="90"/>
    </row>
    <row r="7" spans="2:119" ht="27" customHeight="1" thickBot="1" x14ac:dyDescent="0.25">
      <c r="B7" s="951" t="s">
        <v>292</v>
      </c>
      <c r="C7" s="952"/>
      <c r="D7" s="952"/>
      <c r="E7" s="952"/>
      <c r="F7" s="953"/>
      <c r="G7" s="113" t="s">
        <v>293</v>
      </c>
      <c r="H7" s="114" t="s">
        <v>294</v>
      </c>
      <c r="I7" s="115" t="s">
        <v>295</v>
      </c>
      <c r="J7" s="116" t="s">
        <v>296</v>
      </c>
      <c r="K7" s="117" t="s">
        <v>297</v>
      </c>
      <c r="L7" s="954" t="s">
        <v>298</v>
      </c>
      <c r="M7" s="952"/>
      <c r="N7" s="952"/>
      <c r="O7" s="952"/>
      <c r="P7" s="952"/>
      <c r="Q7" s="952"/>
      <c r="R7" s="955"/>
      <c r="T7" s="118" t="s">
        <v>299</v>
      </c>
      <c r="U7" s="118"/>
      <c r="V7" s="118" t="s">
        <v>300</v>
      </c>
      <c r="W7" s="118" t="s">
        <v>301</v>
      </c>
      <c r="X7" s="118" t="s">
        <v>302</v>
      </c>
      <c r="Y7" s="118" t="s">
        <v>303</v>
      </c>
      <c r="Z7" s="118" t="s">
        <v>304</v>
      </c>
      <c r="AA7" s="118" t="s">
        <v>305</v>
      </c>
      <c r="AB7" s="118" t="s">
        <v>306</v>
      </c>
      <c r="AC7" s="118" t="s">
        <v>307</v>
      </c>
      <c r="AD7" s="118" t="s">
        <v>308</v>
      </c>
      <c r="AE7" s="118" t="s">
        <v>309</v>
      </c>
      <c r="AF7" s="118" t="s">
        <v>310</v>
      </c>
      <c r="AG7" s="118" t="s">
        <v>311</v>
      </c>
      <c r="AH7" s="118" t="s">
        <v>312</v>
      </c>
      <c r="AI7" s="119" t="s">
        <v>313</v>
      </c>
      <c r="AJ7" s="120" t="s">
        <v>314</v>
      </c>
      <c r="AK7" s="121" t="s">
        <v>315</v>
      </c>
      <c r="AL7" s="121" t="s">
        <v>316</v>
      </c>
      <c r="AM7" s="121" t="s">
        <v>317</v>
      </c>
      <c r="AN7" s="121" t="s">
        <v>318</v>
      </c>
      <c r="AO7" s="120" t="s">
        <v>319</v>
      </c>
      <c r="AP7" s="120" t="s">
        <v>320</v>
      </c>
      <c r="AQ7" s="122" t="s">
        <v>321</v>
      </c>
      <c r="AR7" s="123" t="s">
        <v>1</v>
      </c>
      <c r="AS7" s="122" t="s">
        <v>322</v>
      </c>
      <c r="AT7" s="123" t="s">
        <v>1</v>
      </c>
      <c r="AU7" s="122" t="s">
        <v>323</v>
      </c>
      <c r="AV7" s="124" t="s">
        <v>324</v>
      </c>
      <c r="AW7" s="125" t="s">
        <v>325</v>
      </c>
      <c r="AX7" s="126" t="s">
        <v>326</v>
      </c>
      <c r="AY7" s="125" t="s">
        <v>327</v>
      </c>
      <c r="AZ7" s="126" t="s">
        <v>328</v>
      </c>
      <c r="BA7" s="127" t="s">
        <v>329</v>
      </c>
      <c r="BB7" s="127" t="s">
        <v>330</v>
      </c>
      <c r="BC7" s="128" t="s">
        <v>331</v>
      </c>
      <c r="BD7" s="129" t="s">
        <v>332</v>
      </c>
      <c r="BE7" s="130" t="s">
        <v>333</v>
      </c>
      <c r="BF7" s="131" t="s">
        <v>334</v>
      </c>
      <c r="BH7" s="88" t="s">
        <v>335</v>
      </c>
      <c r="BI7" s="88" t="s">
        <v>336</v>
      </c>
      <c r="BJ7" s="118" t="s">
        <v>337</v>
      </c>
      <c r="BK7" s="88" t="s">
        <v>338</v>
      </c>
      <c r="BL7" s="88" t="s">
        <v>335</v>
      </c>
      <c r="BM7" s="88" t="s">
        <v>336</v>
      </c>
      <c r="BN7" s="88" t="s">
        <v>338</v>
      </c>
    </row>
    <row r="8" spans="2:119" ht="12.95" customHeight="1" x14ac:dyDescent="0.2">
      <c r="B8" s="132" t="str">
        <f>IF(ISNA(Z8),"",IF(OR(Z8=1,Z8=2),"",1))</f>
        <v/>
      </c>
      <c r="C8" s="956" t="str">
        <f t="shared" ref="C8:C36" si="0">IF(ISNA(Z8),"",CONCATENATE($U8,IF(ISNUMBER(AI8),TEXT(ROUND($AI8,3)," (0.0%)"),""),IF(AU8&gt;0," Bonus","")))</f>
        <v>Airmanship Tasks (20.0%)</v>
      </c>
      <c r="D8" s="956"/>
      <c r="E8" s="956"/>
      <c r="F8" s="957"/>
      <c r="G8" s="133" t="str">
        <f t="shared" ref="G8:G39" si="1">BH8</f>
        <v/>
      </c>
      <c r="H8" s="134" t="str">
        <f t="shared" ref="H8:I39" si="2">BJ8</f>
        <v/>
      </c>
      <c r="I8" s="135" t="str">
        <f t="shared" si="2"/>
        <v/>
      </c>
      <c r="J8" s="136"/>
      <c r="K8" s="137"/>
      <c r="L8" s="1012"/>
      <c r="M8" s="1013"/>
      <c r="N8" s="1013"/>
      <c r="O8" s="1013"/>
      <c r="P8" s="1013"/>
      <c r="Q8" s="1013"/>
      <c r="R8" s="1014"/>
      <c r="T8" s="88">
        <v>1</v>
      </c>
      <c r="U8" s="88" t="s">
        <v>339</v>
      </c>
      <c r="V8" s="453" t="s">
        <v>340</v>
      </c>
      <c r="W8" s="453" t="s">
        <v>340</v>
      </c>
      <c r="X8" s="453" t="s">
        <v>340</v>
      </c>
      <c r="Y8" s="453" t="s">
        <v>340</v>
      </c>
      <c r="Z8" s="453">
        <v>1</v>
      </c>
      <c r="AA8" s="453">
        <v>0</v>
      </c>
      <c r="AB8" s="453">
        <v>0</v>
      </c>
      <c r="AC8" s="453" t="s">
        <v>340</v>
      </c>
      <c r="AD8" s="453" t="s">
        <v>340</v>
      </c>
      <c r="AE8" s="453">
        <v>0</v>
      </c>
      <c r="AF8" s="453" t="s">
        <v>340</v>
      </c>
      <c r="AG8" s="453" t="str">
        <f t="shared" ref="AG8:AG39" si="3">IF(CrewSoloQual="Yes",$AC8,$AD8)</f>
        <v/>
      </c>
      <c r="AH8" s="453" t="str">
        <f t="shared" ref="AH8:AH39" si="4">IF(ISNUMBER(AC8),IF(CrewSoloQual="Yes",$AC8-1,$AD8-1),"")</f>
        <v/>
      </c>
      <c r="AI8" s="138">
        <f>IF(NOT(OR(Z8=1,Z8=2)),IF(AQ8&gt;0,$AR$44*AQ8/SUMIF($AQ$8:$AQ$39,"&gt;0"),IF(AU8&gt;0,$AV$44*AU8/SUMIF($AU$8:$AU$39,"&gt;0"),IF(AS8&gt;0,$AT$44*AS8/SUMIF($AS$8:$AS$39,"&gt;0"),""))),IF(SUMIF(AJ9:$AJ$39,"=" &amp; AJ8,AI9:$AI$39)=0,"",SUMIF(AJ9:$AJ$39,"=" &amp; AJ8,AI9:$AI$39)))</f>
        <v>0.2</v>
      </c>
      <c r="AJ8" s="139">
        <f>0</f>
        <v>0</v>
      </c>
      <c r="AK8" s="453" t="str">
        <f>BI8</f>
        <v/>
      </c>
      <c r="AL8" s="453" t="str">
        <f>IF(ISBLANK(K8),"",K8)</f>
        <v/>
      </c>
      <c r="AM8" s="453" t="str">
        <f>IF(ISNUMBER(AK8),IF(ISNUMBER(AL8),1,""),"")</f>
        <v/>
      </c>
      <c r="AN8" s="453" t="str">
        <f t="shared" ref="AN8:AN36" si="5">IF(ISNUMBER(AH8),IF(AND(AB8=0,ISNUMBER(AC8),ISNUMBER(AL8)),1,""),"")</f>
        <v/>
      </c>
      <c r="AO8" s="453" t="str">
        <f t="shared" ref="AO8:AO39" si="6">IF(AB8=0,IF(CrewSoloQual="No",BI8,BK8),"")</f>
        <v/>
      </c>
      <c r="AP8" s="453" t="str">
        <f t="shared" ref="AP8:AP39" si="7">IF(ISNA(Z8),"",IF(AND(ISNUMBER(B8),G8&gt;=1,H8&lt;&gt;"NG"),IF(K8&lt;BK8,TRUE,FALSE),IF(AND(G8&gt;=1,J8="NA"),TRUE,IF(AND(AM8=1,G8=0,AL8&lt;BI8),TRUE,""))))</f>
        <v/>
      </c>
      <c r="AQ8" s="140">
        <f>IF(ISNA(Z8),0,IF(OR(J8="NA",W8="",AB8=0),0,W8))</f>
        <v>0</v>
      </c>
      <c r="AR8" s="141" t="str">
        <f t="shared" ref="AR8:AR39" si="8">IF(ISNA(Z8),"",IF(AND(NOT(OR(Z8=1,Z8=2,AK8="NG",AB8=0)),IF(ISNUMBER(AL8),AL8&gt;=0,FALSE)),VLOOKUP((10*AD8+AC8),$AQ$50:$AV$58,2+AL8,FALSE),IF(AND(input_test=TRUE,ISNUMBER(AD8),V8&lt;&gt;0),VLOOKUP((10*AD8+AC8),$AQ$50:$AV$58,2,FALSE),"")))</f>
        <v/>
      </c>
      <c r="AS8" s="142">
        <f>IF(ISNA(Z8),0,IF(OR(J8="NA",X8="",AB8=1),0,X8))</f>
        <v>0</v>
      </c>
      <c r="AT8" s="141" t="str">
        <f t="shared" ref="AT8:AT39" si="9">IF(ISNA(Z8),"",IF(AND(NOT(OR(Z8=1,Z8=2,AK8="NG",AB8=1)),IF(ISNUMBER(AL8),AL8&gt;=0,FALSE)),VLOOKUP((10*AH8+AG8),$AQ$50:$AV$58,2+AL8,FALSE),IF(AND(input_test=TRUE,ISNUMBER(AD8),V8&lt;&gt;0),VLOOKUP((10*AH8+AG8),$AQ$50:$AV$58,2,FALSE),"")))</f>
        <v/>
      </c>
      <c r="AU8" s="143">
        <f t="shared" ref="AU8:AU39" si="10">IF(ISNA(Z8),0,IF(OR(J8="NA",Y8=""),0,Y8))</f>
        <v>0</v>
      </c>
      <c r="AV8" s="144" t="str">
        <f t="shared" ref="AV8:AV39" si="11">AR8</f>
        <v/>
      </c>
      <c r="AW8" s="143" t="b">
        <f t="shared" ref="AW8:AW39" si="12">IF(ISNA(Z8),FALSE,IF(OR(AB8=1,G8=0,Z8=1,Z8=2),FALSE,IF(OR(J8="NA",J8&gt;=G8),FALSE,TRUE)))</f>
        <v>0</v>
      </c>
      <c r="AX8" s="145" t="b">
        <f t="shared" ref="AX8:AX39" si="13">IF(ISNA(Z8),FALSE,IF(OR(AB8=0,G8=0,Z8=1,Z8=2,J8="NA"),FALSE,IF(AK8="NG",IF(NOT(ISBLANK(K8)),FALSE,TRUE),IF(J8&gt;=G8,FALSE,TRUE))))</f>
        <v>0</v>
      </c>
      <c r="AY8" s="143" t="b">
        <f t="shared" ref="AY8:AY39" si="14">IF(ISNA(Z8),FALSE,IF(OR(AB8=1,G8&lt;1,Z8=1,Z8=2,AE8=0,ISBLANK(K8)),FALSE,IF(OR(J8="NA",K8&gt;=BI8),FALSE,TRUE)))</f>
        <v>0</v>
      </c>
      <c r="AZ8" s="145" t="b">
        <f t="shared" ref="AZ8:AZ39" si="15">IF(ISNA(Z8),FALSE,IF(OR(AB8=0,G8=0,Z8=1,Z8=2,AE8=0,BI8="NG",K8="",ISBLANK(K8)),FALSE,IF(OR(J8="NA",K8&gt;=AK8),FALSE,TRUE)))</f>
        <v>0</v>
      </c>
      <c r="BA8" s="453" t="b">
        <f t="shared" ref="BA8:BA39" si="16">IF(ISNA(Z8),FALSE,IF(OR(AB8=1,G8&lt;1,Z8=1,Z8=2,AE8=0),FALSE,IF(J8="NA",TRUE,FALSE)))</f>
        <v>0</v>
      </c>
      <c r="BB8" s="453" t="b">
        <f t="shared" ref="BB8:BB39" si="17">IF(ISNA(Z8),FALSE,IF(OR(AB8=0,G8=0,Z8=1,Z8=2),FALSE,IF(J8="NA",TRUE,FALSE)))</f>
        <v>0</v>
      </c>
      <c r="BC8" s="143" t="b">
        <f t="shared" ref="BC8:BC39" si="18">IF(OR(ISNA($Z8),ISNUMBER($Z8),NOT(ISNUMBER($J8)),K8="D"),FALSE,IF(AND(NOT(ISNUMBER($K8)),J8&gt;0),TRUE,FALSE))</f>
        <v>0</v>
      </c>
      <c r="BD8" s="146" t="b">
        <f>IF(OR(ISNA($Z8),ISNUMBER($Z8),NOT(ISNUMBER(K8))),FALSE,OR(NOT(ISNUMBER(J8)),J8=0,AND(J8=0,K8&lt;&gt;0)))</f>
        <v>0</v>
      </c>
      <c r="BE8" s="145" t="b">
        <f t="shared" ref="BE8:BE21" si="19">IF(OR(ISNA($Z8),K8&lt;&gt;"D"),FALSE,IF(OR(AND(H8="NG",J8=0),AND(H8&lt;&gt;"NG",NOT(OR(J8="NA",J8=0)))),TRUE,FALSE))</f>
        <v>0</v>
      </c>
      <c r="BF8" s="147" t="b">
        <f t="shared" ref="BF8:BF30" si="20">IF(OR(ISNA($Z8),H8&lt;&gt;"NG"),FALSE,IF(AND(J8="NA",K8&lt;&gt;""),TRUE,FALSE))</f>
        <v>0</v>
      </c>
      <c r="BG8" s="453" t="b">
        <f t="shared" ref="BG8:BG21" si="21">IF(ISNA($Z8),"NA",IF(OR(AZ8,AY8,AX8,AW8,AP8,BA8,BB8),TRUE,FALSE))</f>
        <v>0</v>
      </c>
      <c r="BH8" s="148" t="str">
        <f>IF(ISNA($Z8),"",IF(OR($Z8=1,$Z8=2),"",$V8))</f>
        <v/>
      </c>
      <c r="BI8" s="453" t="str">
        <f t="shared" ref="BI8:BI39" si="22">IF(ISNA($Z8),"",IF(OR($Z8=1,$Z8=2,$G8=""),"",IF(AB8=0,AH8,$AD8)))</f>
        <v/>
      </c>
      <c r="BJ8" s="453" t="str">
        <f t="shared" ref="BJ8:BJ39" si="23">IF(ISNA(AE8),"",IF(OR(Z8=1,Z8=2),"",IF(OR(AE8=0,AD8="NG"),TEXT(BI8,"0"),CONCATENATE(TEXT(BI8,"0"),"*"))))</f>
        <v/>
      </c>
      <c r="BK8" s="453" t="str">
        <f t="shared" ref="BK8:BK39" si="24">IF(ISNA($Z8),"",IF(OR($Z8=1,$Z8=2,$G8=""),"",IF(AB8=0,AG8,$AC8)))</f>
        <v/>
      </c>
      <c r="BL8" s="148" t="str">
        <f>IF(ISBLANK(BH8),"",IF(BH8=0,"",BH8))</f>
        <v/>
      </c>
      <c r="BM8" s="453" t="str">
        <f t="shared" ref="BM8:BM39" si="25">IF($BH8=0,"",IF($BI8="NG","D",$BI8))</f>
        <v/>
      </c>
      <c r="BN8" s="453" t="str">
        <f t="shared" ref="BN8:BN39" si="26">IF(ISNA(U8),"",IF($BH8=0,"",IF($BI8="NG","D",BK8)))</f>
        <v/>
      </c>
      <c r="BO8" s="149" t="s">
        <v>341</v>
      </c>
      <c r="BP8" s="150"/>
    </row>
    <row r="9" spans="2:119" s="94" customFormat="1" ht="12.95" customHeight="1" x14ac:dyDescent="0.2">
      <c r="B9" s="151">
        <f>IF(ISNA(Z9),"",IF(OR(Z9=1,Z9=2),"    ",MAX($B$8:B8)+1))</f>
        <v>1</v>
      </c>
      <c r="C9" s="904" t="str">
        <f t="shared" si="0"/>
        <v>Basic Aircraft Procedures (4.0%)</v>
      </c>
      <c r="D9" s="904"/>
      <c r="E9" s="904"/>
      <c r="F9" s="905"/>
      <c r="G9" s="133">
        <f t="shared" si="1"/>
        <v>1</v>
      </c>
      <c r="H9" s="134" t="str">
        <f t="shared" si="2"/>
        <v>2*</v>
      </c>
      <c r="I9" s="152">
        <f t="shared" si="2"/>
        <v>3</v>
      </c>
      <c r="J9" s="153"/>
      <c r="K9" s="154"/>
      <c r="L9" s="1015"/>
      <c r="M9" s="1016"/>
      <c r="N9" s="1016"/>
      <c r="O9" s="1016"/>
      <c r="P9" s="1016"/>
      <c r="Q9" s="1016"/>
      <c r="R9" s="1017"/>
      <c r="T9" s="99">
        <v>2</v>
      </c>
      <c r="U9" s="88" t="s">
        <v>342</v>
      </c>
      <c r="V9" s="453">
        <v>1</v>
      </c>
      <c r="W9" s="453" t="s">
        <v>340</v>
      </c>
      <c r="X9" s="453">
        <v>1</v>
      </c>
      <c r="Y9" s="453" t="s">
        <v>340</v>
      </c>
      <c r="Z9" s="146" t="s">
        <v>340</v>
      </c>
      <c r="AA9" s="146">
        <v>1</v>
      </c>
      <c r="AB9" s="146">
        <v>0</v>
      </c>
      <c r="AC9" s="453">
        <v>3</v>
      </c>
      <c r="AD9" s="453">
        <v>2</v>
      </c>
      <c r="AE9" s="453">
        <v>1</v>
      </c>
      <c r="AF9" s="453" t="b">
        <v>1</v>
      </c>
      <c r="AG9" s="453">
        <f t="shared" si="3"/>
        <v>3</v>
      </c>
      <c r="AH9" s="453">
        <f t="shared" si="4"/>
        <v>2</v>
      </c>
      <c r="AI9" s="138">
        <f>IF(NOT(OR(Z9=1,Z9=2)),IF(AQ9&gt;0,$AR$44*AQ9/SUMIF($AQ$8:$AQ$39,"&gt;0"),IF(AU9&gt;0,$AV$44*AU9/SUMIF($AU$8:$AU$39,"&gt;0"),IF(AS9&gt;0,$AT$44*AS9/SUMIF($AS$8:$AS$39,"&gt;0"),""))),IF(SUMIF(AJ10:$AJ$39,"=" &amp; AJ9,AI10:$AI$39)=0,"",SUMIF(AJ10:$AJ$39,"=" &amp; AJ9,AI10:$AI$39)))</f>
        <v>0.04</v>
      </c>
      <c r="AJ9" s="139">
        <f>IF(OR(Z9=1,Z9=2,AA9&lt;AA8),AJ8+1,AJ8)</f>
        <v>0</v>
      </c>
      <c r="AK9" s="453">
        <f t="shared" ref="AK9:AK39" si="27">BI9</f>
        <v>2</v>
      </c>
      <c r="AL9" s="146" t="str">
        <f t="shared" ref="AL9:AL39" si="28">IF(ISBLANK(K9),"",K9)</f>
        <v/>
      </c>
      <c r="AM9" s="146" t="str">
        <f>IF(ISNUMBER(AK9),IF(ISNUMBER(AL9),1,""),"")</f>
        <v/>
      </c>
      <c r="AN9" s="146" t="str">
        <f t="shared" si="5"/>
        <v/>
      </c>
      <c r="AO9" s="146">
        <f t="shared" si="6"/>
        <v>3</v>
      </c>
      <c r="AP9" s="453" t="b">
        <f>IF(ISNA(Z9),"",IF(AND(ISNUMBER(B9),G9&gt;=1,H9&lt;&gt;"NG"),IF(K9&lt;BK9,TRUE,FALSE),IF(AND(G9&gt;=1,J9="NA"),TRUE,IF(AND(AM9=1,G9=0,AL9&lt;BI9),TRUE,""))))</f>
        <v>1</v>
      </c>
      <c r="AQ9" s="140">
        <f t="shared" ref="AQ9:AQ39" si="29">IF(ISNA(Z9),0,IF(OR(J9="NA",W9="",AB9=0),0,W9))</f>
        <v>0</v>
      </c>
      <c r="AR9" s="141" t="str">
        <f>IF(ISNA(Z9),"",IF(AND(NOT(OR(Z9=1,Z9=2,AK9="NG",AB9=0)),IF(ISNUMBER(AL9),AL9&gt;=0,FALSE)),VLOOKUP((10*AD9+AC9),$AQ$50:$AV$58,2+AL9,FALSE),IF(AND(input_test=TRUE,ISNUMBER(AD9),V9&lt;&gt;0),VLOOKUP((10*AD9+AC9),$AQ$50:$AV$58,2,FALSE),"")))</f>
        <v/>
      </c>
      <c r="AS9" s="142">
        <f t="shared" ref="AS9:AS39" si="30">IF(ISNA(Z9),0,IF(OR(J9="NA",X9="",AB9=1),0,X9))</f>
        <v>1</v>
      </c>
      <c r="AT9" s="141" t="str">
        <f>IF(ISNA(Z9),"",IF(AND(NOT(OR(Z9=1,Z9=2,AK9="NG",AB9=1)),IF(ISNUMBER(AL9),AL9&gt;=0,FALSE)),VLOOKUP((10*AH9+AG9),$AQ$50:$AV$58,2+AL9,FALSE),IF(AND(input_test=TRUE,ISNUMBER(AD9),V9&lt;&gt;0),VLOOKUP((10*AH9+AG9),$AQ$50:$AV$58,2,FALSE),"")))</f>
        <v/>
      </c>
      <c r="AU9" s="143">
        <f t="shared" si="10"/>
        <v>0</v>
      </c>
      <c r="AV9" s="144" t="str">
        <f t="shared" si="11"/>
        <v/>
      </c>
      <c r="AW9" s="143" t="b">
        <f t="shared" si="12"/>
        <v>1</v>
      </c>
      <c r="AX9" s="145" t="b">
        <f t="shared" si="13"/>
        <v>0</v>
      </c>
      <c r="AY9" s="143" t="b">
        <f t="shared" si="14"/>
        <v>0</v>
      </c>
      <c r="AZ9" s="145" t="b">
        <f t="shared" si="15"/>
        <v>0</v>
      </c>
      <c r="BA9" s="453" t="b">
        <f t="shared" si="16"/>
        <v>0</v>
      </c>
      <c r="BB9" s="453" t="b">
        <f t="shared" si="17"/>
        <v>0</v>
      </c>
      <c r="BC9" s="143" t="b">
        <f t="shared" si="18"/>
        <v>0</v>
      </c>
      <c r="BD9" s="146" t="b">
        <f t="shared" ref="BD9:BD39" si="31">IF(OR(ISNA($Z9),ISNUMBER($Z9),NOT(ISNUMBER(K9))),FALSE,OR(NOT(ISNUMBER(J9)),J9=0,AND(J9=0,K9&lt;&gt;0)))</f>
        <v>0</v>
      </c>
      <c r="BE9" s="145" t="b">
        <f t="shared" si="19"/>
        <v>0</v>
      </c>
      <c r="BF9" s="147" t="b">
        <f t="shared" si="20"/>
        <v>0</v>
      </c>
      <c r="BG9" s="453" t="b">
        <f t="shared" si="21"/>
        <v>1</v>
      </c>
      <c r="BH9" s="453">
        <f t="shared" ref="BH9:BH39" si="32">IF(ISNA($Z9),"",IF(OR($Z9=1,$Z9=2),"",$V9))</f>
        <v>1</v>
      </c>
      <c r="BI9" s="453">
        <f t="shared" si="22"/>
        <v>2</v>
      </c>
      <c r="BJ9" s="453" t="str">
        <f t="shared" si="23"/>
        <v>2*</v>
      </c>
      <c r="BK9" s="453">
        <f t="shared" si="24"/>
        <v>3</v>
      </c>
      <c r="BL9" s="148">
        <f t="shared" ref="BL9:BL39" si="33">IF(ISBLANK(BH9),"",IF(BH9=0,"",BH9))</f>
        <v>1</v>
      </c>
      <c r="BM9" s="453">
        <f t="shared" si="25"/>
        <v>2</v>
      </c>
      <c r="BN9" s="453">
        <f t="shared" si="26"/>
        <v>3</v>
      </c>
      <c r="BO9" s="155" t="s">
        <v>343</v>
      </c>
      <c r="BP9" s="156" t="s">
        <v>344</v>
      </c>
    </row>
    <row r="10" spans="2:119" s="94" customFormat="1" ht="12.95" customHeight="1" x14ac:dyDescent="0.2">
      <c r="B10" s="151">
        <f>IF(ISNA(Z10),"",IF(OR(Z10=1,Z10=2),"    ",MAX($B$8:B9)+1))</f>
        <v>2</v>
      </c>
      <c r="C10" s="904" t="str">
        <f t="shared" si="0"/>
        <v>Basic Aircraft Handling (4.0%)</v>
      </c>
      <c r="D10" s="904"/>
      <c r="E10" s="904"/>
      <c r="F10" s="905"/>
      <c r="G10" s="133">
        <f t="shared" si="1"/>
        <v>1</v>
      </c>
      <c r="H10" s="134" t="str">
        <f t="shared" si="2"/>
        <v>2*</v>
      </c>
      <c r="I10" s="152">
        <f t="shared" si="2"/>
        <v>3</v>
      </c>
      <c r="J10" s="157"/>
      <c r="K10" s="154"/>
      <c r="L10" s="1015"/>
      <c r="M10" s="1016"/>
      <c r="N10" s="1016"/>
      <c r="O10" s="1016"/>
      <c r="P10" s="1016"/>
      <c r="Q10" s="1016"/>
      <c r="R10" s="1017"/>
      <c r="T10" s="99">
        <v>3</v>
      </c>
      <c r="U10" s="88" t="s">
        <v>551</v>
      </c>
      <c r="V10" s="453">
        <v>1</v>
      </c>
      <c r="W10" s="453" t="s">
        <v>340</v>
      </c>
      <c r="X10" s="453">
        <v>1</v>
      </c>
      <c r="Y10" s="453" t="s">
        <v>340</v>
      </c>
      <c r="Z10" s="146" t="s">
        <v>340</v>
      </c>
      <c r="AA10" s="146">
        <v>1</v>
      </c>
      <c r="AB10" s="146">
        <v>0</v>
      </c>
      <c r="AC10" s="453">
        <v>3</v>
      </c>
      <c r="AD10" s="453">
        <v>2</v>
      </c>
      <c r="AE10" s="453">
        <v>1</v>
      </c>
      <c r="AF10" s="453" t="b">
        <v>1</v>
      </c>
      <c r="AG10" s="453">
        <f t="shared" si="3"/>
        <v>3</v>
      </c>
      <c r="AH10" s="453">
        <f t="shared" si="4"/>
        <v>2</v>
      </c>
      <c r="AI10" s="138">
        <f>IF(NOT(OR(Z10=1,Z10=2)),IF(AQ10&gt;0,$AR$44*AQ10/SUMIF($AQ$8:$AQ$39,"&gt;0"),IF(AU10&gt;0,$AV$44*AU10/SUMIF($AU$8:$AU$39,"&gt;0"),IF(AS10&gt;0,$AT$44*AS10/SUMIF($AS$8:$AS$39,"&gt;0"),""))),IF(SUMIF(AJ11:$AJ$39,"=" &amp; AJ10,AI11:$AI$39)=0,"",SUMIF(AJ11:$AJ$39,"=" &amp; AJ10,AI11:$AI$39)))</f>
        <v>0.04</v>
      </c>
      <c r="AJ10" s="139">
        <f t="shared" ref="AJ10:AJ39" si="34">IF(OR(Z10=1,Z10=2,AA10&lt;AA9),AJ9+1,AJ9)</f>
        <v>0</v>
      </c>
      <c r="AK10" s="453">
        <f t="shared" si="27"/>
        <v>2</v>
      </c>
      <c r="AL10" s="146" t="str">
        <f t="shared" si="28"/>
        <v/>
      </c>
      <c r="AM10" s="146" t="str">
        <f t="shared" ref="AM10:AM39" si="35">IF(ISNUMBER(AK10),IF(ISNUMBER(AL10),1,""),"")</f>
        <v/>
      </c>
      <c r="AN10" s="146" t="str">
        <f t="shared" si="5"/>
        <v/>
      </c>
      <c r="AO10" s="146">
        <f t="shared" si="6"/>
        <v>3</v>
      </c>
      <c r="AP10" s="453" t="b">
        <f t="shared" si="7"/>
        <v>1</v>
      </c>
      <c r="AQ10" s="140">
        <f t="shared" si="29"/>
        <v>0</v>
      </c>
      <c r="AR10" s="141" t="str">
        <f t="shared" si="8"/>
        <v/>
      </c>
      <c r="AS10" s="142">
        <f t="shared" si="30"/>
        <v>1</v>
      </c>
      <c r="AT10" s="141" t="str">
        <f t="shared" si="9"/>
        <v/>
      </c>
      <c r="AU10" s="143">
        <f t="shared" si="10"/>
        <v>0</v>
      </c>
      <c r="AV10" s="144" t="str">
        <f t="shared" si="11"/>
        <v/>
      </c>
      <c r="AW10" s="143" t="b">
        <f t="shared" si="12"/>
        <v>1</v>
      </c>
      <c r="AX10" s="145" t="b">
        <f t="shared" si="13"/>
        <v>0</v>
      </c>
      <c r="AY10" s="143" t="b">
        <f t="shared" si="14"/>
        <v>0</v>
      </c>
      <c r="AZ10" s="145" t="b">
        <f t="shared" si="15"/>
        <v>0</v>
      </c>
      <c r="BA10" s="453" t="b">
        <f t="shared" si="16"/>
        <v>0</v>
      </c>
      <c r="BB10" s="453" t="b">
        <f t="shared" si="17"/>
        <v>0</v>
      </c>
      <c r="BC10" s="143" t="b">
        <f t="shared" si="18"/>
        <v>0</v>
      </c>
      <c r="BD10" s="146" t="b">
        <f t="shared" si="31"/>
        <v>0</v>
      </c>
      <c r="BE10" s="145" t="b">
        <f t="shared" si="19"/>
        <v>0</v>
      </c>
      <c r="BF10" s="147" t="b">
        <f t="shared" si="20"/>
        <v>0</v>
      </c>
      <c r="BG10" s="453" t="b">
        <f t="shared" si="21"/>
        <v>1</v>
      </c>
      <c r="BH10" s="453">
        <f t="shared" si="32"/>
        <v>1</v>
      </c>
      <c r="BI10" s="453">
        <f t="shared" si="22"/>
        <v>2</v>
      </c>
      <c r="BJ10" s="453" t="str">
        <f t="shared" si="23"/>
        <v>2*</v>
      </c>
      <c r="BK10" s="453">
        <f t="shared" si="24"/>
        <v>3</v>
      </c>
      <c r="BL10" s="148">
        <f t="shared" si="33"/>
        <v>1</v>
      </c>
      <c r="BM10" s="453">
        <f t="shared" si="25"/>
        <v>2</v>
      </c>
      <c r="BN10" s="453">
        <f t="shared" si="26"/>
        <v>3</v>
      </c>
      <c r="BO10" s="155">
        <v>0</v>
      </c>
      <c r="BP10" s="156" t="s">
        <v>346</v>
      </c>
    </row>
    <row r="11" spans="2:119" s="94" customFormat="1" ht="12.95" customHeight="1" x14ac:dyDescent="0.2">
      <c r="B11" s="151">
        <f>IF(ISNA(Z11),"",IF(OR(Z11=1,Z11=2),"    ",MAX($B$8:B10)+1))</f>
        <v>3</v>
      </c>
      <c r="C11" s="904" t="str">
        <f t="shared" si="0"/>
        <v>Local Area Proc./Orientation/Comm (4.0%)</v>
      </c>
      <c r="D11" s="904"/>
      <c r="E11" s="904"/>
      <c r="F11" s="905"/>
      <c r="G11" s="133">
        <f t="shared" si="1"/>
        <v>1</v>
      </c>
      <c r="H11" s="134" t="str">
        <f t="shared" si="2"/>
        <v>2*</v>
      </c>
      <c r="I11" s="152">
        <f t="shared" si="2"/>
        <v>3</v>
      </c>
      <c r="J11" s="157"/>
      <c r="K11" s="154"/>
      <c r="L11" s="1015"/>
      <c r="M11" s="1016"/>
      <c r="N11" s="1016"/>
      <c r="O11" s="1016"/>
      <c r="P11" s="1016"/>
      <c r="Q11" s="1016"/>
      <c r="R11" s="1017"/>
      <c r="T11" s="99">
        <v>4</v>
      </c>
      <c r="U11" s="88" t="s">
        <v>345</v>
      </c>
      <c r="V11" s="453">
        <v>1</v>
      </c>
      <c r="W11" s="453" t="s">
        <v>340</v>
      </c>
      <c r="X11" s="453">
        <v>1</v>
      </c>
      <c r="Y11" s="453" t="s">
        <v>340</v>
      </c>
      <c r="Z11" s="146" t="s">
        <v>340</v>
      </c>
      <c r="AA11" s="146">
        <v>1</v>
      </c>
      <c r="AB11" s="146">
        <v>0</v>
      </c>
      <c r="AC11" s="453">
        <v>3</v>
      </c>
      <c r="AD11" s="453">
        <v>2</v>
      </c>
      <c r="AE11" s="453">
        <v>1</v>
      </c>
      <c r="AF11" s="453" t="b">
        <v>1</v>
      </c>
      <c r="AG11" s="453">
        <f t="shared" si="3"/>
        <v>3</v>
      </c>
      <c r="AH11" s="453">
        <f t="shared" si="4"/>
        <v>2</v>
      </c>
      <c r="AI11" s="138">
        <f>IF(NOT(OR(Z11=1,Z11=2)),IF(AQ11&gt;0,$AR$44*AQ11/SUMIF($AQ$8:$AQ$39,"&gt;0"),IF(AU11&gt;0,$AV$44*AU11/SUMIF($AU$8:$AU$39,"&gt;0"),IF(AS11&gt;0,$AT$44*AS11/SUMIF($AS$8:$AS$39,"&gt;0"),""))),IF(SUMIF(AJ12:$AJ$39,"=" &amp; AJ11,AI12:$AI$39)=0,"",SUMIF(AJ12:$AJ$39,"=" &amp; AJ11,AI12:$AI$39)))</f>
        <v>0.04</v>
      </c>
      <c r="AJ11" s="139">
        <f t="shared" si="34"/>
        <v>0</v>
      </c>
      <c r="AK11" s="453">
        <f t="shared" si="27"/>
        <v>2</v>
      </c>
      <c r="AL11" s="146" t="str">
        <f t="shared" si="28"/>
        <v/>
      </c>
      <c r="AM11" s="146" t="str">
        <f t="shared" si="35"/>
        <v/>
      </c>
      <c r="AN11" s="146" t="str">
        <f t="shared" si="5"/>
        <v/>
      </c>
      <c r="AO11" s="146">
        <f t="shared" si="6"/>
        <v>3</v>
      </c>
      <c r="AP11" s="453" t="b">
        <f t="shared" si="7"/>
        <v>1</v>
      </c>
      <c r="AQ11" s="140">
        <f t="shared" si="29"/>
        <v>0</v>
      </c>
      <c r="AR11" s="141" t="str">
        <f t="shared" si="8"/>
        <v/>
      </c>
      <c r="AS11" s="142">
        <f t="shared" si="30"/>
        <v>1</v>
      </c>
      <c r="AT11" s="141" t="str">
        <f t="shared" si="9"/>
        <v/>
      </c>
      <c r="AU11" s="143">
        <f t="shared" si="10"/>
        <v>0</v>
      </c>
      <c r="AV11" s="144" t="str">
        <f t="shared" si="11"/>
        <v/>
      </c>
      <c r="AW11" s="143" t="b">
        <f t="shared" si="12"/>
        <v>1</v>
      </c>
      <c r="AX11" s="145" t="b">
        <f t="shared" si="13"/>
        <v>0</v>
      </c>
      <c r="AY11" s="143" t="b">
        <f t="shared" si="14"/>
        <v>0</v>
      </c>
      <c r="AZ11" s="145" t="b">
        <f t="shared" si="15"/>
        <v>0</v>
      </c>
      <c r="BA11" s="453" t="b">
        <f t="shared" si="16"/>
        <v>0</v>
      </c>
      <c r="BB11" s="453" t="b">
        <f t="shared" si="17"/>
        <v>0</v>
      </c>
      <c r="BC11" s="143" t="b">
        <f t="shared" si="18"/>
        <v>0</v>
      </c>
      <c r="BD11" s="146" t="b">
        <f t="shared" si="31"/>
        <v>0</v>
      </c>
      <c r="BE11" s="145" t="b">
        <f t="shared" si="19"/>
        <v>0</v>
      </c>
      <c r="BF11" s="147" t="b">
        <f t="shared" si="20"/>
        <v>0</v>
      </c>
      <c r="BG11" s="453" t="b">
        <f t="shared" si="21"/>
        <v>1</v>
      </c>
      <c r="BH11" s="453">
        <f t="shared" si="32"/>
        <v>1</v>
      </c>
      <c r="BI11" s="453">
        <f t="shared" si="22"/>
        <v>2</v>
      </c>
      <c r="BJ11" s="453" t="str">
        <f t="shared" si="23"/>
        <v>2*</v>
      </c>
      <c r="BK11" s="453">
        <f t="shared" si="24"/>
        <v>3</v>
      </c>
      <c r="BL11" s="148">
        <f t="shared" si="33"/>
        <v>1</v>
      </c>
      <c r="BM11" s="453">
        <f t="shared" si="25"/>
        <v>2</v>
      </c>
      <c r="BN11" s="453">
        <f t="shared" si="26"/>
        <v>3</v>
      </c>
      <c r="BO11" s="155">
        <v>1</v>
      </c>
      <c r="BP11" s="156" t="s">
        <v>348</v>
      </c>
    </row>
    <row r="12" spans="2:119" s="94" customFormat="1" ht="12.95" customHeight="1" x14ac:dyDescent="0.2">
      <c r="B12" s="151">
        <f>IF(ISNA(Z12),"",IF(OR(Z12=1,Z12=2),"    ",MAX($B$8:B11)+1))</f>
        <v>4</v>
      </c>
      <c r="C12" s="904" t="str">
        <f t="shared" si="0"/>
        <v>Situational Awareness/Judgement (4.0%)</v>
      </c>
      <c r="D12" s="904"/>
      <c r="E12" s="904"/>
      <c r="F12" s="905"/>
      <c r="G12" s="133">
        <f t="shared" si="1"/>
        <v>1</v>
      </c>
      <c r="H12" s="134" t="str">
        <f t="shared" si="2"/>
        <v>2*</v>
      </c>
      <c r="I12" s="152">
        <f t="shared" si="2"/>
        <v>3</v>
      </c>
      <c r="J12" s="157"/>
      <c r="K12" s="154"/>
      <c r="L12" s="1015"/>
      <c r="M12" s="1016"/>
      <c r="N12" s="1016"/>
      <c r="O12" s="1016"/>
      <c r="P12" s="1016"/>
      <c r="Q12" s="1016"/>
      <c r="R12" s="1017"/>
      <c r="T12" s="99">
        <v>5</v>
      </c>
      <c r="U12" s="88" t="s">
        <v>347</v>
      </c>
      <c r="V12" s="453">
        <v>1</v>
      </c>
      <c r="W12" s="453" t="s">
        <v>340</v>
      </c>
      <c r="X12" s="453">
        <v>1</v>
      </c>
      <c r="Y12" s="453" t="s">
        <v>340</v>
      </c>
      <c r="Z12" s="146" t="s">
        <v>340</v>
      </c>
      <c r="AA12" s="146">
        <v>1</v>
      </c>
      <c r="AB12" s="146">
        <v>0</v>
      </c>
      <c r="AC12" s="453">
        <v>3</v>
      </c>
      <c r="AD12" s="453">
        <v>2</v>
      </c>
      <c r="AE12" s="453">
        <v>1</v>
      </c>
      <c r="AF12" s="453" t="b">
        <v>1</v>
      </c>
      <c r="AG12" s="453">
        <f t="shared" si="3"/>
        <v>3</v>
      </c>
      <c r="AH12" s="453">
        <f t="shared" si="4"/>
        <v>2</v>
      </c>
      <c r="AI12" s="138">
        <f>IF(NOT(OR(Z12=1,Z12=2)),IF(AQ12&gt;0,$AR$44*AQ12/SUMIF($AQ$8:$AQ$39,"&gt;0"),IF(AU12&gt;0,$AV$44*AU12/SUMIF($AU$8:$AU$39,"&gt;0"),IF(AS12&gt;0,$AT$44*AS12/SUMIF($AS$8:$AS$39,"&gt;0"),""))),IF(SUMIF(AJ13:$AJ$39,"=" &amp; AJ12,AI13:$AI$39)=0,"",SUMIF(AJ13:$AJ$39,"=" &amp; AJ12,AI13:$AI$39)))</f>
        <v>0.04</v>
      </c>
      <c r="AJ12" s="139">
        <f t="shared" si="34"/>
        <v>0</v>
      </c>
      <c r="AK12" s="453">
        <f t="shared" si="27"/>
        <v>2</v>
      </c>
      <c r="AL12" s="146" t="str">
        <f t="shared" si="28"/>
        <v/>
      </c>
      <c r="AM12" s="146" t="str">
        <f t="shared" si="35"/>
        <v/>
      </c>
      <c r="AN12" s="146" t="str">
        <f t="shared" si="5"/>
        <v/>
      </c>
      <c r="AO12" s="146">
        <f t="shared" si="6"/>
        <v>3</v>
      </c>
      <c r="AP12" s="453" t="b">
        <f t="shared" si="7"/>
        <v>1</v>
      </c>
      <c r="AQ12" s="140">
        <f t="shared" si="29"/>
        <v>0</v>
      </c>
      <c r="AR12" s="141" t="str">
        <f t="shared" si="8"/>
        <v/>
      </c>
      <c r="AS12" s="142">
        <f t="shared" si="30"/>
        <v>1</v>
      </c>
      <c r="AT12" s="141" t="str">
        <f t="shared" si="9"/>
        <v/>
      </c>
      <c r="AU12" s="143">
        <f t="shared" si="10"/>
        <v>0</v>
      </c>
      <c r="AV12" s="144" t="str">
        <f t="shared" si="11"/>
        <v/>
      </c>
      <c r="AW12" s="143" t="b">
        <f t="shared" si="12"/>
        <v>1</v>
      </c>
      <c r="AX12" s="145" t="b">
        <f t="shared" si="13"/>
        <v>0</v>
      </c>
      <c r="AY12" s="143" t="b">
        <f t="shared" si="14"/>
        <v>0</v>
      </c>
      <c r="AZ12" s="145" t="b">
        <f t="shared" si="15"/>
        <v>0</v>
      </c>
      <c r="BA12" s="453" t="b">
        <f t="shared" si="16"/>
        <v>0</v>
      </c>
      <c r="BB12" s="453" t="b">
        <f t="shared" si="17"/>
        <v>0</v>
      </c>
      <c r="BC12" s="143" t="b">
        <f t="shared" si="18"/>
        <v>0</v>
      </c>
      <c r="BD12" s="146" t="b">
        <f t="shared" si="31"/>
        <v>0</v>
      </c>
      <c r="BE12" s="145" t="b">
        <f t="shared" si="19"/>
        <v>0</v>
      </c>
      <c r="BF12" s="147" t="b">
        <f t="shared" si="20"/>
        <v>0</v>
      </c>
      <c r="BG12" s="453" t="b">
        <f t="shared" si="21"/>
        <v>1</v>
      </c>
      <c r="BH12" s="453">
        <f t="shared" si="32"/>
        <v>1</v>
      </c>
      <c r="BI12" s="453">
        <f t="shared" si="22"/>
        <v>2</v>
      </c>
      <c r="BJ12" s="453" t="str">
        <f t="shared" si="23"/>
        <v>2*</v>
      </c>
      <c r="BK12" s="453">
        <f t="shared" si="24"/>
        <v>3</v>
      </c>
      <c r="BL12" s="148">
        <f t="shared" si="33"/>
        <v>1</v>
      </c>
      <c r="BM12" s="453">
        <f t="shared" si="25"/>
        <v>2</v>
      </c>
      <c r="BN12" s="453">
        <f t="shared" si="26"/>
        <v>3</v>
      </c>
      <c r="BO12" s="155">
        <v>2</v>
      </c>
      <c r="BP12" s="156" t="s">
        <v>350</v>
      </c>
    </row>
    <row r="13" spans="2:119" s="94" customFormat="1" ht="12.95" customHeight="1" x14ac:dyDescent="0.2">
      <c r="B13" s="151">
        <f>IF(ISNA(Z13),"",IF(OR(Z13=1,Z13=2),"    ",MAX($B$8:B12)+1))</f>
        <v>5</v>
      </c>
      <c r="C13" s="904" t="str">
        <f t="shared" si="0"/>
        <v>Clearing/Visual Lookout (4.0%)</v>
      </c>
      <c r="D13" s="904"/>
      <c r="E13" s="904"/>
      <c r="F13" s="905"/>
      <c r="G13" s="133">
        <f t="shared" si="1"/>
        <v>1</v>
      </c>
      <c r="H13" s="134" t="str">
        <f t="shared" si="2"/>
        <v>2*</v>
      </c>
      <c r="I13" s="152">
        <f t="shared" si="2"/>
        <v>3</v>
      </c>
      <c r="J13" s="157"/>
      <c r="K13" s="154"/>
      <c r="L13" s="1015"/>
      <c r="M13" s="1016"/>
      <c r="N13" s="1016"/>
      <c r="O13" s="1016"/>
      <c r="P13" s="1016"/>
      <c r="Q13" s="1016"/>
      <c r="R13" s="1017"/>
      <c r="T13" s="99">
        <v>6</v>
      </c>
      <c r="U13" s="88" t="s">
        <v>349</v>
      </c>
      <c r="V13" s="453">
        <v>1</v>
      </c>
      <c r="W13" s="453" t="s">
        <v>340</v>
      </c>
      <c r="X13" s="453">
        <v>1</v>
      </c>
      <c r="Y13" s="453" t="s">
        <v>340</v>
      </c>
      <c r="Z13" s="146" t="s">
        <v>340</v>
      </c>
      <c r="AA13" s="146">
        <v>1</v>
      </c>
      <c r="AB13" s="146">
        <v>0</v>
      </c>
      <c r="AC13" s="453">
        <v>3</v>
      </c>
      <c r="AD13" s="453">
        <v>2</v>
      </c>
      <c r="AE13" s="453">
        <v>1</v>
      </c>
      <c r="AF13" s="453" t="b">
        <v>1</v>
      </c>
      <c r="AG13" s="453">
        <f t="shared" si="3"/>
        <v>3</v>
      </c>
      <c r="AH13" s="453">
        <f t="shared" si="4"/>
        <v>2</v>
      </c>
      <c r="AI13" s="138">
        <f>IF(NOT(OR(Z13=1,Z13=2)),IF(AQ13&gt;0,$AR$44*AQ13/SUMIF($AQ$8:$AQ$39,"&gt;0"),IF(AU13&gt;0,$AV$44*AU13/SUMIF($AU$8:$AU$39,"&gt;0"),IF(AS13&gt;0,$AT$44*AS13/SUMIF($AS$8:$AS$39,"&gt;0"),""))),IF(SUMIF(AJ14:$AJ$39,"=" &amp; AJ13,AI14:$AI$39)=0,"",SUMIF(AJ14:$AJ$39,"=" &amp; AJ13,AI14:$AI$39)))</f>
        <v>0.04</v>
      </c>
      <c r="AJ13" s="139">
        <f t="shared" si="34"/>
        <v>0</v>
      </c>
      <c r="AK13" s="453">
        <f t="shared" si="27"/>
        <v>2</v>
      </c>
      <c r="AL13" s="146" t="str">
        <f t="shared" si="28"/>
        <v/>
      </c>
      <c r="AM13" s="146" t="str">
        <f t="shared" si="35"/>
        <v/>
      </c>
      <c r="AN13" s="146" t="str">
        <f t="shared" si="5"/>
        <v/>
      </c>
      <c r="AO13" s="146">
        <f t="shared" si="6"/>
        <v>3</v>
      </c>
      <c r="AP13" s="453" t="b">
        <f t="shared" si="7"/>
        <v>1</v>
      </c>
      <c r="AQ13" s="140">
        <f t="shared" si="29"/>
        <v>0</v>
      </c>
      <c r="AR13" s="141" t="str">
        <f t="shared" si="8"/>
        <v/>
      </c>
      <c r="AS13" s="142">
        <f t="shared" si="30"/>
        <v>1</v>
      </c>
      <c r="AT13" s="141" t="str">
        <f t="shared" si="9"/>
        <v/>
      </c>
      <c r="AU13" s="143">
        <f t="shared" si="10"/>
        <v>0</v>
      </c>
      <c r="AV13" s="144" t="str">
        <f t="shared" si="11"/>
        <v/>
      </c>
      <c r="AW13" s="143" t="b">
        <f t="shared" si="12"/>
        <v>1</v>
      </c>
      <c r="AX13" s="145" t="b">
        <f t="shared" si="13"/>
        <v>0</v>
      </c>
      <c r="AY13" s="143" t="b">
        <f t="shared" si="14"/>
        <v>0</v>
      </c>
      <c r="AZ13" s="145" t="b">
        <f t="shared" si="15"/>
        <v>0</v>
      </c>
      <c r="BA13" s="453" t="b">
        <f t="shared" si="16"/>
        <v>0</v>
      </c>
      <c r="BB13" s="453" t="b">
        <f t="shared" si="17"/>
        <v>0</v>
      </c>
      <c r="BC13" s="143" t="b">
        <f t="shared" si="18"/>
        <v>0</v>
      </c>
      <c r="BD13" s="146" t="b">
        <f t="shared" si="31"/>
        <v>0</v>
      </c>
      <c r="BE13" s="145" t="b">
        <f t="shared" si="19"/>
        <v>0</v>
      </c>
      <c r="BF13" s="147" t="b">
        <f t="shared" si="20"/>
        <v>0</v>
      </c>
      <c r="BG13" s="453" t="b">
        <f t="shared" si="21"/>
        <v>1</v>
      </c>
      <c r="BH13" s="453">
        <f t="shared" si="32"/>
        <v>1</v>
      </c>
      <c r="BI13" s="453">
        <f t="shared" si="22"/>
        <v>2</v>
      </c>
      <c r="BJ13" s="453" t="str">
        <f t="shared" si="23"/>
        <v>2*</v>
      </c>
      <c r="BK13" s="453">
        <f t="shared" si="24"/>
        <v>3</v>
      </c>
      <c r="BL13" s="148">
        <f t="shared" si="33"/>
        <v>1</v>
      </c>
      <c r="BM13" s="453">
        <f t="shared" si="25"/>
        <v>2</v>
      </c>
      <c r="BN13" s="453">
        <f t="shared" si="26"/>
        <v>3</v>
      </c>
      <c r="BO13" s="155">
        <v>3</v>
      </c>
      <c r="BP13" s="156" t="s">
        <v>352</v>
      </c>
    </row>
    <row r="14" spans="2:119" s="94" customFormat="1" ht="12.95" customHeight="1" x14ac:dyDescent="0.2">
      <c r="B14" s="151" t="str">
        <f>IF(ISNA(Z14),"",IF(OR(Z14=1,Z14=2),"    ",MAX($B$8:B13)+1))</f>
        <v xml:space="preserve">    </v>
      </c>
      <c r="C14" s="904" t="str">
        <f t="shared" si="0"/>
        <v>Academic Tasks</v>
      </c>
      <c r="D14" s="904"/>
      <c r="E14" s="904"/>
      <c r="F14" s="905"/>
      <c r="G14" s="133" t="str">
        <f t="shared" si="1"/>
        <v/>
      </c>
      <c r="H14" s="134" t="str">
        <f t="shared" si="2"/>
        <v/>
      </c>
      <c r="I14" s="152" t="str">
        <f t="shared" si="2"/>
        <v/>
      </c>
      <c r="J14" s="158"/>
      <c r="K14" s="159"/>
      <c r="L14" s="1015"/>
      <c r="M14" s="1016"/>
      <c r="N14" s="1016"/>
      <c r="O14" s="1016"/>
      <c r="P14" s="1016"/>
      <c r="Q14" s="1016"/>
      <c r="R14" s="1017"/>
      <c r="T14" s="99">
        <v>7</v>
      </c>
      <c r="U14" s="88" t="s">
        <v>351</v>
      </c>
      <c r="V14" s="453" t="s">
        <v>340</v>
      </c>
      <c r="W14" s="453" t="s">
        <v>340</v>
      </c>
      <c r="X14" s="453" t="s">
        <v>340</v>
      </c>
      <c r="Y14" s="453" t="s">
        <v>340</v>
      </c>
      <c r="Z14" s="146">
        <v>1</v>
      </c>
      <c r="AA14" s="146">
        <v>0</v>
      </c>
      <c r="AB14" s="146">
        <v>1</v>
      </c>
      <c r="AC14" s="453" t="s">
        <v>340</v>
      </c>
      <c r="AD14" s="453" t="s">
        <v>340</v>
      </c>
      <c r="AE14" s="453">
        <v>0</v>
      </c>
      <c r="AF14" s="453" t="s">
        <v>340</v>
      </c>
      <c r="AG14" s="453" t="str">
        <f t="shared" si="3"/>
        <v/>
      </c>
      <c r="AH14" s="453" t="str">
        <f t="shared" si="4"/>
        <v/>
      </c>
      <c r="AI14" s="138" t="str">
        <f>IF(NOT(OR(Z14=1,Z14=2)),IF(AQ14&gt;0,$AR$44*AQ14/SUMIF($AQ$8:$AQ$39,"&gt;0"),IF(AU14&gt;0,$AV$44*AU14/SUMIF($AU$8:$AU$39,"&gt;0"),IF(AS14&gt;0,$AT$44*AS14/SUMIF($AS$8:$AS$39,"&gt;0"),""))),IF(SUMIF(AJ15:$AJ$39,"=" &amp; AJ14,AI15:$AI$39)=0,"",SUMIF(AJ15:$AJ$39,"=" &amp; AJ14,AI15:$AI$39)))</f>
        <v/>
      </c>
      <c r="AJ14" s="139">
        <f t="shared" si="34"/>
        <v>1</v>
      </c>
      <c r="AK14" s="453" t="str">
        <f t="shared" si="27"/>
        <v/>
      </c>
      <c r="AL14" s="146" t="str">
        <f t="shared" si="28"/>
        <v/>
      </c>
      <c r="AM14" s="146" t="str">
        <f t="shared" si="35"/>
        <v/>
      </c>
      <c r="AN14" s="146" t="str">
        <f t="shared" si="5"/>
        <v/>
      </c>
      <c r="AO14" s="146" t="str">
        <f t="shared" si="6"/>
        <v/>
      </c>
      <c r="AP14" s="453" t="str">
        <f t="shared" si="7"/>
        <v/>
      </c>
      <c r="AQ14" s="140">
        <f t="shared" si="29"/>
        <v>0</v>
      </c>
      <c r="AR14" s="141" t="str">
        <f t="shared" si="8"/>
        <v/>
      </c>
      <c r="AS14" s="142">
        <f t="shared" si="30"/>
        <v>0</v>
      </c>
      <c r="AT14" s="141" t="str">
        <f t="shared" si="9"/>
        <v/>
      </c>
      <c r="AU14" s="143">
        <f t="shared" si="10"/>
        <v>0</v>
      </c>
      <c r="AV14" s="144" t="str">
        <f t="shared" si="11"/>
        <v/>
      </c>
      <c r="AW14" s="143" t="b">
        <f t="shared" si="12"/>
        <v>0</v>
      </c>
      <c r="AX14" s="145" t="b">
        <f t="shared" si="13"/>
        <v>0</v>
      </c>
      <c r="AY14" s="143" t="b">
        <f t="shared" si="14"/>
        <v>0</v>
      </c>
      <c r="AZ14" s="145" t="b">
        <f t="shared" si="15"/>
        <v>0</v>
      </c>
      <c r="BA14" s="453" t="b">
        <f t="shared" si="16"/>
        <v>0</v>
      </c>
      <c r="BB14" s="453" t="b">
        <f t="shared" si="17"/>
        <v>0</v>
      </c>
      <c r="BC14" s="143" t="b">
        <f t="shared" si="18"/>
        <v>0</v>
      </c>
      <c r="BD14" s="146" t="b">
        <f t="shared" si="31"/>
        <v>0</v>
      </c>
      <c r="BE14" s="145" t="b">
        <f t="shared" si="19"/>
        <v>0</v>
      </c>
      <c r="BF14" s="147" t="b">
        <f t="shared" si="20"/>
        <v>0</v>
      </c>
      <c r="BG14" s="453" t="b">
        <f t="shared" si="21"/>
        <v>0</v>
      </c>
      <c r="BH14" s="453" t="str">
        <f t="shared" si="32"/>
        <v/>
      </c>
      <c r="BI14" s="453" t="str">
        <f t="shared" si="22"/>
        <v/>
      </c>
      <c r="BJ14" s="453" t="str">
        <f t="shared" si="23"/>
        <v/>
      </c>
      <c r="BK14" s="453" t="str">
        <f t="shared" si="24"/>
        <v/>
      </c>
      <c r="BL14" s="148" t="str">
        <f t="shared" si="33"/>
        <v/>
      </c>
      <c r="BM14" s="453" t="str">
        <f t="shared" si="25"/>
        <v/>
      </c>
      <c r="BN14" s="453" t="str">
        <f t="shared" si="26"/>
        <v/>
      </c>
      <c r="BO14" s="155">
        <v>4</v>
      </c>
      <c r="BP14" s="156" t="s">
        <v>354</v>
      </c>
    </row>
    <row r="15" spans="2:119" s="94" customFormat="1" ht="12.95" customHeight="1" x14ac:dyDescent="0.2">
      <c r="B15" s="151" t="str">
        <f>IF(ISNA(Z15),"",IF(OR(Z15=1,Z15=2),"    ",MAX($B$8:B14)+1))</f>
        <v xml:space="preserve">    </v>
      </c>
      <c r="C15" s="904" t="str">
        <f t="shared" si="0"/>
        <v>Test Conduct (34.3%)</v>
      </c>
      <c r="D15" s="904"/>
      <c r="E15" s="904"/>
      <c r="F15" s="905"/>
      <c r="G15" s="133" t="str">
        <f t="shared" si="1"/>
        <v/>
      </c>
      <c r="H15" s="134" t="str">
        <f t="shared" si="2"/>
        <v/>
      </c>
      <c r="I15" s="152" t="str">
        <f t="shared" si="2"/>
        <v/>
      </c>
      <c r="J15" s="158"/>
      <c r="K15" s="159"/>
      <c r="L15" s="1015"/>
      <c r="M15" s="1016"/>
      <c r="N15" s="1016"/>
      <c r="O15" s="1016"/>
      <c r="P15" s="1016"/>
      <c r="Q15" s="1016"/>
      <c r="R15" s="1017"/>
      <c r="T15" s="99">
        <v>8</v>
      </c>
      <c r="U15" s="88" t="s">
        <v>353</v>
      </c>
      <c r="V15" s="453" t="s">
        <v>340</v>
      </c>
      <c r="W15" s="453" t="s">
        <v>340</v>
      </c>
      <c r="X15" s="453" t="s">
        <v>340</v>
      </c>
      <c r="Y15" s="453" t="s">
        <v>340</v>
      </c>
      <c r="Z15" s="146">
        <v>2</v>
      </c>
      <c r="AA15" s="146">
        <v>1</v>
      </c>
      <c r="AB15" s="146">
        <v>1</v>
      </c>
      <c r="AC15" s="453" t="s">
        <v>340</v>
      </c>
      <c r="AD15" s="453" t="s">
        <v>340</v>
      </c>
      <c r="AE15" s="453" t="s">
        <v>340</v>
      </c>
      <c r="AF15" s="453" t="s">
        <v>340</v>
      </c>
      <c r="AG15" s="453" t="str">
        <f t="shared" si="3"/>
        <v/>
      </c>
      <c r="AH15" s="453" t="str">
        <f t="shared" si="4"/>
        <v/>
      </c>
      <c r="AI15" s="138">
        <f>IF(NOT(OR(Z15=1,Z15=2)),IF(AQ15&gt;0,$AR$44*AQ15/SUMIF($AQ$8:$AQ$39,"&gt;0"),IF(AU15&gt;0,$AV$44*AU15/SUMIF($AU$8:$AU$39,"&gt;0"),IF(AS15&gt;0,$AT$44*AS15/SUMIF($AS$8:$AS$39,"&gt;0"),""))),IF(SUMIF(AJ16:$AJ$39,"=" &amp; AJ15,AI16:$AI$39)=0,"",SUMIF(AJ16:$AJ$39,"=" &amp; AJ15,AI16:$AI$39)))</f>
        <v>0.34285714285714292</v>
      </c>
      <c r="AJ15" s="139">
        <f t="shared" si="34"/>
        <v>2</v>
      </c>
      <c r="AK15" s="453" t="str">
        <f t="shared" si="27"/>
        <v/>
      </c>
      <c r="AL15" s="146" t="str">
        <f t="shared" si="28"/>
        <v/>
      </c>
      <c r="AM15" s="146" t="str">
        <f t="shared" si="35"/>
        <v/>
      </c>
      <c r="AN15" s="146" t="str">
        <f t="shared" si="5"/>
        <v/>
      </c>
      <c r="AO15" s="146" t="str">
        <f t="shared" si="6"/>
        <v/>
      </c>
      <c r="AP15" s="453" t="str">
        <f t="shared" si="7"/>
        <v/>
      </c>
      <c r="AQ15" s="140">
        <f t="shared" si="29"/>
        <v>0</v>
      </c>
      <c r="AR15" s="141" t="str">
        <f t="shared" si="8"/>
        <v/>
      </c>
      <c r="AS15" s="142">
        <f t="shared" si="30"/>
        <v>0</v>
      </c>
      <c r="AT15" s="141" t="str">
        <f t="shared" si="9"/>
        <v/>
      </c>
      <c r="AU15" s="143">
        <f t="shared" si="10"/>
        <v>0</v>
      </c>
      <c r="AV15" s="144" t="str">
        <f t="shared" si="11"/>
        <v/>
      </c>
      <c r="AW15" s="143" t="b">
        <f t="shared" si="12"/>
        <v>0</v>
      </c>
      <c r="AX15" s="145" t="b">
        <f t="shared" si="13"/>
        <v>0</v>
      </c>
      <c r="AY15" s="143" t="b">
        <f t="shared" si="14"/>
        <v>0</v>
      </c>
      <c r="AZ15" s="145" t="b">
        <f t="shared" si="15"/>
        <v>0</v>
      </c>
      <c r="BA15" s="453" t="b">
        <f t="shared" si="16"/>
        <v>0</v>
      </c>
      <c r="BB15" s="453" t="b">
        <f t="shared" si="17"/>
        <v>0</v>
      </c>
      <c r="BC15" s="143" t="b">
        <f t="shared" si="18"/>
        <v>0</v>
      </c>
      <c r="BD15" s="146" t="b">
        <f t="shared" si="31"/>
        <v>0</v>
      </c>
      <c r="BE15" s="145" t="b">
        <f t="shared" si="19"/>
        <v>0</v>
      </c>
      <c r="BF15" s="147" t="b">
        <f t="shared" si="20"/>
        <v>0</v>
      </c>
      <c r="BG15" s="453" t="b">
        <f t="shared" si="21"/>
        <v>0</v>
      </c>
      <c r="BH15" s="453" t="str">
        <f t="shared" si="32"/>
        <v/>
      </c>
      <c r="BI15" s="453" t="str">
        <f t="shared" si="22"/>
        <v/>
      </c>
      <c r="BJ15" s="453" t="str">
        <f t="shared" si="23"/>
        <v/>
      </c>
      <c r="BK15" s="453" t="str">
        <f t="shared" si="24"/>
        <v/>
      </c>
      <c r="BL15" s="148" t="str">
        <f t="shared" si="33"/>
        <v/>
      </c>
      <c r="BM15" s="453" t="str">
        <f t="shared" si="25"/>
        <v/>
      </c>
      <c r="BN15" s="453" t="str">
        <f t="shared" si="26"/>
        <v/>
      </c>
      <c r="BO15" s="90"/>
    </row>
    <row r="16" spans="2:119" s="94" customFormat="1" ht="12.95" customHeight="1" x14ac:dyDescent="0.2">
      <c r="B16" s="151">
        <f>IF(ISNA(Z16),"",IF(OR(Z16=1,Z16=2),"    ",MAX($B$8:B15)+1))</f>
        <v>6</v>
      </c>
      <c r="C16" s="904" t="str">
        <f t="shared" si="0"/>
        <v xml:space="preserve">      - Mission Preparation (8.6%)</v>
      </c>
      <c r="D16" s="904"/>
      <c r="E16" s="904"/>
      <c r="F16" s="905"/>
      <c r="G16" s="133">
        <f t="shared" si="1"/>
        <v>1</v>
      </c>
      <c r="H16" s="134" t="str">
        <f t="shared" si="2"/>
        <v>2*</v>
      </c>
      <c r="I16" s="152">
        <f t="shared" si="2"/>
        <v>3</v>
      </c>
      <c r="J16" s="157"/>
      <c r="K16" s="154"/>
      <c r="L16" s="1015"/>
      <c r="M16" s="1016"/>
      <c r="N16" s="1016"/>
      <c r="O16" s="1016"/>
      <c r="P16" s="1016"/>
      <c r="Q16" s="1016"/>
      <c r="R16" s="1017"/>
      <c r="T16" s="99">
        <v>9</v>
      </c>
      <c r="U16" s="88" t="s">
        <v>498</v>
      </c>
      <c r="V16" s="453">
        <v>1</v>
      </c>
      <c r="W16" s="453">
        <v>1.5</v>
      </c>
      <c r="X16" s="453" t="s">
        <v>340</v>
      </c>
      <c r="Y16" s="453" t="s">
        <v>340</v>
      </c>
      <c r="Z16" s="146" t="s">
        <v>340</v>
      </c>
      <c r="AA16" s="146">
        <v>2</v>
      </c>
      <c r="AB16" s="146">
        <v>1</v>
      </c>
      <c r="AC16" s="453">
        <v>3</v>
      </c>
      <c r="AD16" s="453">
        <v>2</v>
      </c>
      <c r="AE16" s="453">
        <v>1</v>
      </c>
      <c r="AF16" s="453" t="b">
        <v>1</v>
      </c>
      <c r="AG16" s="453">
        <f t="shared" si="3"/>
        <v>3</v>
      </c>
      <c r="AH16" s="453">
        <f t="shared" si="4"/>
        <v>2</v>
      </c>
      <c r="AI16" s="138">
        <f>IF(NOT(OR(Z16=1,Z16=2)),IF(AQ16&gt;0,$AR$44*AQ16/SUMIF($AQ$8:$AQ$39,"&gt;0"),IF(AU16&gt;0,$AV$44*AU16/SUMIF($AU$8:$AU$39,"&gt;0"),IF(AS16&gt;0,$AT$44*AS16/SUMIF($AS$8:$AS$39,"&gt;0"),""))),IF(SUMIF(AJ17:$AJ$39,"=" &amp; AJ16,AI17:$AI$39)=0,"",SUMIF(AJ17:$AJ$39,"=" &amp; AJ16,AI17:$AI$39)))</f>
        <v>8.5714285714285729E-2</v>
      </c>
      <c r="AJ16" s="139">
        <f t="shared" si="34"/>
        <v>2</v>
      </c>
      <c r="AK16" s="453">
        <f t="shared" si="27"/>
        <v>2</v>
      </c>
      <c r="AL16" s="146" t="str">
        <f t="shared" si="28"/>
        <v/>
      </c>
      <c r="AM16" s="146" t="str">
        <f t="shared" si="35"/>
        <v/>
      </c>
      <c r="AN16" s="146" t="str">
        <f t="shared" si="5"/>
        <v/>
      </c>
      <c r="AO16" s="146" t="str">
        <f t="shared" si="6"/>
        <v/>
      </c>
      <c r="AP16" s="453" t="b">
        <f t="shared" si="7"/>
        <v>1</v>
      </c>
      <c r="AQ16" s="140">
        <f t="shared" si="29"/>
        <v>1.5</v>
      </c>
      <c r="AR16" s="141" t="str">
        <f t="shared" si="8"/>
        <v/>
      </c>
      <c r="AS16" s="142">
        <f t="shared" si="30"/>
        <v>0</v>
      </c>
      <c r="AT16" s="141" t="str">
        <f t="shared" si="9"/>
        <v/>
      </c>
      <c r="AU16" s="143">
        <f t="shared" si="10"/>
        <v>0</v>
      </c>
      <c r="AV16" s="144" t="str">
        <f t="shared" si="11"/>
        <v/>
      </c>
      <c r="AW16" s="143" t="b">
        <f t="shared" si="12"/>
        <v>0</v>
      </c>
      <c r="AX16" s="145" t="b">
        <f t="shared" si="13"/>
        <v>1</v>
      </c>
      <c r="AY16" s="143" t="b">
        <f t="shared" si="14"/>
        <v>0</v>
      </c>
      <c r="AZ16" s="145" t="b">
        <f t="shared" si="15"/>
        <v>0</v>
      </c>
      <c r="BA16" s="453" t="b">
        <f t="shared" si="16"/>
        <v>0</v>
      </c>
      <c r="BB16" s="453" t="b">
        <f t="shared" si="17"/>
        <v>0</v>
      </c>
      <c r="BC16" s="143" t="b">
        <f t="shared" si="18"/>
        <v>0</v>
      </c>
      <c r="BD16" s="146" t="b">
        <f t="shared" si="31"/>
        <v>0</v>
      </c>
      <c r="BE16" s="145" t="b">
        <f t="shared" si="19"/>
        <v>0</v>
      </c>
      <c r="BF16" s="147" t="b">
        <f t="shared" si="20"/>
        <v>0</v>
      </c>
      <c r="BG16" s="453" t="b">
        <f t="shared" si="21"/>
        <v>1</v>
      </c>
      <c r="BH16" s="453">
        <f t="shared" si="32"/>
        <v>1</v>
      </c>
      <c r="BI16" s="453">
        <f t="shared" si="22"/>
        <v>2</v>
      </c>
      <c r="BJ16" s="453" t="str">
        <f t="shared" si="23"/>
        <v>2*</v>
      </c>
      <c r="BK16" s="453">
        <f t="shared" si="24"/>
        <v>3</v>
      </c>
      <c r="BL16" s="148">
        <f t="shared" si="33"/>
        <v>1</v>
      </c>
      <c r="BM16" s="453">
        <f t="shared" si="25"/>
        <v>2</v>
      </c>
      <c r="BN16" s="453">
        <f t="shared" si="26"/>
        <v>3</v>
      </c>
      <c r="BO16" s="155"/>
      <c r="BP16" s="160"/>
    </row>
    <row r="17" spans="2:73" s="94" customFormat="1" ht="12.95" customHeight="1" x14ac:dyDescent="0.2">
      <c r="B17" s="151">
        <f>IF(ISNA(Z17),"",IF(OR(Z17=1,Z17=2),"    ",MAX($B$8:B16)+1))</f>
        <v>7</v>
      </c>
      <c r="C17" s="904" t="str">
        <f t="shared" si="0"/>
        <v xml:space="preserve">      - SA/Adaptation (8.6%)</v>
      </c>
      <c r="D17" s="904"/>
      <c r="E17" s="904"/>
      <c r="F17" s="905"/>
      <c r="G17" s="133">
        <f t="shared" si="1"/>
        <v>1</v>
      </c>
      <c r="H17" s="134" t="str">
        <f t="shared" si="2"/>
        <v>2*</v>
      </c>
      <c r="I17" s="152">
        <f t="shared" si="2"/>
        <v>3</v>
      </c>
      <c r="J17" s="157"/>
      <c r="K17" s="154"/>
      <c r="L17" s="1015"/>
      <c r="M17" s="1016"/>
      <c r="N17" s="1016"/>
      <c r="O17" s="1016"/>
      <c r="P17" s="1016"/>
      <c r="Q17" s="1016"/>
      <c r="R17" s="1017"/>
      <c r="T17" s="99">
        <v>10</v>
      </c>
      <c r="U17" s="88" t="s">
        <v>552</v>
      </c>
      <c r="V17" s="453">
        <v>1</v>
      </c>
      <c r="W17" s="453">
        <v>1.5</v>
      </c>
      <c r="X17" s="453" t="s">
        <v>340</v>
      </c>
      <c r="Y17" s="453" t="s">
        <v>340</v>
      </c>
      <c r="Z17" s="146" t="s">
        <v>340</v>
      </c>
      <c r="AA17" s="146">
        <v>2</v>
      </c>
      <c r="AB17" s="146">
        <v>1</v>
      </c>
      <c r="AC17" s="453">
        <v>3</v>
      </c>
      <c r="AD17" s="453">
        <v>2</v>
      </c>
      <c r="AE17" s="453">
        <v>1</v>
      </c>
      <c r="AF17" s="453" t="b">
        <v>1</v>
      </c>
      <c r="AG17" s="453">
        <f t="shared" si="3"/>
        <v>3</v>
      </c>
      <c r="AH17" s="453">
        <f t="shared" si="4"/>
        <v>2</v>
      </c>
      <c r="AI17" s="138">
        <f>IF(NOT(OR(Z17=1,Z17=2)),IF(AQ17&gt;0,$AR$44*AQ17/SUMIF($AQ$8:$AQ$39,"&gt;0"),IF(AU17&gt;0,$AV$44*AU17/SUMIF($AU$8:$AU$39,"&gt;0"),IF(AS17&gt;0,$AT$44*AS17/SUMIF($AS$8:$AS$39,"&gt;0"),""))),IF(SUMIF(AJ18:$AJ$39,"=" &amp; AJ17,AI18:$AI$39)=0,"",SUMIF(AJ18:$AJ$39,"=" &amp; AJ17,AI18:$AI$39)))</f>
        <v>8.5714285714285729E-2</v>
      </c>
      <c r="AJ17" s="139">
        <f t="shared" si="34"/>
        <v>2</v>
      </c>
      <c r="AK17" s="453">
        <f t="shared" si="27"/>
        <v>2</v>
      </c>
      <c r="AL17" s="146" t="str">
        <f t="shared" si="28"/>
        <v/>
      </c>
      <c r="AM17" s="146" t="str">
        <f t="shared" si="35"/>
        <v/>
      </c>
      <c r="AN17" s="146" t="str">
        <f t="shared" si="5"/>
        <v/>
      </c>
      <c r="AO17" s="146" t="str">
        <f t="shared" si="6"/>
        <v/>
      </c>
      <c r="AP17" s="453" t="b">
        <f t="shared" si="7"/>
        <v>1</v>
      </c>
      <c r="AQ17" s="140">
        <f t="shared" si="29"/>
        <v>1.5</v>
      </c>
      <c r="AR17" s="141" t="str">
        <f t="shared" si="8"/>
        <v/>
      </c>
      <c r="AS17" s="142">
        <f t="shared" si="30"/>
        <v>0</v>
      </c>
      <c r="AT17" s="141" t="str">
        <f t="shared" si="9"/>
        <v/>
      </c>
      <c r="AU17" s="143">
        <f t="shared" si="10"/>
        <v>0</v>
      </c>
      <c r="AV17" s="144" t="str">
        <f t="shared" si="11"/>
        <v/>
      </c>
      <c r="AW17" s="143" t="b">
        <f t="shared" si="12"/>
        <v>0</v>
      </c>
      <c r="AX17" s="145" t="b">
        <f t="shared" si="13"/>
        <v>1</v>
      </c>
      <c r="AY17" s="143" t="b">
        <f t="shared" si="14"/>
        <v>0</v>
      </c>
      <c r="AZ17" s="145" t="b">
        <f t="shared" si="15"/>
        <v>0</v>
      </c>
      <c r="BA17" s="453" t="b">
        <f t="shared" si="16"/>
        <v>0</v>
      </c>
      <c r="BB17" s="453" t="b">
        <f t="shared" si="17"/>
        <v>0</v>
      </c>
      <c r="BC17" s="143" t="b">
        <f t="shared" si="18"/>
        <v>0</v>
      </c>
      <c r="BD17" s="146" t="b">
        <f t="shared" si="31"/>
        <v>0</v>
      </c>
      <c r="BE17" s="145" t="b">
        <f t="shared" si="19"/>
        <v>0</v>
      </c>
      <c r="BF17" s="147" t="b">
        <f t="shared" si="20"/>
        <v>0</v>
      </c>
      <c r="BG17" s="453" t="b">
        <f t="shared" si="21"/>
        <v>1</v>
      </c>
      <c r="BH17" s="453">
        <f t="shared" si="32"/>
        <v>1</v>
      </c>
      <c r="BI17" s="453">
        <f t="shared" si="22"/>
        <v>2</v>
      </c>
      <c r="BJ17" s="453" t="str">
        <f t="shared" si="23"/>
        <v>2*</v>
      </c>
      <c r="BK17" s="453">
        <f t="shared" si="24"/>
        <v>3</v>
      </c>
      <c r="BL17" s="148">
        <f t="shared" si="33"/>
        <v>1</v>
      </c>
      <c r="BM17" s="453">
        <f t="shared" si="25"/>
        <v>2</v>
      </c>
      <c r="BN17" s="453">
        <f t="shared" si="26"/>
        <v>3</v>
      </c>
      <c r="BO17" s="90"/>
    </row>
    <row r="18" spans="2:73" s="94" customFormat="1" ht="12.95" customHeight="1" x14ac:dyDescent="0.2">
      <c r="B18" s="151">
        <f>IF(ISNA(Z18),"",IF(OR(Z18=1,Z18=2),"    ",MAX($B$8:B17)+1))</f>
        <v>8</v>
      </c>
      <c r="C18" s="904" t="str">
        <f t="shared" si="0"/>
        <v xml:space="preserve">      - Communication (8.6%)</v>
      </c>
      <c r="D18" s="904"/>
      <c r="E18" s="904"/>
      <c r="F18" s="905"/>
      <c r="G18" s="133">
        <f t="shared" si="1"/>
        <v>1</v>
      </c>
      <c r="H18" s="134" t="str">
        <f t="shared" si="2"/>
        <v>2*</v>
      </c>
      <c r="I18" s="152">
        <f t="shared" si="2"/>
        <v>3</v>
      </c>
      <c r="J18" s="157"/>
      <c r="K18" s="154"/>
      <c r="L18" s="1015"/>
      <c r="M18" s="1016"/>
      <c r="N18" s="1016"/>
      <c r="O18" s="1016"/>
      <c r="P18" s="1016"/>
      <c r="Q18" s="1016"/>
      <c r="R18" s="1017"/>
      <c r="T18" s="99">
        <v>11</v>
      </c>
      <c r="U18" s="88" t="s">
        <v>500</v>
      </c>
      <c r="V18" s="453">
        <v>1</v>
      </c>
      <c r="W18" s="453">
        <v>1.5</v>
      </c>
      <c r="X18" s="453" t="s">
        <v>340</v>
      </c>
      <c r="Y18" s="453" t="s">
        <v>340</v>
      </c>
      <c r="Z18" s="146" t="s">
        <v>340</v>
      </c>
      <c r="AA18" s="146">
        <v>2</v>
      </c>
      <c r="AB18" s="146">
        <v>1</v>
      </c>
      <c r="AC18" s="453">
        <v>3</v>
      </c>
      <c r="AD18" s="453">
        <v>2</v>
      </c>
      <c r="AE18" s="453">
        <v>1</v>
      </c>
      <c r="AF18" s="453" t="b">
        <v>1</v>
      </c>
      <c r="AG18" s="453">
        <f t="shared" si="3"/>
        <v>3</v>
      </c>
      <c r="AH18" s="453">
        <f t="shared" si="4"/>
        <v>2</v>
      </c>
      <c r="AI18" s="138">
        <f>IF(NOT(OR(Z18=1,Z18=2)),IF(AQ18&gt;0,$AR$44*AQ18/SUMIF($AQ$8:$AQ$39,"&gt;0"),IF(AU18&gt;0,$AV$44*AU18/SUMIF($AU$8:$AU$39,"&gt;0"),IF(AS18&gt;0,$AT$44*AS18/SUMIF($AS$8:$AS$39,"&gt;0"),""))),IF(SUMIF(AJ19:$AJ$39,"=" &amp; AJ18,AI19:$AI$39)=0,"",SUMIF(AJ19:$AJ$39,"=" &amp; AJ18,AI19:$AI$39)))</f>
        <v>8.5714285714285729E-2</v>
      </c>
      <c r="AJ18" s="139">
        <f t="shared" si="34"/>
        <v>2</v>
      </c>
      <c r="AK18" s="453">
        <f t="shared" si="27"/>
        <v>2</v>
      </c>
      <c r="AL18" s="146" t="str">
        <f t="shared" si="28"/>
        <v/>
      </c>
      <c r="AM18" s="146" t="str">
        <f t="shared" si="35"/>
        <v/>
      </c>
      <c r="AN18" s="146" t="str">
        <f t="shared" si="5"/>
        <v/>
      </c>
      <c r="AO18" s="146" t="str">
        <f t="shared" si="6"/>
        <v/>
      </c>
      <c r="AP18" s="453" t="b">
        <f t="shared" si="7"/>
        <v>1</v>
      </c>
      <c r="AQ18" s="140">
        <f t="shared" si="29"/>
        <v>1.5</v>
      </c>
      <c r="AR18" s="141" t="str">
        <f t="shared" si="8"/>
        <v/>
      </c>
      <c r="AS18" s="142">
        <f t="shared" si="30"/>
        <v>0</v>
      </c>
      <c r="AT18" s="141" t="str">
        <f t="shared" si="9"/>
        <v/>
      </c>
      <c r="AU18" s="143">
        <f t="shared" si="10"/>
        <v>0</v>
      </c>
      <c r="AV18" s="144" t="str">
        <f t="shared" si="11"/>
        <v/>
      </c>
      <c r="AW18" s="143" t="b">
        <f t="shared" si="12"/>
        <v>0</v>
      </c>
      <c r="AX18" s="145" t="b">
        <f t="shared" si="13"/>
        <v>1</v>
      </c>
      <c r="AY18" s="143" t="b">
        <f t="shared" si="14"/>
        <v>0</v>
      </c>
      <c r="AZ18" s="145" t="b">
        <f t="shared" si="15"/>
        <v>0</v>
      </c>
      <c r="BA18" s="453" t="b">
        <f t="shared" si="16"/>
        <v>0</v>
      </c>
      <c r="BB18" s="453" t="b">
        <f t="shared" si="17"/>
        <v>0</v>
      </c>
      <c r="BC18" s="143" t="b">
        <f t="shared" si="18"/>
        <v>0</v>
      </c>
      <c r="BD18" s="146" t="b">
        <f t="shared" si="31"/>
        <v>0</v>
      </c>
      <c r="BE18" s="145" t="b">
        <f t="shared" si="19"/>
        <v>0</v>
      </c>
      <c r="BF18" s="147" t="b">
        <f t="shared" si="20"/>
        <v>0</v>
      </c>
      <c r="BG18" s="453" t="b">
        <f t="shared" si="21"/>
        <v>1</v>
      </c>
      <c r="BH18" s="453">
        <f t="shared" si="32"/>
        <v>1</v>
      </c>
      <c r="BI18" s="453">
        <f t="shared" si="22"/>
        <v>2</v>
      </c>
      <c r="BJ18" s="453" t="str">
        <f t="shared" si="23"/>
        <v>2*</v>
      </c>
      <c r="BK18" s="453">
        <f t="shared" si="24"/>
        <v>3</v>
      </c>
      <c r="BL18" s="148">
        <f t="shared" si="33"/>
        <v>1</v>
      </c>
      <c r="BM18" s="453">
        <f t="shared" si="25"/>
        <v>2</v>
      </c>
      <c r="BN18" s="453">
        <f t="shared" si="26"/>
        <v>3</v>
      </c>
      <c r="BO18" s="300"/>
      <c r="BP18" s="160" t="s">
        <v>355</v>
      </c>
      <c r="BQ18" s="161"/>
      <c r="BR18" s="161"/>
      <c r="BS18" s="161"/>
      <c r="BT18" s="161"/>
      <c r="BU18" s="161"/>
    </row>
    <row r="19" spans="2:73" s="94" customFormat="1" ht="12.95" customHeight="1" x14ac:dyDescent="0.2">
      <c r="B19" s="151">
        <f>IF(ISNA(Z19),"",IF(OR(Z19=1,Z19=2),"    ",MAX($B$8:B18)+1))</f>
        <v>9</v>
      </c>
      <c r="C19" s="904" t="str">
        <f t="shared" si="0"/>
        <v xml:space="preserve">      - Teamwork (8.6%)</v>
      </c>
      <c r="D19" s="904"/>
      <c r="E19" s="904"/>
      <c r="F19" s="905"/>
      <c r="G19" s="133">
        <f t="shared" si="1"/>
        <v>1</v>
      </c>
      <c r="H19" s="134" t="str">
        <f t="shared" si="2"/>
        <v>2*</v>
      </c>
      <c r="I19" s="152">
        <f t="shared" si="2"/>
        <v>3</v>
      </c>
      <c r="J19" s="157"/>
      <c r="K19" s="154"/>
      <c r="L19" s="1015"/>
      <c r="M19" s="1016"/>
      <c r="N19" s="1016"/>
      <c r="O19" s="1016"/>
      <c r="P19" s="1016"/>
      <c r="Q19" s="1016"/>
      <c r="R19" s="1017"/>
      <c r="T19" s="99">
        <v>12</v>
      </c>
      <c r="U19" s="88" t="s">
        <v>501</v>
      </c>
      <c r="V19" s="453">
        <v>1</v>
      </c>
      <c r="W19" s="453">
        <v>1.5</v>
      </c>
      <c r="X19" s="453" t="s">
        <v>340</v>
      </c>
      <c r="Y19" s="453" t="s">
        <v>340</v>
      </c>
      <c r="Z19" s="146" t="s">
        <v>340</v>
      </c>
      <c r="AA19" s="146">
        <v>2</v>
      </c>
      <c r="AB19" s="146">
        <v>1</v>
      </c>
      <c r="AC19" s="453">
        <v>3</v>
      </c>
      <c r="AD19" s="453">
        <v>2</v>
      </c>
      <c r="AE19" s="453">
        <v>1</v>
      </c>
      <c r="AF19" s="453" t="b">
        <v>1</v>
      </c>
      <c r="AG19" s="453">
        <f t="shared" si="3"/>
        <v>3</v>
      </c>
      <c r="AH19" s="453">
        <f t="shared" si="4"/>
        <v>2</v>
      </c>
      <c r="AI19" s="138">
        <f>IF(NOT(OR(Z19=1,Z19=2)),IF(AQ19&gt;0,$AR$44*AQ19/SUMIF($AQ$8:$AQ$39,"&gt;0"),IF(AU19&gt;0,$AV$44*AU19/SUMIF($AU$8:$AU$39,"&gt;0"),IF(AS19&gt;0,$AT$44*AS19/SUMIF($AS$8:$AS$39,"&gt;0"),""))),IF(SUMIF(AJ20:$AJ$39,"=" &amp; AJ19,AI20:$AI$39)=0,"",SUMIF(AJ20:$AJ$39,"=" &amp; AJ19,AI20:$AI$39)))</f>
        <v>8.5714285714285729E-2</v>
      </c>
      <c r="AJ19" s="139">
        <f t="shared" si="34"/>
        <v>2</v>
      </c>
      <c r="AK19" s="453">
        <f t="shared" si="27"/>
        <v>2</v>
      </c>
      <c r="AL19" s="146" t="str">
        <f t="shared" si="28"/>
        <v/>
      </c>
      <c r="AM19" s="146" t="str">
        <f t="shared" si="35"/>
        <v/>
      </c>
      <c r="AN19" s="146" t="str">
        <f t="shared" si="5"/>
        <v/>
      </c>
      <c r="AO19" s="146" t="str">
        <f t="shared" si="6"/>
        <v/>
      </c>
      <c r="AP19" s="453" t="b">
        <f t="shared" si="7"/>
        <v>1</v>
      </c>
      <c r="AQ19" s="140">
        <f t="shared" si="29"/>
        <v>1.5</v>
      </c>
      <c r="AR19" s="141" t="str">
        <f t="shared" si="8"/>
        <v/>
      </c>
      <c r="AS19" s="142">
        <f t="shared" si="30"/>
        <v>0</v>
      </c>
      <c r="AT19" s="141" t="str">
        <f t="shared" si="9"/>
        <v/>
      </c>
      <c r="AU19" s="143">
        <f t="shared" si="10"/>
        <v>0</v>
      </c>
      <c r="AV19" s="144" t="str">
        <f t="shared" si="11"/>
        <v/>
      </c>
      <c r="AW19" s="143" t="b">
        <f t="shared" si="12"/>
        <v>0</v>
      </c>
      <c r="AX19" s="145" t="b">
        <f t="shared" si="13"/>
        <v>1</v>
      </c>
      <c r="AY19" s="143" t="b">
        <f t="shared" si="14"/>
        <v>0</v>
      </c>
      <c r="AZ19" s="145" t="b">
        <f t="shared" si="15"/>
        <v>0</v>
      </c>
      <c r="BA19" s="453" t="b">
        <f t="shared" si="16"/>
        <v>0</v>
      </c>
      <c r="BB19" s="453" t="b">
        <f t="shared" si="17"/>
        <v>0</v>
      </c>
      <c r="BC19" s="143" t="b">
        <f t="shared" si="18"/>
        <v>0</v>
      </c>
      <c r="BD19" s="146" t="b">
        <f t="shared" si="31"/>
        <v>0</v>
      </c>
      <c r="BE19" s="145" t="b">
        <f t="shared" si="19"/>
        <v>0</v>
      </c>
      <c r="BF19" s="147" t="b">
        <f t="shared" si="20"/>
        <v>0</v>
      </c>
      <c r="BG19" s="453" t="b">
        <f t="shared" si="21"/>
        <v>1</v>
      </c>
      <c r="BH19" s="453">
        <f t="shared" si="32"/>
        <v>1</v>
      </c>
      <c r="BI19" s="453">
        <f t="shared" si="22"/>
        <v>2</v>
      </c>
      <c r="BJ19" s="453" t="str">
        <f t="shared" si="23"/>
        <v>2*</v>
      </c>
      <c r="BK19" s="453">
        <f t="shared" si="24"/>
        <v>3</v>
      </c>
      <c r="BL19" s="148">
        <f t="shared" si="33"/>
        <v>1</v>
      </c>
      <c r="BM19" s="453">
        <f t="shared" si="25"/>
        <v>2</v>
      </c>
      <c r="BN19" s="453">
        <f t="shared" si="26"/>
        <v>3</v>
      </c>
      <c r="BO19" s="300"/>
      <c r="BP19" s="150"/>
      <c r="BQ19" s="935" t="s">
        <v>356</v>
      </c>
      <c r="BR19" s="935"/>
      <c r="BS19" s="935"/>
      <c r="BT19" s="935"/>
      <c r="BU19" s="935"/>
    </row>
    <row r="20" spans="2:73" s="94" customFormat="1" ht="12.95" customHeight="1" x14ac:dyDescent="0.2">
      <c r="B20" s="151" t="str">
        <f>IF(ISNA(Z20),"",IF(OR(Z20=1,Z20=2),"    ",MAX($B$8:B19)+1))</f>
        <v xml:space="preserve">    </v>
      </c>
      <c r="C20" s="904" t="str">
        <f t="shared" si="0"/>
        <v>FTTs (37.9%)</v>
      </c>
      <c r="D20" s="904"/>
      <c r="E20" s="904"/>
      <c r="F20" s="905"/>
      <c r="G20" s="133" t="str">
        <f t="shared" si="1"/>
        <v/>
      </c>
      <c r="H20" s="134" t="str">
        <f t="shared" si="2"/>
        <v/>
      </c>
      <c r="I20" s="152" t="str">
        <f t="shared" si="2"/>
        <v/>
      </c>
      <c r="J20" s="158"/>
      <c r="K20" s="159"/>
      <c r="L20" s="1015"/>
      <c r="M20" s="1016"/>
      <c r="N20" s="1016"/>
      <c r="O20" s="1016"/>
      <c r="P20" s="1016"/>
      <c r="Q20" s="1016"/>
      <c r="R20" s="1017"/>
      <c r="T20" s="99">
        <v>13</v>
      </c>
      <c r="U20" s="88" t="s">
        <v>652</v>
      </c>
      <c r="V20" s="453" t="s">
        <v>340</v>
      </c>
      <c r="W20" s="453" t="s">
        <v>340</v>
      </c>
      <c r="X20" s="453" t="s">
        <v>340</v>
      </c>
      <c r="Y20" s="453" t="s">
        <v>340</v>
      </c>
      <c r="Z20" s="146">
        <v>2</v>
      </c>
      <c r="AA20" s="146">
        <v>1</v>
      </c>
      <c r="AB20" s="146">
        <v>1</v>
      </c>
      <c r="AC20" s="453" t="s">
        <v>340</v>
      </c>
      <c r="AD20" s="453" t="s">
        <v>340</v>
      </c>
      <c r="AE20" s="453" t="s">
        <v>340</v>
      </c>
      <c r="AF20" s="453" t="s">
        <v>340</v>
      </c>
      <c r="AG20" s="453" t="str">
        <f t="shared" si="3"/>
        <v/>
      </c>
      <c r="AH20" s="453" t="str">
        <f t="shared" si="4"/>
        <v/>
      </c>
      <c r="AI20" s="138">
        <f>IF(NOT(OR(Z20=1,Z20=2)),IF(AQ20&gt;0,$AR$44*AQ20/SUMIF($AQ$8:$AQ$39,"&gt;0"),IF(AU20&gt;0,$AV$44*AU20/SUMIF($AU$8:$AU$39,"&gt;0"),IF(AS20&gt;0,$AT$44*AS20/SUMIF($AS$8:$AS$39,"&gt;0"),""))),IF(SUMIF(AJ21:$AJ$39,"=" &amp; AJ20,AI21:$AI$39)=0,"",SUMIF(AJ21:$AJ$39,"=" &amp; AJ20,AI21:$AI$39)))</f>
        <v>0.37857142857142861</v>
      </c>
      <c r="AJ20" s="139">
        <f t="shared" si="34"/>
        <v>3</v>
      </c>
      <c r="AK20" s="453" t="str">
        <f t="shared" si="27"/>
        <v/>
      </c>
      <c r="AL20" s="146" t="str">
        <f t="shared" si="28"/>
        <v/>
      </c>
      <c r="AM20" s="146" t="str">
        <f t="shared" si="35"/>
        <v/>
      </c>
      <c r="AN20" s="146" t="str">
        <f t="shared" si="5"/>
        <v/>
      </c>
      <c r="AO20" s="146" t="str">
        <f t="shared" si="6"/>
        <v/>
      </c>
      <c r="AP20" s="453" t="str">
        <f t="shared" si="7"/>
        <v/>
      </c>
      <c r="AQ20" s="140">
        <f t="shared" si="29"/>
        <v>0</v>
      </c>
      <c r="AR20" s="141" t="str">
        <f t="shared" si="8"/>
        <v/>
      </c>
      <c r="AS20" s="142">
        <f t="shared" si="30"/>
        <v>0</v>
      </c>
      <c r="AT20" s="141" t="str">
        <f t="shared" si="9"/>
        <v/>
      </c>
      <c r="AU20" s="143">
        <f t="shared" si="10"/>
        <v>0</v>
      </c>
      <c r="AV20" s="144" t="str">
        <f t="shared" si="11"/>
        <v/>
      </c>
      <c r="AW20" s="143" t="b">
        <f t="shared" si="12"/>
        <v>0</v>
      </c>
      <c r="AX20" s="145" t="b">
        <f t="shared" si="13"/>
        <v>0</v>
      </c>
      <c r="AY20" s="143" t="b">
        <f t="shared" si="14"/>
        <v>0</v>
      </c>
      <c r="AZ20" s="145" t="b">
        <f t="shared" si="15"/>
        <v>0</v>
      </c>
      <c r="BA20" s="453" t="b">
        <f t="shared" si="16"/>
        <v>0</v>
      </c>
      <c r="BB20" s="453" t="b">
        <f t="shared" si="17"/>
        <v>0</v>
      </c>
      <c r="BC20" s="143" t="b">
        <f t="shared" si="18"/>
        <v>0</v>
      </c>
      <c r="BD20" s="146" t="b">
        <f t="shared" si="31"/>
        <v>0</v>
      </c>
      <c r="BE20" s="145" t="b">
        <f t="shared" si="19"/>
        <v>0</v>
      </c>
      <c r="BF20" s="147" t="b">
        <f t="shared" si="20"/>
        <v>0</v>
      </c>
      <c r="BG20" s="453" t="b">
        <f t="shared" si="21"/>
        <v>0</v>
      </c>
      <c r="BH20" s="453" t="str">
        <f t="shared" si="32"/>
        <v/>
      </c>
      <c r="BI20" s="453" t="str">
        <f t="shared" si="22"/>
        <v/>
      </c>
      <c r="BJ20" s="453" t="str">
        <f t="shared" si="23"/>
        <v/>
      </c>
      <c r="BK20" s="453" t="str">
        <f t="shared" si="24"/>
        <v/>
      </c>
      <c r="BL20" s="148" t="str">
        <f t="shared" si="33"/>
        <v/>
      </c>
      <c r="BM20" s="453" t="str">
        <f t="shared" si="25"/>
        <v/>
      </c>
      <c r="BN20" s="453" t="str">
        <f t="shared" si="26"/>
        <v/>
      </c>
      <c r="BO20" s="300"/>
      <c r="BP20" s="300"/>
      <c r="BQ20" s="300">
        <v>0</v>
      </c>
      <c r="BR20" s="300">
        <v>1</v>
      </c>
      <c r="BS20" s="300">
        <v>2</v>
      </c>
      <c r="BT20" s="300">
        <v>3</v>
      </c>
      <c r="BU20" s="300">
        <v>4</v>
      </c>
    </row>
    <row r="21" spans="2:73" s="94" customFormat="1" ht="12.95" customHeight="1" x14ac:dyDescent="0.2">
      <c r="B21" s="151">
        <f>IF(ISNA(Z21),"",IF(OR(Z21=1,Z21=2),"    ",MAX($B$8:B20)+1))</f>
        <v>10</v>
      </c>
      <c r="C21" s="904" t="str">
        <f t="shared" si="0"/>
        <v xml:space="preserve">      - CR Stall App and Prevent (5.7%)</v>
      </c>
      <c r="D21" s="904"/>
      <c r="E21" s="904"/>
      <c r="F21" s="905"/>
      <c r="G21" s="133">
        <f t="shared" si="1"/>
        <v>1</v>
      </c>
      <c r="H21" s="134" t="str">
        <f t="shared" si="2"/>
        <v>1*</v>
      </c>
      <c r="I21" s="152">
        <f t="shared" si="2"/>
        <v>3</v>
      </c>
      <c r="J21" s="157"/>
      <c r="K21" s="154"/>
      <c r="L21" s="1015"/>
      <c r="M21" s="1016"/>
      <c r="N21" s="1016"/>
      <c r="O21" s="1016"/>
      <c r="P21" s="1016"/>
      <c r="Q21" s="1016"/>
      <c r="R21" s="1017"/>
      <c r="T21" s="99">
        <v>14</v>
      </c>
      <c r="U21" s="88" t="s">
        <v>794</v>
      </c>
      <c r="V21" s="453">
        <v>1</v>
      </c>
      <c r="W21" s="453">
        <v>1</v>
      </c>
      <c r="X21" s="453" t="s">
        <v>340</v>
      </c>
      <c r="Y21" s="453" t="s">
        <v>340</v>
      </c>
      <c r="Z21" s="146" t="s">
        <v>340</v>
      </c>
      <c r="AA21" s="146">
        <v>2</v>
      </c>
      <c r="AB21" s="146">
        <v>1</v>
      </c>
      <c r="AC21" s="453">
        <v>3</v>
      </c>
      <c r="AD21" s="453">
        <v>1</v>
      </c>
      <c r="AE21" s="453">
        <v>1</v>
      </c>
      <c r="AF21" s="453" t="b">
        <v>1</v>
      </c>
      <c r="AG21" s="453">
        <f t="shared" si="3"/>
        <v>3</v>
      </c>
      <c r="AH21" s="453">
        <f t="shared" si="4"/>
        <v>2</v>
      </c>
      <c r="AI21" s="138">
        <f>IF(NOT(OR(Z21=1,Z21=2)),IF(AQ21&gt;0,$AR$44*AQ21/SUMIF($AQ$8:$AQ$39,"&gt;0"),IF(AU21&gt;0,$AV$44*AU21/SUMIF($AU$8:$AU$39,"&gt;0"),IF(AS21&gt;0,$AT$44*AS21/SUMIF($AS$8:$AS$39,"&gt;0"),""))),IF(SUMIF(AJ22:$AJ$39,"=" &amp; AJ21,AI22:$AI$39)=0,"",SUMIF(AJ22:$AJ$39,"=" &amp; AJ21,AI22:$AI$39)))</f>
        <v>5.7142857142857148E-2</v>
      </c>
      <c r="AJ21" s="139">
        <f t="shared" si="34"/>
        <v>3</v>
      </c>
      <c r="AK21" s="453">
        <f t="shared" si="27"/>
        <v>1</v>
      </c>
      <c r="AL21" s="146" t="str">
        <f t="shared" si="28"/>
        <v/>
      </c>
      <c r="AM21" s="146" t="str">
        <f t="shared" si="35"/>
        <v/>
      </c>
      <c r="AN21" s="146" t="str">
        <f t="shared" si="5"/>
        <v/>
      </c>
      <c r="AO21" s="146" t="str">
        <f t="shared" si="6"/>
        <v/>
      </c>
      <c r="AP21" s="453" t="b">
        <f t="shared" si="7"/>
        <v>1</v>
      </c>
      <c r="AQ21" s="140">
        <f t="shared" si="29"/>
        <v>1</v>
      </c>
      <c r="AR21" s="141" t="str">
        <f t="shared" si="8"/>
        <v/>
      </c>
      <c r="AS21" s="142">
        <f t="shared" si="30"/>
        <v>0</v>
      </c>
      <c r="AT21" s="141" t="str">
        <f t="shared" si="9"/>
        <v/>
      </c>
      <c r="AU21" s="143">
        <f t="shared" si="10"/>
        <v>0</v>
      </c>
      <c r="AV21" s="144" t="str">
        <f t="shared" si="11"/>
        <v/>
      </c>
      <c r="AW21" s="143" t="b">
        <f t="shared" si="12"/>
        <v>0</v>
      </c>
      <c r="AX21" s="145" t="b">
        <f t="shared" si="13"/>
        <v>1</v>
      </c>
      <c r="AY21" s="143" t="b">
        <f t="shared" si="14"/>
        <v>0</v>
      </c>
      <c r="AZ21" s="145" t="b">
        <f t="shared" si="15"/>
        <v>0</v>
      </c>
      <c r="BA21" s="453" t="b">
        <f t="shared" si="16"/>
        <v>0</v>
      </c>
      <c r="BB21" s="453" t="b">
        <f t="shared" si="17"/>
        <v>0</v>
      </c>
      <c r="BC21" s="143" t="b">
        <f t="shared" si="18"/>
        <v>0</v>
      </c>
      <c r="BD21" s="146" t="b">
        <f t="shared" si="31"/>
        <v>0</v>
      </c>
      <c r="BE21" s="145" t="b">
        <f t="shared" si="19"/>
        <v>0</v>
      </c>
      <c r="BF21" s="147" t="b">
        <f t="shared" si="20"/>
        <v>0</v>
      </c>
      <c r="BG21" s="453" t="b">
        <f t="shared" si="21"/>
        <v>1</v>
      </c>
      <c r="BH21" s="453">
        <f t="shared" si="32"/>
        <v>1</v>
      </c>
      <c r="BI21" s="453">
        <f t="shared" si="22"/>
        <v>1</v>
      </c>
      <c r="BJ21" s="453" t="str">
        <f t="shared" si="23"/>
        <v>1*</v>
      </c>
      <c r="BK21" s="453">
        <f t="shared" si="24"/>
        <v>3</v>
      </c>
      <c r="BL21" s="148">
        <f t="shared" si="33"/>
        <v>1</v>
      </c>
      <c r="BM21" s="453">
        <f t="shared" si="25"/>
        <v>1</v>
      </c>
      <c r="BN21" s="453">
        <f t="shared" si="26"/>
        <v>3</v>
      </c>
      <c r="BO21" s="936" t="s">
        <v>358</v>
      </c>
      <c r="BP21" s="300" t="s">
        <v>359</v>
      </c>
      <c r="BQ21" s="162">
        <f t="shared" ref="BQ21:BU29" si="36">AR50</f>
        <v>0.7</v>
      </c>
      <c r="BR21" s="163">
        <f t="shared" si="36"/>
        <v>0.9</v>
      </c>
      <c r="BS21" s="163">
        <f t="shared" si="36"/>
        <v>0.93330000000000002</v>
      </c>
      <c r="BT21" s="163">
        <f t="shared" si="36"/>
        <v>0.9667</v>
      </c>
      <c r="BU21" s="164">
        <f t="shared" si="36"/>
        <v>1</v>
      </c>
    </row>
    <row r="22" spans="2:73" s="94" customFormat="1" ht="12.95" customHeight="1" x14ac:dyDescent="0.2">
      <c r="B22" s="151">
        <f>IF(ISNA(Z22),"",IF(OR(Z22=1,Z22=2),"    ",MAX($B$8:B21)+1))</f>
        <v>11</v>
      </c>
      <c r="C22" s="904" t="str">
        <f t="shared" si="0"/>
        <v xml:space="preserve">      - CR Stall Char and Recov (5.7%)</v>
      </c>
      <c r="D22" s="904"/>
      <c r="E22" s="904"/>
      <c r="F22" s="905"/>
      <c r="G22" s="133">
        <f t="shared" si="1"/>
        <v>1</v>
      </c>
      <c r="H22" s="134" t="str">
        <f t="shared" si="2"/>
        <v>1*</v>
      </c>
      <c r="I22" s="152">
        <f t="shared" si="2"/>
        <v>3</v>
      </c>
      <c r="J22" s="157"/>
      <c r="K22" s="154"/>
      <c r="L22" s="1015"/>
      <c r="M22" s="1016"/>
      <c r="N22" s="1016"/>
      <c r="O22" s="1016"/>
      <c r="P22" s="1016"/>
      <c r="Q22" s="1016"/>
      <c r="R22" s="1017"/>
      <c r="T22" s="99">
        <v>15</v>
      </c>
      <c r="U22" s="88" t="s">
        <v>795</v>
      </c>
      <c r="V22" s="453">
        <v>1</v>
      </c>
      <c r="W22" s="453">
        <v>1</v>
      </c>
      <c r="X22" s="453" t="s">
        <v>340</v>
      </c>
      <c r="Y22" s="453" t="s">
        <v>340</v>
      </c>
      <c r="Z22" s="146" t="s">
        <v>340</v>
      </c>
      <c r="AA22" s="146">
        <v>2</v>
      </c>
      <c r="AB22" s="146">
        <v>1</v>
      </c>
      <c r="AC22" s="453">
        <v>3</v>
      </c>
      <c r="AD22" s="453">
        <v>1</v>
      </c>
      <c r="AE22" s="453">
        <v>1</v>
      </c>
      <c r="AF22" s="453" t="b">
        <v>1</v>
      </c>
      <c r="AG22" s="453">
        <f t="shared" si="3"/>
        <v>3</v>
      </c>
      <c r="AH22" s="453">
        <f t="shared" si="4"/>
        <v>2</v>
      </c>
      <c r="AI22" s="138">
        <f>IF(NOT(OR(Z22=1,Z22=2)),IF(AQ22&gt;0,$AR$44*AQ22/SUMIF($AQ$8:$AQ$39,"&gt;0"),IF(AU22&gt;0,$AV$44*AU22/SUMIF($AU$8:$AU$39,"&gt;0"),IF(AS22&gt;0,$AT$44*AS22/SUMIF($AS$8:$AS$39,"&gt;0"),""))),IF(SUMIF(AJ23:$AJ$39,"=" &amp; AJ22,AI23:$AI$39)=0,"",SUMIF(AJ23:$AJ$39,"=" &amp; AJ22,AI23:$AI$39)))</f>
        <v>5.7142857142857148E-2</v>
      </c>
      <c r="AJ22" s="139">
        <f t="shared" si="34"/>
        <v>3</v>
      </c>
      <c r="AK22" s="453">
        <f t="shared" si="27"/>
        <v>1</v>
      </c>
      <c r="AL22" s="146" t="str">
        <f t="shared" si="28"/>
        <v/>
      </c>
      <c r="AM22" s="146" t="str">
        <f t="shared" si="35"/>
        <v/>
      </c>
      <c r="AN22" s="146" t="str">
        <f t="shared" si="5"/>
        <v/>
      </c>
      <c r="AO22" s="146" t="str">
        <f t="shared" si="6"/>
        <v/>
      </c>
      <c r="AP22" s="453" t="b">
        <f t="shared" si="7"/>
        <v>1</v>
      </c>
      <c r="AQ22" s="140">
        <f t="shared" si="29"/>
        <v>1</v>
      </c>
      <c r="AR22" s="141" t="str">
        <f t="shared" si="8"/>
        <v/>
      </c>
      <c r="AS22" s="142">
        <f t="shared" si="30"/>
        <v>0</v>
      </c>
      <c r="AT22" s="141" t="str">
        <f t="shared" si="9"/>
        <v/>
      </c>
      <c r="AU22" s="143">
        <f t="shared" si="10"/>
        <v>0</v>
      </c>
      <c r="AV22" s="144" t="str">
        <f t="shared" si="11"/>
        <v/>
      </c>
      <c r="AW22" s="143" t="b">
        <f t="shared" si="12"/>
        <v>0</v>
      </c>
      <c r="AX22" s="145" t="b">
        <f t="shared" si="13"/>
        <v>1</v>
      </c>
      <c r="AY22" s="143" t="b">
        <f t="shared" si="14"/>
        <v>0</v>
      </c>
      <c r="AZ22" s="145" t="b">
        <f t="shared" si="15"/>
        <v>0</v>
      </c>
      <c r="BA22" s="453" t="b">
        <f t="shared" si="16"/>
        <v>0</v>
      </c>
      <c r="BB22" s="453" t="b">
        <f t="shared" si="17"/>
        <v>0</v>
      </c>
      <c r="BC22" s="143" t="b">
        <f t="shared" si="18"/>
        <v>0</v>
      </c>
      <c r="BD22" s="146" t="b">
        <f t="shared" si="31"/>
        <v>0</v>
      </c>
      <c r="BE22" s="145" t="b">
        <f>IF(OR(ISNA($Z22),K22&lt;&gt;"D"),FALSE,IF(OR(AND(H22="NG",J22=0),AND(H22&lt;&gt;"NG",NOT(OR(J22="NA",J22=0)))),TRUE,FALSE))</f>
        <v>0</v>
      </c>
      <c r="BF22" s="147" t="b">
        <f t="shared" si="20"/>
        <v>0</v>
      </c>
      <c r="BG22" s="453" t="b">
        <f>IF(ISNA($Z22),"NA",IF(OR(AZ22,AY22,AX22,AW22,AP22,BA22,BB22),TRUE,FALSE))</f>
        <v>1</v>
      </c>
      <c r="BH22" s="453">
        <f t="shared" si="32"/>
        <v>1</v>
      </c>
      <c r="BI22" s="453">
        <f t="shared" si="22"/>
        <v>1</v>
      </c>
      <c r="BJ22" s="453" t="str">
        <f t="shared" si="23"/>
        <v>1*</v>
      </c>
      <c r="BK22" s="453">
        <f t="shared" si="24"/>
        <v>3</v>
      </c>
      <c r="BL22" s="148">
        <f t="shared" si="33"/>
        <v>1</v>
      </c>
      <c r="BM22" s="453">
        <f t="shared" si="25"/>
        <v>1</v>
      </c>
      <c r="BN22" s="453">
        <f t="shared" si="26"/>
        <v>3</v>
      </c>
      <c r="BO22" s="936"/>
      <c r="BP22" s="300" t="s">
        <v>360</v>
      </c>
      <c r="BQ22" s="165">
        <f t="shared" si="36"/>
        <v>0.7</v>
      </c>
      <c r="BR22" s="166">
        <f t="shared" si="36"/>
        <v>0.8</v>
      </c>
      <c r="BS22" s="166">
        <f t="shared" si="36"/>
        <v>0.9</v>
      </c>
      <c r="BT22" s="166">
        <f t="shared" si="36"/>
        <v>0.95</v>
      </c>
      <c r="BU22" s="167">
        <f t="shared" si="36"/>
        <v>1</v>
      </c>
    </row>
    <row r="23" spans="2:73" s="94" customFormat="1" ht="12.95" customHeight="1" x14ac:dyDescent="0.2">
      <c r="B23" s="151">
        <f>IF(ISNA(Z23),"",IF(OR(Z23=1,Z23=2),"    ",MAX($B$8:B22)+1))</f>
        <v>12</v>
      </c>
      <c r="C23" s="904" t="str">
        <f t="shared" si="0"/>
        <v xml:space="preserve">      - PA Stall App and Prevent (8.6%)</v>
      </c>
      <c r="D23" s="904"/>
      <c r="E23" s="904"/>
      <c r="F23" s="905"/>
      <c r="G23" s="133">
        <f t="shared" si="1"/>
        <v>1</v>
      </c>
      <c r="H23" s="134" t="str">
        <f t="shared" si="2"/>
        <v>2*</v>
      </c>
      <c r="I23" s="152">
        <f t="shared" si="2"/>
        <v>3</v>
      </c>
      <c r="J23" s="157"/>
      <c r="K23" s="154"/>
      <c r="L23" s="1015"/>
      <c r="M23" s="1016"/>
      <c r="N23" s="1016"/>
      <c r="O23" s="1016"/>
      <c r="P23" s="1016"/>
      <c r="Q23" s="1016"/>
      <c r="R23" s="1017"/>
      <c r="T23" s="99">
        <v>16</v>
      </c>
      <c r="U23" s="88" t="s">
        <v>796</v>
      </c>
      <c r="V23" s="453">
        <v>1</v>
      </c>
      <c r="W23" s="453">
        <v>1.5</v>
      </c>
      <c r="X23" s="453" t="s">
        <v>340</v>
      </c>
      <c r="Y23" s="453" t="s">
        <v>340</v>
      </c>
      <c r="Z23" s="146" t="s">
        <v>340</v>
      </c>
      <c r="AA23" s="146">
        <v>2</v>
      </c>
      <c r="AB23" s="146">
        <v>1</v>
      </c>
      <c r="AC23" s="453">
        <v>3</v>
      </c>
      <c r="AD23" s="453">
        <v>2</v>
      </c>
      <c r="AE23" s="453">
        <v>1</v>
      </c>
      <c r="AF23" s="453" t="b">
        <v>1</v>
      </c>
      <c r="AG23" s="453">
        <f t="shared" si="3"/>
        <v>3</v>
      </c>
      <c r="AH23" s="453">
        <f t="shared" si="4"/>
        <v>2</v>
      </c>
      <c r="AI23" s="138">
        <f>IF(NOT(OR(Z23=1,Z23=2)),IF(AQ23&gt;0,$AR$44*AQ23/SUMIF($AQ$8:$AQ$39,"&gt;0"),IF(AU23&gt;0,$AV$44*AU23/SUMIF($AU$8:$AU$39,"&gt;0"),IF(AS23&gt;0,$AT$44*AS23/SUMIF($AS$8:$AS$39,"&gt;0"),""))),IF(SUMIF(AJ24:$AJ$39,"=" &amp; AJ23,AI24:$AI$39)=0,"",SUMIF(AJ24:$AJ$39,"=" &amp; AJ23,AI24:$AI$39)))</f>
        <v>8.5714285714285729E-2</v>
      </c>
      <c r="AJ23" s="139">
        <f t="shared" si="34"/>
        <v>3</v>
      </c>
      <c r="AK23" s="453">
        <f t="shared" si="27"/>
        <v>2</v>
      </c>
      <c r="AL23" s="146" t="str">
        <f t="shared" si="28"/>
        <v/>
      </c>
      <c r="AM23" s="146" t="str">
        <f t="shared" si="35"/>
        <v/>
      </c>
      <c r="AN23" s="146" t="str">
        <f t="shared" si="5"/>
        <v/>
      </c>
      <c r="AO23" s="146" t="str">
        <f t="shared" si="6"/>
        <v/>
      </c>
      <c r="AP23" s="453" t="b">
        <f t="shared" si="7"/>
        <v>1</v>
      </c>
      <c r="AQ23" s="140">
        <f t="shared" si="29"/>
        <v>1.5</v>
      </c>
      <c r="AR23" s="141" t="str">
        <f t="shared" si="8"/>
        <v/>
      </c>
      <c r="AS23" s="142">
        <f t="shared" si="30"/>
        <v>0</v>
      </c>
      <c r="AT23" s="141" t="str">
        <f t="shared" si="9"/>
        <v/>
      </c>
      <c r="AU23" s="143">
        <f t="shared" si="10"/>
        <v>0</v>
      </c>
      <c r="AV23" s="144" t="str">
        <f t="shared" si="11"/>
        <v/>
      </c>
      <c r="AW23" s="143" t="b">
        <f t="shared" si="12"/>
        <v>0</v>
      </c>
      <c r="AX23" s="145" t="b">
        <f t="shared" si="13"/>
        <v>1</v>
      </c>
      <c r="AY23" s="143" t="b">
        <f t="shared" si="14"/>
        <v>0</v>
      </c>
      <c r="AZ23" s="145" t="b">
        <f t="shared" si="15"/>
        <v>0</v>
      </c>
      <c r="BA23" s="453" t="b">
        <f t="shared" si="16"/>
        <v>0</v>
      </c>
      <c r="BB23" s="453" t="b">
        <f t="shared" si="17"/>
        <v>0</v>
      </c>
      <c r="BC23" s="143" t="b">
        <f t="shared" si="18"/>
        <v>0</v>
      </c>
      <c r="BD23" s="146" t="b">
        <f t="shared" si="31"/>
        <v>0</v>
      </c>
      <c r="BE23" s="145" t="b">
        <f t="shared" ref="BE23:BE39" si="37">IF(OR(ISNA($Z23),K23&lt;&gt;"D"),FALSE,IF(OR(AND(H23="NG",J23=0),AND(H23&lt;&gt;"NG",NOT(OR(J23="NA",J23=0)))),TRUE,FALSE))</f>
        <v>0</v>
      </c>
      <c r="BF23" s="147" t="b">
        <f t="shared" si="20"/>
        <v>0</v>
      </c>
      <c r="BG23" s="453" t="b">
        <f t="shared" ref="BG23:BG39" si="38">IF(ISNA($Z23),"NA",IF(OR(AZ23,AY23,AX23,AW23,AP23,BA23,BB23),TRUE,FALSE))</f>
        <v>1</v>
      </c>
      <c r="BH23" s="453">
        <f t="shared" si="32"/>
        <v>1</v>
      </c>
      <c r="BI23" s="453">
        <f t="shared" si="22"/>
        <v>2</v>
      </c>
      <c r="BJ23" s="453" t="str">
        <f t="shared" si="23"/>
        <v>2*</v>
      </c>
      <c r="BK23" s="453">
        <f t="shared" si="24"/>
        <v>3</v>
      </c>
      <c r="BL23" s="148">
        <f t="shared" si="33"/>
        <v>1</v>
      </c>
      <c r="BM23" s="453">
        <f t="shared" si="25"/>
        <v>2</v>
      </c>
      <c r="BN23" s="453">
        <f t="shared" si="26"/>
        <v>3</v>
      </c>
      <c r="BO23" s="936"/>
      <c r="BP23" s="300" t="s">
        <v>361</v>
      </c>
      <c r="BQ23" s="165">
        <f t="shared" si="36"/>
        <v>0.7</v>
      </c>
      <c r="BR23" s="166">
        <f t="shared" si="36"/>
        <v>0.76670000000000005</v>
      </c>
      <c r="BS23" s="166">
        <f t="shared" si="36"/>
        <v>0.83330000000000004</v>
      </c>
      <c r="BT23" s="166">
        <f t="shared" si="36"/>
        <v>0.9</v>
      </c>
      <c r="BU23" s="167">
        <f t="shared" si="36"/>
        <v>1</v>
      </c>
    </row>
    <row r="24" spans="2:73" s="94" customFormat="1" ht="12.95" customHeight="1" x14ac:dyDescent="0.2">
      <c r="B24" s="151">
        <f>IF(ISNA(Z24),"",IF(OR(Z24=1,Z24=2),"    ",MAX($B$8:B23)+1))</f>
        <v>13</v>
      </c>
      <c r="C24" s="904" t="str">
        <f t="shared" si="0"/>
        <v xml:space="preserve">      - PA Stall Char and Recov (8.6%)</v>
      </c>
      <c r="D24" s="904"/>
      <c r="E24" s="904"/>
      <c r="F24" s="905"/>
      <c r="G24" s="133">
        <f t="shared" si="1"/>
        <v>1</v>
      </c>
      <c r="H24" s="134" t="str">
        <f t="shared" si="2"/>
        <v>2*</v>
      </c>
      <c r="I24" s="152">
        <f t="shared" si="2"/>
        <v>3</v>
      </c>
      <c r="J24" s="157"/>
      <c r="K24" s="154"/>
      <c r="L24" s="1015"/>
      <c r="M24" s="1016"/>
      <c r="N24" s="1016"/>
      <c r="O24" s="1016"/>
      <c r="P24" s="1016"/>
      <c r="Q24" s="1016"/>
      <c r="R24" s="1017"/>
      <c r="T24" s="99">
        <v>17</v>
      </c>
      <c r="U24" s="88" t="s">
        <v>797</v>
      </c>
      <c r="V24" s="453">
        <v>1</v>
      </c>
      <c r="W24" s="453">
        <v>1.5</v>
      </c>
      <c r="X24" s="453" t="s">
        <v>340</v>
      </c>
      <c r="Y24" s="453" t="s">
        <v>340</v>
      </c>
      <c r="Z24" s="146" t="s">
        <v>340</v>
      </c>
      <c r="AA24" s="146">
        <v>2</v>
      </c>
      <c r="AB24" s="146">
        <v>1</v>
      </c>
      <c r="AC24" s="453">
        <v>3</v>
      </c>
      <c r="AD24" s="453">
        <v>2</v>
      </c>
      <c r="AE24" s="453">
        <v>1</v>
      </c>
      <c r="AF24" s="453" t="b">
        <v>1</v>
      </c>
      <c r="AG24" s="453">
        <f t="shared" si="3"/>
        <v>3</v>
      </c>
      <c r="AH24" s="453">
        <f t="shared" si="4"/>
        <v>2</v>
      </c>
      <c r="AI24" s="138">
        <f>IF(NOT(OR(Z24=1,Z24=2)),IF(AQ24&gt;0,$AR$44*AQ24/SUMIF($AQ$8:$AQ$39,"&gt;0"),IF(AU24&gt;0,$AV$44*AU24/SUMIF($AU$8:$AU$39,"&gt;0"),IF(AS24&gt;0,$AT$44*AS24/SUMIF($AS$8:$AS$39,"&gt;0"),""))),IF(SUMIF(AJ25:$AJ$39,"=" &amp; AJ24,AI25:$AI$39)=0,"",SUMIF(AJ25:$AJ$39,"=" &amp; AJ24,AI25:$AI$39)))</f>
        <v>8.5714285714285729E-2</v>
      </c>
      <c r="AJ24" s="139">
        <f t="shared" si="34"/>
        <v>3</v>
      </c>
      <c r="AK24" s="453">
        <f t="shared" si="27"/>
        <v>2</v>
      </c>
      <c r="AL24" s="146" t="str">
        <f t="shared" si="28"/>
        <v/>
      </c>
      <c r="AM24" s="146" t="str">
        <f t="shared" si="35"/>
        <v/>
      </c>
      <c r="AN24" s="146" t="str">
        <f t="shared" si="5"/>
        <v/>
      </c>
      <c r="AO24" s="146" t="str">
        <f t="shared" si="6"/>
        <v/>
      </c>
      <c r="AP24" s="453" t="b">
        <f t="shared" si="7"/>
        <v>1</v>
      </c>
      <c r="AQ24" s="140">
        <f t="shared" si="29"/>
        <v>1.5</v>
      </c>
      <c r="AR24" s="141" t="str">
        <f t="shared" si="8"/>
        <v/>
      </c>
      <c r="AS24" s="142">
        <f t="shared" si="30"/>
        <v>0</v>
      </c>
      <c r="AT24" s="141" t="str">
        <f t="shared" si="9"/>
        <v/>
      </c>
      <c r="AU24" s="143">
        <f t="shared" si="10"/>
        <v>0</v>
      </c>
      <c r="AV24" s="144" t="str">
        <f t="shared" si="11"/>
        <v/>
      </c>
      <c r="AW24" s="143" t="b">
        <f t="shared" si="12"/>
        <v>0</v>
      </c>
      <c r="AX24" s="145" t="b">
        <f t="shared" si="13"/>
        <v>1</v>
      </c>
      <c r="AY24" s="143" t="b">
        <f t="shared" si="14"/>
        <v>0</v>
      </c>
      <c r="AZ24" s="145" t="b">
        <f t="shared" si="15"/>
        <v>0</v>
      </c>
      <c r="BA24" s="453" t="b">
        <f t="shared" si="16"/>
        <v>0</v>
      </c>
      <c r="BB24" s="453" t="b">
        <f t="shared" si="17"/>
        <v>0</v>
      </c>
      <c r="BC24" s="143" t="b">
        <f t="shared" si="18"/>
        <v>0</v>
      </c>
      <c r="BD24" s="146" t="b">
        <f t="shared" si="31"/>
        <v>0</v>
      </c>
      <c r="BE24" s="145" t="b">
        <f t="shared" si="37"/>
        <v>0</v>
      </c>
      <c r="BF24" s="147" t="b">
        <f t="shared" si="20"/>
        <v>0</v>
      </c>
      <c r="BG24" s="453" t="b">
        <f t="shared" si="38"/>
        <v>1</v>
      </c>
      <c r="BH24" s="453">
        <f t="shared" si="32"/>
        <v>1</v>
      </c>
      <c r="BI24" s="453">
        <f t="shared" si="22"/>
        <v>2</v>
      </c>
      <c r="BJ24" s="453" t="str">
        <f t="shared" si="23"/>
        <v>2*</v>
      </c>
      <c r="BK24" s="453">
        <f t="shared" si="24"/>
        <v>3</v>
      </c>
      <c r="BL24" s="148">
        <f t="shared" si="33"/>
        <v>1</v>
      </c>
      <c r="BM24" s="453">
        <f t="shared" si="25"/>
        <v>2</v>
      </c>
      <c r="BN24" s="453">
        <f t="shared" si="26"/>
        <v>3</v>
      </c>
      <c r="BO24" s="936"/>
      <c r="BP24" s="300" t="s">
        <v>362</v>
      </c>
      <c r="BQ24" s="165">
        <f t="shared" si="36"/>
        <v>0.6</v>
      </c>
      <c r="BR24" s="166">
        <f t="shared" si="36"/>
        <v>0.9</v>
      </c>
      <c r="BS24" s="166">
        <f t="shared" si="36"/>
        <v>0.93330000000000002</v>
      </c>
      <c r="BT24" s="166">
        <f t="shared" si="36"/>
        <v>0.9667</v>
      </c>
      <c r="BU24" s="167">
        <f t="shared" si="36"/>
        <v>1</v>
      </c>
    </row>
    <row r="25" spans="2:73" s="94" customFormat="1" ht="12.95" customHeight="1" x14ac:dyDescent="0.2">
      <c r="B25" s="151">
        <f>IF(ISNA(Z25),"",IF(OR(Z25=1,Z25=2),"    ",MAX($B$8:B24)+1))</f>
        <v>14</v>
      </c>
      <c r="C25" s="904" t="str">
        <f t="shared" si="0"/>
        <v xml:space="preserve">      - CR 2g Stall App and Prevent (3.6%) Bonus</v>
      </c>
      <c r="D25" s="904"/>
      <c r="E25" s="904"/>
      <c r="F25" s="905"/>
      <c r="G25" s="133">
        <f t="shared" si="1"/>
        <v>0</v>
      </c>
      <c r="H25" s="134" t="str">
        <f t="shared" si="2"/>
        <v>1</v>
      </c>
      <c r="I25" s="152">
        <f t="shared" si="2"/>
        <v>2</v>
      </c>
      <c r="J25" s="157"/>
      <c r="K25" s="154"/>
      <c r="L25" s="1015"/>
      <c r="M25" s="1016"/>
      <c r="N25" s="1016"/>
      <c r="O25" s="1016"/>
      <c r="P25" s="1016"/>
      <c r="Q25" s="1016"/>
      <c r="R25" s="1017"/>
      <c r="T25" s="99">
        <v>18</v>
      </c>
      <c r="U25" s="88" t="s">
        <v>798</v>
      </c>
      <c r="V25" s="453">
        <v>0</v>
      </c>
      <c r="W25" s="453" t="s">
        <v>340</v>
      </c>
      <c r="X25" s="453" t="s">
        <v>340</v>
      </c>
      <c r="Y25" s="453">
        <v>0.5</v>
      </c>
      <c r="Z25" s="146" t="s">
        <v>340</v>
      </c>
      <c r="AA25" s="146">
        <v>2</v>
      </c>
      <c r="AB25" s="146">
        <v>1</v>
      </c>
      <c r="AC25" s="453">
        <v>2</v>
      </c>
      <c r="AD25" s="453">
        <v>1</v>
      </c>
      <c r="AE25" s="453">
        <v>0</v>
      </c>
      <c r="AF25" s="453" t="b">
        <v>1</v>
      </c>
      <c r="AG25" s="453">
        <f t="shared" si="3"/>
        <v>2</v>
      </c>
      <c r="AH25" s="453">
        <f t="shared" si="4"/>
        <v>1</v>
      </c>
      <c r="AI25" s="138">
        <f>IF(NOT(OR(Z25=1,Z25=2)),IF(AQ25&gt;0,$AR$44*AQ25/SUMIF($AQ$8:$AQ$39,"&gt;0"),IF(AU25&gt;0,$AV$44*AU25/SUMIF($AU$8:$AU$39,"&gt;0"),IF(AS25&gt;0,$AT$44*AS25/SUMIF($AS$8:$AS$39,"&gt;0"),""))),IF(SUMIF(AJ26:$AJ$39,"=" &amp; AJ25,AI26:$AI$39)=0,"",SUMIF(AJ26:$AJ$39,"=" &amp; AJ25,AI26:$AI$39)))</f>
        <v>3.5714285714285712E-2</v>
      </c>
      <c r="AJ25" s="139">
        <f t="shared" si="34"/>
        <v>3</v>
      </c>
      <c r="AK25" s="453">
        <f t="shared" si="27"/>
        <v>1</v>
      </c>
      <c r="AL25" s="146" t="str">
        <f t="shared" si="28"/>
        <v/>
      </c>
      <c r="AM25" s="146" t="str">
        <f t="shared" si="35"/>
        <v/>
      </c>
      <c r="AN25" s="146" t="str">
        <f t="shared" si="5"/>
        <v/>
      </c>
      <c r="AO25" s="146" t="str">
        <f t="shared" si="6"/>
        <v/>
      </c>
      <c r="AP25" s="453" t="str">
        <f t="shared" si="7"/>
        <v/>
      </c>
      <c r="AQ25" s="140">
        <f t="shared" si="29"/>
        <v>0</v>
      </c>
      <c r="AR25" s="141" t="str">
        <f t="shared" si="8"/>
        <v/>
      </c>
      <c r="AS25" s="142">
        <f t="shared" si="30"/>
        <v>0</v>
      </c>
      <c r="AT25" s="141" t="str">
        <f t="shared" si="9"/>
        <v/>
      </c>
      <c r="AU25" s="143">
        <f t="shared" si="10"/>
        <v>0.5</v>
      </c>
      <c r="AV25" s="144" t="str">
        <f t="shared" si="11"/>
        <v/>
      </c>
      <c r="AW25" s="143" t="b">
        <f t="shared" si="12"/>
        <v>0</v>
      </c>
      <c r="AX25" s="145" t="b">
        <f t="shared" si="13"/>
        <v>0</v>
      </c>
      <c r="AY25" s="143" t="b">
        <f t="shared" si="14"/>
        <v>0</v>
      </c>
      <c r="AZ25" s="145" t="b">
        <f t="shared" si="15"/>
        <v>0</v>
      </c>
      <c r="BA25" s="453" t="b">
        <f t="shared" si="16"/>
        <v>0</v>
      </c>
      <c r="BB25" s="453" t="b">
        <f t="shared" si="17"/>
        <v>0</v>
      </c>
      <c r="BC25" s="143" t="b">
        <f t="shared" si="18"/>
        <v>0</v>
      </c>
      <c r="BD25" s="146" t="b">
        <f t="shared" si="31"/>
        <v>0</v>
      </c>
      <c r="BE25" s="145" t="b">
        <f t="shared" si="37"/>
        <v>0</v>
      </c>
      <c r="BF25" s="147" t="b">
        <f t="shared" si="20"/>
        <v>0</v>
      </c>
      <c r="BG25" s="453" t="b">
        <f t="shared" si="38"/>
        <v>0</v>
      </c>
      <c r="BH25" s="453">
        <f t="shared" si="32"/>
        <v>0</v>
      </c>
      <c r="BI25" s="453">
        <f t="shared" si="22"/>
        <v>1</v>
      </c>
      <c r="BJ25" s="453" t="str">
        <f t="shared" si="23"/>
        <v>1</v>
      </c>
      <c r="BK25" s="453">
        <f t="shared" si="24"/>
        <v>2</v>
      </c>
      <c r="BL25" s="148" t="str">
        <f t="shared" si="33"/>
        <v/>
      </c>
      <c r="BM25" s="453" t="str">
        <f t="shared" si="25"/>
        <v/>
      </c>
      <c r="BN25" s="453" t="str">
        <f t="shared" si="26"/>
        <v/>
      </c>
      <c r="BO25" s="936"/>
      <c r="BP25" s="300" t="s">
        <v>363</v>
      </c>
      <c r="BQ25" s="165">
        <f t="shared" si="36"/>
        <v>0.6</v>
      </c>
      <c r="BR25" s="166">
        <f t="shared" si="36"/>
        <v>0.7</v>
      </c>
      <c r="BS25" s="166">
        <f t="shared" si="36"/>
        <v>0.9</v>
      </c>
      <c r="BT25" s="166">
        <f t="shared" si="36"/>
        <v>0.95</v>
      </c>
      <c r="BU25" s="167">
        <f t="shared" si="36"/>
        <v>1</v>
      </c>
    </row>
    <row r="26" spans="2:73" s="94" customFormat="1" ht="12.95" customHeight="1" x14ac:dyDescent="0.2">
      <c r="B26" s="151">
        <f>IF(ISNA(Z26),"",IF(OR(Z26=1,Z26=2),"    ",MAX($B$8:B25)+1))</f>
        <v>15</v>
      </c>
      <c r="C26" s="904" t="str">
        <f t="shared" si="0"/>
        <v xml:space="preserve">      - Lift Boundary Determination (5.7%)</v>
      </c>
      <c r="D26" s="904"/>
      <c r="E26" s="904"/>
      <c r="F26" s="905"/>
      <c r="G26" s="133">
        <f t="shared" si="1"/>
        <v>1</v>
      </c>
      <c r="H26" s="134" t="str">
        <f t="shared" si="2"/>
        <v>1*</v>
      </c>
      <c r="I26" s="152">
        <f t="shared" si="2"/>
        <v>3</v>
      </c>
      <c r="J26" s="157"/>
      <c r="K26" s="154"/>
      <c r="L26" s="1015"/>
      <c r="M26" s="1016"/>
      <c r="N26" s="1016"/>
      <c r="O26" s="1016"/>
      <c r="P26" s="1016"/>
      <c r="Q26" s="1016"/>
      <c r="R26" s="1017"/>
      <c r="T26" s="99">
        <v>19</v>
      </c>
      <c r="U26" s="88" t="s">
        <v>557</v>
      </c>
      <c r="V26" s="453">
        <v>1</v>
      </c>
      <c r="W26" s="453">
        <v>1</v>
      </c>
      <c r="X26" s="453" t="s">
        <v>340</v>
      </c>
      <c r="Y26" s="453" t="s">
        <v>340</v>
      </c>
      <c r="Z26" s="146" t="s">
        <v>340</v>
      </c>
      <c r="AA26" s="146">
        <v>2</v>
      </c>
      <c r="AB26" s="146">
        <v>1</v>
      </c>
      <c r="AC26" s="453">
        <v>3</v>
      </c>
      <c r="AD26" s="453">
        <v>1</v>
      </c>
      <c r="AE26" s="453">
        <v>1</v>
      </c>
      <c r="AF26" s="453" t="b">
        <v>1</v>
      </c>
      <c r="AG26" s="453">
        <f t="shared" si="3"/>
        <v>3</v>
      </c>
      <c r="AH26" s="453">
        <f t="shared" si="4"/>
        <v>2</v>
      </c>
      <c r="AI26" s="138">
        <f>IF(NOT(OR(Z26=1,Z26=2)),IF(AQ26&gt;0,$AR$44*AQ26/SUMIF($AQ$8:$AQ$39,"&gt;0"),IF(AU26&gt;0,$AV$44*AU26/SUMIF($AU$8:$AU$39,"&gt;0"),IF(AS26&gt;0,$AT$44*AS26/SUMIF($AS$8:$AS$39,"&gt;0"),""))),IF(SUMIF(AJ27:$AJ$39,"=" &amp; AJ26,AI27:$AI$39)=0,"",SUMIF(AJ27:$AJ$39,"=" &amp; AJ26,AI27:$AI$39)))</f>
        <v>5.7142857142857148E-2</v>
      </c>
      <c r="AJ26" s="139">
        <f t="shared" si="34"/>
        <v>3</v>
      </c>
      <c r="AK26" s="453">
        <f t="shared" si="27"/>
        <v>1</v>
      </c>
      <c r="AL26" s="146" t="str">
        <f t="shared" si="28"/>
        <v/>
      </c>
      <c r="AM26" s="146" t="str">
        <f t="shared" si="35"/>
        <v/>
      </c>
      <c r="AN26" s="146" t="str">
        <f t="shared" si="5"/>
        <v/>
      </c>
      <c r="AO26" s="146" t="str">
        <f t="shared" si="6"/>
        <v/>
      </c>
      <c r="AP26" s="453" t="b">
        <f t="shared" si="7"/>
        <v>1</v>
      </c>
      <c r="AQ26" s="140">
        <f t="shared" si="29"/>
        <v>1</v>
      </c>
      <c r="AR26" s="141" t="str">
        <f t="shared" si="8"/>
        <v/>
      </c>
      <c r="AS26" s="142">
        <f t="shared" si="30"/>
        <v>0</v>
      </c>
      <c r="AT26" s="141" t="str">
        <f t="shared" si="9"/>
        <v/>
      </c>
      <c r="AU26" s="143">
        <f t="shared" si="10"/>
        <v>0</v>
      </c>
      <c r="AV26" s="144" t="str">
        <f t="shared" si="11"/>
        <v/>
      </c>
      <c r="AW26" s="143" t="b">
        <f t="shared" si="12"/>
        <v>0</v>
      </c>
      <c r="AX26" s="145" t="b">
        <f t="shared" si="13"/>
        <v>1</v>
      </c>
      <c r="AY26" s="143" t="b">
        <f t="shared" si="14"/>
        <v>0</v>
      </c>
      <c r="AZ26" s="145" t="b">
        <f t="shared" si="15"/>
        <v>0</v>
      </c>
      <c r="BA26" s="453" t="b">
        <f t="shared" si="16"/>
        <v>0</v>
      </c>
      <c r="BB26" s="453" t="b">
        <f t="shared" si="17"/>
        <v>0</v>
      </c>
      <c r="BC26" s="143" t="b">
        <f t="shared" si="18"/>
        <v>0</v>
      </c>
      <c r="BD26" s="146" t="b">
        <f t="shared" si="31"/>
        <v>0</v>
      </c>
      <c r="BE26" s="145" t="b">
        <f t="shared" si="37"/>
        <v>0</v>
      </c>
      <c r="BF26" s="147" t="b">
        <f t="shared" si="20"/>
        <v>0</v>
      </c>
      <c r="BG26" s="453" t="b">
        <f t="shared" si="38"/>
        <v>1</v>
      </c>
      <c r="BH26" s="453">
        <f t="shared" si="32"/>
        <v>1</v>
      </c>
      <c r="BI26" s="453">
        <f t="shared" si="22"/>
        <v>1</v>
      </c>
      <c r="BJ26" s="453" t="str">
        <f t="shared" si="23"/>
        <v>1*</v>
      </c>
      <c r="BK26" s="453">
        <f t="shared" si="24"/>
        <v>3</v>
      </c>
      <c r="BL26" s="148">
        <f t="shared" si="33"/>
        <v>1</v>
      </c>
      <c r="BM26" s="453">
        <f t="shared" si="25"/>
        <v>1</v>
      </c>
      <c r="BN26" s="453">
        <f t="shared" si="26"/>
        <v>3</v>
      </c>
      <c r="BO26" s="936"/>
      <c r="BP26" s="300" t="s">
        <v>364</v>
      </c>
      <c r="BQ26" s="165">
        <f t="shared" si="36"/>
        <v>0.6</v>
      </c>
      <c r="BR26" s="166">
        <f t="shared" si="36"/>
        <v>0.7</v>
      </c>
      <c r="BS26" s="166">
        <f t="shared" si="36"/>
        <v>0.8</v>
      </c>
      <c r="BT26" s="166">
        <f t="shared" si="36"/>
        <v>0.9</v>
      </c>
      <c r="BU26" s="167">
        <f t="shared" si="36"/>
        <v>1</v>
      </c>
    </row>
    <row r="27" spans="2:73" s="94" customFormat="1" ht="12.95" customHeight="1" x14ac:dyDescent="0.2">
      <c r="B27" s="151" t="str">
        <f>IF(ISNA(Z27),"",IF(OR(Z27=1,Z27=2),"    ",MAX($B$8:B26)+1))</f>
        <v xml:space="preserve">    </v>
      </c>
      <c r="C27" s="904" t="str">
        <f t="shared" si="0"/>
        <v>High AOA Demonstrations (11.4%)</v>
      </c>
      <c r="D27" s="904"/>
      <c r="E27" s="904"/>
      <c r="F27" s="905"/>
      <c r="G27" s="133" t="str">
        <f t="shared" si="1"/>
        <v/>
      </c>
      <c r="H27" s="134" t="str">
        <f t="shared" si="2"/>
        <v/>
      </c>
      <c r="I27" s="152" t="str">
        <f t="shared" si="2"/>
        <v/>
      </c>
      <c r="J27" s="158"/>
      <c r="K27" s="159"/>
      <c r="L27" s="1015"/>
      <c r="M27" s="1016"/>
      <c r="N27" s="1016"/>
      <c r="O27" s="1016"/>
      <c r="P27" s="1016"/>
      <c r="Q27" s="1016"/>
      <c r="R27" s="1017"/>
      <c r="T27" s="99">
        <v>20</v>
      </c>
      <c r="U27" s="88" t="s">
        <v>799</v>
      </c>
      <c r="V27" s="453" t="s">
        <v>340</v>
      </c>
      <c r="W27" s="453" t="s">
        <v>340</v>
      </c>
      <c r="X27" s="453" t="s">
        <v>340</v>
      </c>
      <c r="Y27" s="453" t="s">
        <v>340</v>
      </c>
      <c r="Z27" s="146">
        <v>2</v>
      </c>
      <c r="AA27" s="146">
        <v>1</v>
      </c>
      <c r="AB27" s="146">
        <v>1</v>
      </c>
      <c r="AC27" s="453" t="s">
        <v>340</v>
      </c>
      <c r="AD27" s="453" t="s">
        <v>340</v>
      </c>
      <c r="AE27" s="453" t="s">
        <v>340</v>
      </c>
      <c r="AF27" s="453" t="s">
        <v>340</v>
      </c>
      <c r="AG27" s="453" t="str">
        <f t="shared" si="3"/>
        <v/>
      </c>
      <c r="AH27" s="453" t="str">
        <f t="shared" si="4"/>
        <v/>
      </c>
      <c r="AI27" s="138">
        <f>IF(NOT(OR(Z27=1,Z27=2)),IF(AQ27&gt;0,$AR$44*AQ27/SUMIF($AQ$8:$AQ$39,"&gt;0"),IF(AU27&gt;0,$AV$44*AU27/SUMIF($AU$8:$AU$39,"&gt;0"),IF(AS27&gt;0,$AT$44*AS27/SUMIF($AS$8:$AS$39,"&gt;0"),""))),IF(SUMIF(AJ28:$AJ$39,"=" &amp; AJ27,AI28:$AI$39)=0,"",SUMIF(AJ28:$AJ$39,"=" &amp; AJ27,AI28:$AI$39)))</f>
        <v>0.1142857142857143</v>
      </c>
      <c r="AJ27" s="139">
        <f t="shared" si="34"/>
        <v>4</v>
      </c>
      <c r="AK27" s="453" t="str">
        <f t="shared" si="27"/>
        <v/>
      </c>
      <c r="AL27" s="146" t="str">
        <f t="shared" si="28"/>
        <v/>
      </c>
      <c r="AM27" s="146" t="str">
        <f t="shared" si="35"/>
        <v/>
      </c>
      <c r="AN27" s="146" t="str">
        <f t="shared" si="5"/>
        <v/>
      </c>
      <c r="AO27" s="146" t="str">
        <f t="shared" si="6"/>
        <v/>
      </c>
      <c r="AP27" s="453" t="str">
        <f t="shared" si="7"/>
        <v/>
      </c>
      <c r="AQ27" s="140">
        <f t="shared" si="29"/>
        <v>0</v>
      </c>
      <c r="AR27" s="141" t="str">
        <f t="shared" si="8"/>
        <v/>
      </c>
      <c r="AS27" s="142">
        <f t="shared" si="30"/>
        <v>0</v>
      </c>
      <c r="AT27" s="141" t="str">
        <f t="shared" si="9"/>
        <v/>
      </c>
      <c r="AU27" s="143">
        <f t="shared" si="10"/>
        <v>0</v>
      </c>
      <c r="AV27" s="144" t="str">
        <f t="shared" si="11"/>
        <v/>
      </c>
      <c r="AW27" s="143" t="b">
        <f t="shared" si="12"/>
        <v>0</v>
      </c>
      <c r="AX27" s="145" t="b">
        <f t="shared" si="13"/>
        <v>0</v>
      </c>
      <c r="AY27" s="143" t="b">
        <f t="shared" si="14"/>
        <v>0</v>
      </c>
      <c r="AZ27" s="145" t="b">
        <f t="shared" si="15"/>
        <v>0</v>
      </c>
      <c r="BA27" s="453" t="b">
        <f t="shared" si="16"/>
        <v>0</v>
      </c>
      <c r="BB27" s="453" t="b">
        <f t="shared" si="17"/>
        <v>0</v>
      </c>
      <c r="BC27" s="143" t="b">
        <f t="shared" si="18"/>
        <v>0</v>
      </c>
      <c r="BD27" s="146" t="b">
        <f t="shared" si="31"/>
        <v>0</v>
      </c>
      <c r="BE27" s="145" t="b">
        <f t="shared" si="37"/>
        <v>0</v>
      </c>
      <c r="BF27" s="147" t="b">
        <f t="shared" si="20"/>
        <v>0</v>
      </c>
      <c r="BG27" s="453" t="b">
        <f t="shared" si="38"/>
        <v>0</v>
      </c>
      <c r="BH27" s="453" t="str">
        <f t="shared" si="32"/>
        <v/>
      </c>
      <c r="BI27" s="453" t="str">
        <f t="shared" si="22"/>
        <v/>
      </c>
      <c r="BJ27" s="453" t="str">
        <f t="shared" si="23"/>
        <v/>
      </c>
      <c r="BK27" s="453" t="str">
        <f t="shared" si="24"/>
        <v/>
      </c>
      <c r="BL27" s="148" t="str">
        <f t="shared" si="33"/>
        <v/>
      </c>
      <c r="BM27" s="453" t="str">
        <f t="shared" si="25"/>
        <v/>
      </c>
      <c r="BN27" s="453" t="str">
        <f t="shared" si="26"/>
        <v/>
      </c>
      <c r="BO27" s="936"/>
      <c r="BP27" s="300" t="s">
        <v>365</v>
      </c>
      <c r="BQ27" s="165">
        <f t="shared" si="36"/>
        <v>0.3</v>
      </c>
      <c r="BR27" s="166">
        <f t="shared" si="36"/>
        <v>0.6</v>
      </c>
      <c r="BS27" s="166">
        <f t="shared" si="36"/>
        <v>0.9</v>
      </c>
      <c r="BT27" s="166">
        <f t="shared" si="36"/>
        <v>0.95</v>
      </c>
      <c r="BU27" s="167">
        <f t="shared" si="36"/>
        <v>1</v>
      </c>
    </row>
    <row r="28" spans="2:73" s="94" customFormat="1" ht="12.95" customHeight="1" x14ac:dyDescent="0.2">
      <c r="B28" s="151">
        <f>IF(ISNA(Z28),"",IF(OR(Z28=1,Z28=2),"    ",MAX($B$8:B27)+1))</f>
        <v>16</v>
      </c>
      <c r="C28" s="904" t="str">
        <f t="shared" si="0"/>
        <v xml:space="preserve">      - Stab Demo (2.9%)</v>
      </c>
      <c r="D28" s="904"/>
      <c r="E28" s="904"/>
      <c r="F28" s="905"/>
      <c r="G28" s="133">
        <f t="shared" si="1"/>
        <v>1</v>
      </c>
      <c r="H28" s="134" t="str">
        <f t="shared" si="2"/>
        <v>1</v>
      </c>
      <c r="I28" s="152">
        <f t="shared" si="2"/>
        <v>3</v>
      </c>
      <c r="J28" s="157"/>
      <c r="K28" s="154"/>
      <c r="L28" s="1015"/>
      <c r="M28" s="1016"/>
      <c r="N28" s="1016"/>
      <c r="O28" s="1016"/>
      <c r="P28" s="1016"/>
      <c r="Q28" s="1016"/>
      <c r="R28" s="1017"/>
      <c r="T28" s="99">
        <v>21</v>
      </c>
      <c r="U28" s="88" t="s">
        <v>800</v>
      </c>
      <c r="V28" s="453">
        <v>1</v>
      </c>
      <c r="W28" s="453">
        <v>0.5</v>
      </c>
      <c r="X28" s="453" t="s">
        <v>340</v>
      </c>
      <c r="Y28" s="453" t="s">
        <v>340</v>
      </c>
      <c r="Z28" s="146" t="s">
        <v>340</v>
      </c>
      <c r="AA28" s="146">
        <v>2</v>
      </c>
      <c r="AB28" s="146">
        <v>1</v>
      </c>
      <c r="AC28" s="453">
        <v>3</v>
      </c>
      <c r="AD28" s="453">
        <v>1</v>
      </c>
      <c r="AE28" s="453">
        <v>0</v>
      </c>
      <c r="AF28" s="453" t="b">
        <v>1</v>
      </c>
      <c r="AG28" s="453">
        <f t="shared" si="3"/>
        <v>3</v>
      </c>
      <c r="AH28" s="453">
        <f t="shared" si="4"/>
        <v>2</v>
      </c>
      <c r="AI28" s="138">
        <f>IF(NOT(OR(Z28=1,Z28=2)),IF(AQ28&gt;0,$AR$44*AQ28/SUMIF($AQ$8:$AQ$39,"&gt;0"),IF(AU28&gt;0,$AV$44*AU28/SUMIF($AU$8:$AU$39,"&gt;0"),IF(AS28&gt;0,$AT$44*AS28/SUMIF($AS$8:$AS$39,"&gt;0"),""))),IF(SUMIF(AJ29:$AJ$39,"=" &amp; AJ28,AI29:$AI$39)=0,"",SUMIF(AJ29:$AJ$39,"=" &amp; AJ28,AI29:$AI$39)))</f>
        <v>2.8571428571428574E-2</v>
      </c>
      <c r="AJ28" s="139">
        <f t="shared" si="34"/>
        <v>4</v>
      </c>
      <c r="AK28" s="453">
        <f t="shared" si="27"/>
        <v>1</v>
      </c>
      <c r="AL28" s="146" t="str">
        <f t="shared" si="28"/>
        <v/>
      </c>
      <c r="AM28" s="146" t="str">
        <f t="shared" si="35"/>
        <v/>
      </c>
      <c r="AN28" s="146" t="str">
        <f t="shared" si="5"/>
        <v/>
      </c>
      <c r="AO28" s="146" t="str">
        <f t="shared" si="6"/>
        <v/>
      </c>
      <c r="AP28" s="453" t="b">
        <f t="shared" si="7"/>
        <v>1</v>
      </c>
      <c r="AQ28" s="140">
        <f t="shared" si="29"/>
        <v>0.5</v>
      </c>
      <c r="AR28" s="141" t="str">
        <f t="shared" si="8"/>
        <v/>
      </c>
      <c r="AS28" s="142">
        <f t="shared" si="30"/>
        <v>0</v>
      </c>
      <c r="AT28" s="141" t="str">
        <f t="shared" si="9"/>
        <v/>
      </c>
      <c r="AU28" s="143">
        <f t="shared" si="10"/>
        <v>0</v>
      </c>
      <c r="AV28" s="144" t="str">
        <f t="shared" si="11"/>
        <v/>
      </c>
      <c r="AW28" s="143" t="b">
        <f t="shared" si="12"/>
        <v>0</v>
      </c>
      <c r="AX28" s="145" t="b">
        <f t="shared" si="13"/>
        <v>1</v>
      </c>
      <c r="AY28" s="143" t="b">
        <f t="shared" si="14"/>
        <v>0</v>
      </c>
      <c r="AZ28" s="145" t="b">
        <f t="shared" si="15"/>
        <v>0</v>
      </c>
      <c r="BA28" s="453" t="b">
        <f t="shared" si="16"/>
        <v>0</v>
      </c>
      <c r="BB28" s="453" t="b">
        <f t="shared" si="17"/>
        <v>0</v>
      </c>
      <c r="BC28" s="143" t="b">
        <f t="shared" si="18"/>
        <v>0</v>
      </c>
      <c r="BD28" s="146" t="b">
        <f t="shared" si="31"/>
        <v>0</v>
      </c>
      <c r="BE28" s="145" t="b">
        <f t="shared" si="37"/>
        <v>0</v>
      </c>
      <c r="BF28" s="147" t="b">
        <f t="shared" si="20"/>
        <v>0</v>
      </c>
      <c r="BG28" s="453" t="b">
        <f t="shared" si="38"/>
        <v>1</v>
      </c>
      <c r="BH28" s="453">
        <f t="shared" si="32"/>
        <v>1</v>
      </c>
      <c r="BI28" s="453">
        <f t="shared" si="22"/>
        <v>1</v>
      </c>
      <c r="BJ28" s="453" t="str">
        <f t="shared" si="23"/>
        <v>1</v>
      </c>
      <c r="BK28" s="453">
        <f t="shared" si="24"/>
        <v>3</v>
      </c>
      <c r="BL28" s="148">
        <f t="shared" si="33"/>
        <v>1</v>
      </c>
      <c r="BM28" s="453">
        <f t="shared" si="25"/>
        <v>1</v>
      </c>
      <c r="BN28" s="453">
        <f t="shared" si="26"/>
        <v>3</v>
      </c>
      <c r="BO28" s="936"/>
      <c r="BP28" s="300" t="s">
        <v>366</v>
      </c>
      <c r="BQ28" s="165">
        <f t="shared" si="36"/>
        <v>0.3</v>
      </c>
      <c r="BR28" s="166">
        <f t="shared" si="36"/>
        <v>0.6</v>
      </c>
      <c r="BS28" s="166">
        <f t="shared" si="36"/>
        <v>0.7</v>
      </c>
      <c r="BT28" s="166">
        <f t="shared" si="36"/>
        <v>0.9</v>
      </c>
      <c r="BU28" s="167">
        <f t="shared" si="36"/>
        <v>1</v>
      </c>
    </row>
    <row r="29" spans="2:73" s="94" customFormat="1" ht="12.95" customHeight="1" x14ac:dyDescent="0.2">
      <c r="B29" s="151">
        <f>IF(ISNA(Z29),"",IF(OR(Z29=1,Z29=2),"    ",MAX($B$8:B28)+1))</f>
        <v>17</v>
      </c>
      <c r="C29" s="904" t="str">
        <f t="shared" si="0"/>
        <v xml:space="preserve">      - 50/50 Loop (2.9%)</v>
      </c>
      <c r="D29" s="904"/>
      <c r="E29" s="904"/>
      <c r="F29" s="905"/>
      <c r="G29" s="133">
        <f t="shared" si="1"/>
        <v>1</v>
      </c>
      <c r="H29" s="134" t="str">
        <f t="shared" si="2"/>
        <v>1</v>
      </c>
      <c r="I29" s="152">
        <f t="shared" si="2"/>
        <v>3</v>
      </c>
      <c r="J29" s="157"/>
      <c r="K29" s="154"/>
      <c r="L29" s="1015"/>
      <c r="M29" s="1016"/>
      <c r="N29" s="1016"/>
      <c r="O29" s="1016"/>
      <c r="P29" s="1016"/>
      <c r="Q29" s="1016"/>
      <c r="R29" s="1017"/>
      <c r="T29" s="99">
        <v>22</v>
      </c>
      <c r="U29" s="88" t="s">
        <v>801</v>
      </c>
      <c r="V29" s="453">
        <v>1</v>
      </c>
      <c r="W29" s="453">
        <v>0.5</v>
      </c>
      <c r="X29" s="453" t="s">
        <v>340</v>
      </c>
      <c r="Y29" s="453" t="s">
        <v>340</v>
      </c>
      <c r="Z29" s="146" t="s">
        <v>340</v>
      </c>
      <c r="AA29" s="146">
        <v>2</v>
      </c>
      <c r="AB29" s="146">
        <v>1</v>
      </c>
      <c r="AC29" s="453">
        <v>3</v>
      </c>
      <c r="AD29" s="453">
        <v>1</v>
      </c>
      <c r="AE29" s="453">
        <v>0</v>
      </c>
      <c r="AF29" s="453" t="b">
        <v>1</v>
      </c>
      <c r="AG29" s="453">
        <f t="shared" si="3"/>
        <v>3</v>
      </c>
      <c r="AH29" s="453">
        <f t="shared" si="4"/>
        <v>2</v>
      </c>
      <c r="AI29" s="138">
        <f>IF(NOT(OR(Z29=1,Z29=2)),IF(AQ29&gt;0,$AR$44*AQ29/SUMIF($AQ$8:$AQ$39,"&gt;0"),IF(AU29&gt;0,$AV$44*AU29/SUMIF($AU$8:$AU$39,"&gt;0"),IF(AS29&gt;0,$AT$44*AS29/SUMIF($AS$8:$AS$39,"&gt;0"),""))),IF(SUMIF(AJ30:$AJ$39,"=" &amp; AJ29,AI30:$AI$39)=0,"",SUMIF(AJ30:$AJ$39,"=" &amp; AJ29,AI30:$AI$39)))</f>
        <v>2.8571428571428574E-2</v>
      </c>
      <c r="AJ29" s="139">
        <f t="shared" si="34"/>
        <v>4</v>
      </c>
      <c r="AK29" s="453">
        <f t="shared" si="27"/>
        <v>1</v>
      </c>
      <c r="AL29" s="146" t="str">
        <f t="shared" si="28"/>
        <v/>
      </c>
      <c r="AM29" s="146" t="str">
        <f t="shared" si="35"/>
        <v/>
      </c>
      <c r="AN29" s="146" t="str">
        <f t="shared" si="5"/>
        <v/>
      </c>
      <c r="AO29" s="146" t="str">
        <f t="shared" si="6"/>
        <v/>
      </c>
      <c r="AP29" s="453" t="b">
        <f t="shared" si="7"/>
        <v>1</v>
      </c>
      <c r="AQ29" s="140">
        <f t="shared" si="29"/>
        <v>0.5</v>
      </c>
      <c r="AR29" s="141" t="str">
        <f t="shared" si="8"/>
        <v/>
      </c>
      <c r="AS29" s="142">
        <f t="shared" si="30"/>
        <v>0</v>
      </c>
      <c r="AT29" s="141" t="str">
        <f t="shared" si="9"/>
        <v/>
      </c>
      <c r="AU29" s="143">
        <f t="shared" si="10"/>
        <v>0</v>
      </c>
      <c r="AV29" s="144" t="str">
        <f t="shared" si="11"/>
        <v/>
      </c>
      <c r="AW29" s="143" t="b">
        <f t="shared" si="12"/>
        <v>0</v>
      </c>
      <c r="AX29" s="145" t="b">
        <f t="shared" si="13"/>
        <v>1</v>
      </c>
      <c r="AY29" s="143" t="b">
        <f t="shared" si="14"/>
        <v>0</v>
      </c>
      <c r="AZ29" s="145" t="b">
        <f t="shared" si="15"/>
        <v>0</v>
      </c>
      <c r="BA29" s="453" t="b">
        <f t="shared" si="16"/>
        <v>0</v>
      </c>
      <c r="BB29" s="453" t="b">
        <f t="shared" si="17"/>
        <v>0</v>
      </c>
      <c r="BC29" s="143" t="b">
        <f t="shared" si="18"/>
        <v>0</v>
      </c>
      <c r="BD29" s="146" t="b">
        <f t="shared" si="31"/>
        <v>0</v>
      </c>
      <c r="BE29" s="145" t="b">
        <f t="shared" si="37"/>
        <v>0</v>
      </c>
      <c r="BF29" s="147" t="b">
        <f t="shared" si="20"/>
        <v>0</v>
      </c>
      <c r="BG29" s="453" t="b">
        <f t="shared" si="38"/>
        <v>1</v>
      </c>
      <c r="BH29" s="453">
        <f t="shared" si="32"/>
        <v>1</v>
      </c>
      <c r="BI29" s="453">
        <f t="shared" si="22"/>
        <v>1</v>
      </c>
      <c r="BJ29" s="453" t="str">
        <f t="shared" si="23"/>
        <v>1</v>
      </c>
      <c r="BK29" s="453">
        <f t="shared" si="24"/>
        <v>3</v>
      </c>
      <c r="BL29" s="148">
        <f t="shared" si="33"/>
        <v>1</v>
      </c>
      <c r="BM29" s="453">
        <f t="shared" si="25"/>
        <v>1</v>
      </c>
      <c r="BN29" s="453">
        <f t="shared" si="26"/>
        <v>3</v>
      </c>
      <c r="BO29" s="936"/>
      <c r="BP29" s="300" t="s">
        <v>367</v>
      </c>
      <c r="BQ29" s="168">
        <f t="shared" si="36"/>
        <v>0</v>
      </c>
      <c r="BR29" s="169">
        <f t="shared" si="36"/>
        <v>0.3</v>
      </c>
      <c r="BS29" s="169">
        <f t="shared" si="36"/>
        <v>0.6</v>
      </c>
      <c r="BT29" s="169">
        <f t="shared" si="36"/>
        <v>0.9</v>
      </c>
      <c r="BU29" s="170">
        <f t="shared" si="36"/>
        <v>1</v>
      </c>
    </row>
    <row r="30" spans="2:73" s="94" customFormat="1" ht="12.95" customHeight="1" x14ac:dyDescent="0.2">
      <c r="B30" s="151">
        <f>IF(ISNA(Z30),"",IF(OR(Z30=1,Z30=2),"    ",MAX($B$8:B29)+1))</f>
        <v>18</v>
      </c>
      <c r="C30" s="904" t="str">
        <f t="shared" si="0"/>
        <v xml:space="preserve">      - Full Aft Stick Sliceback (2.9%)</v>
      </c>
      <c r="D30" s="904"/>
      <c r="E30" s="904"/>
      <c r="F30" s="905"/>
      <c r="G30" s="133">
        <f t="shared" si="1"/>
        <v>1</v>
      </c>
      <c r="H30" s="134" t="str">
        <f t="shared" si="2"/>
        <v>1</v>
      </c>
      <c r="I30" s="152">
        <f t="shared" si="2"/>
        <v>3</v>
      </c>
      <c r="J30" s="157"/>
      <c r="K30" s="154"/>
      <c r="L30" s="1015"/>
      <c r="M30" s="1016"/>
      <c r="N30" s="1016"/>
      <c r="O30" s="1016"/>
      <c r="P30" s="1016"/>
      <c r="Q30" s="1016"/>
      <c r="R30" s="1017"/>
      <c r="T30" s="99">
        <v>23</v>
      </c>
      <c r="U30" s="88" t="s">
        <v>802</v>
      </c>
      <c r="V30" s="453">
        <v>1</v>
      </c>
      <c r="W30" s="453">
        <v>0.5</v>
      </c>
      <c r="X30" s="453" t="s">
        <v>340</v>
      </c>
      <c r="Y30" s="453" t="s">
        <v>340</v>
      </c>
      <c r="Z30" s="146" t="s">
        <v>340</v>
      </c>
      <c r="AA30" s="146">
        <v>2</v>
      </c>
      <c r="AB30" s="146">
        <v>1</v>
      </c>
      <c r="AC30" s="453">
        <v>3</v>
      </c>
      <c r="AD30" s="453">
        <v>1</v>
      </c>
      <c r="AE30" s="453">
        <v>0</v>
      </c>
      <c r="AF30" s="453" t="b">
        <v>1</v>
      </c>
      <c r="AG30" s="453">
        <f t="shared" si="3"/>
        <v>3</v>
      </c>
      <c r="AH30" s="453">
        <f t="shared" si="4"/>
        <v>2</v>
      </c>
      <c r="AI30" s="138">
        <f>IF(NOT(OR(Z30=1,Z30=2)),IF(AQ30&gt;0,$AR$44*AQ30/SUMIF($AQ$8:$AQ$39,"&gt;0"),IF(AU30&gt;0,$AV$44*AU30/SUMIF($AU$8:$AU$39,"&gt;0"),IF(AS30&gt;0,$AT$44*AS30/SUMIF($AS$8:$AS$39,"&gt;0"),""))),IF(SUMIF(AJ31:$AJ$39,"=" &amp; AJ30,AI31:$AI$39)=0,"",SUMIF(AJ31:$AJ$39,"=" &amp; AJ30,AI31:$AI$39)))</f>
        <v>2.8571428571428574E-2</v>
      </c>
      <c r="AJ30" s="139">
        <f t="shared" si="34"/>
        <v>4</v>
      </c>
      <c r="AK30" s="453">
        <f t="shared" si="27"/>
        <v>1</v>
      </c>
      <c r="AL30" s="146" t="str">
        <f t="shared" si="28"/>
        <v/>
      </c>
      <c r="AM30" s="146" t="str">
        <f t="shared" si="35"/>
        <v/>
      </c>
      <c r="AN30" s="146" t="str">
        <f t="shared" si="5"/>
        <v/>
      </c>
      <c r="AO30" s="146" t="str">
        <f t="shared" si="6"/>
        <v/>
      </c>
      <c r="AP30" s="453" t="b">
        <f t="shared" si="7"/>
        <v>1</v>
      </c>
      <c r="AQ30" s="140">
        <f t="shared" si="29"/>
        <v>0.5</v>
      </c>
      <c r="AR30" s="141" t="str">
        <f t="shared" si="8"/>
        <v/>
      </c>
      <c r="AS30" s="142">
        <f t="shared" si="30"/>
        <v>0</v>
      </c>
      <c r="AT30" s="141" t="str">
        <f t="shared" si="9"/>
        <v/>
      </c>
      <c r="AU30" s="143">
        <f t="shared" si="10"/>
        <v>0</v>
      </c>
      <c r="AV30" s="144" t="str">
        <f t="shared" si="11"/>
        <v/>
      </c>
      <c r="AW30" s="143" t="b">
        <f t="shared" si="12"/>
        <v>0</v>
      </c>
      <c r="AX30" s="145" t="b">
        <f t="shared" si="13"/>
        <v>1</v>
      </c>
      <c r="AY30" s="143" t="b">
        <f t="shared" si="14"/>
        <v>0</v>
      </c>
      <c r="AZ30" s="145" t="b">
        <f t="shared" si="15"/>
        <v>0</v>
      </c>
      <c r="BA30" s="453" t="b">
        <f t="shared" si="16"/>
        <v>0</v>
      </c>
      <c r="BB30" s="453" t="b">
        <f t="shared" si="17"/>
        <v>0</v>
      </c>
      <c r="BC30" s="143" t="b">
        <f t="shared" si="18"/>
        <v>0</v>
      </c>
      <c r="BD30" s="146" t="b">
        <f t="shared" si="31"/>
        <v>0</v>
      </c>
      <c r="BE30" s="145" t="b">
        <f t="shared" si="37"/>
        <v>0</v>
      </c>
      <c r="BF30" s="147" t="b">
        <f t="shared" si="20"/>
        <v>0</v>
      </c>
      <c r="BG30" s="453" t="b">
        <f t="shared" si="38"/>
        <v>1</v>
      </c>
      <c r="BH30" s="453">
        <f t="shared" si="32"/>
        <v>1</v>
      </c>
      <c r="BI30" s="453">
        <f t="shared" si="22"/>
        <v>1</v>
      </c>
      <c r="BJ30" s="453" t="str">
        <f t="shared" si="23"/>
        <v>1</v>
      </c>
      <c r="BK30" s="453">
        <f t="shared" si="24"/>
        <v>3</v>
      </c>
      <c r="BL30" s="148">
        <f t="shared" si="33"/>
        <v>1</v>
      </c>
      <c r="BM30" s="453">
        <f t="shared" si="25"/>
        <v>1</v>
      </c>
      <c r="BN30" s="453">
        <f t="shared" si="26"/>
        <v>3</v>
      </c>
      <c r="BO30" s="90"/>
    </row>
    <row r="31" spans="2:73" s="94" customFormat="1" ht="12.95" customHeight="1" x14ac:dyDescent="0.2">
      <c r="B31" s="151">
        <f>IF(ISNA(Z31),"",IF(OR(Z31=1,Z31=2),"    ",MAX($B$8:B30)+1))</f>
        <v>19</v>
      </c>
      <c r="C31" s="904" t="str">
        <f t="shared" si="0"/>
        <v xml:space="preserve">      - Full Aft Stick Climb (2.9%)</v>
      </c>
      <c r="D31" s="904"/>
      <c r="E31" s="904"/>
      <c r="F31" s="905"/>
      <c r="G31" s="133">
        <f t="shared" si="1"/>
        <v>1</v>
      </c>
      <c r="H31" s="134" t="str">
        <f t="shared" si="2"/>
        <v>1</v>
      </c>
      <c r="I31" s="152">
        <f t="shared" si="2"/>
        <v>2</v>
      </c>
      <c r="J31" s="157"/>
      <c r="K31" s="154"/>
      <c r="L31" s="1015"/>
      <c r="M31" s="1016"/>
      <c r="N31" s="1016"/>
      <c r="O31" s="1016"/>
      <c r="P31" s="1016"/>
      <c r="Q31" s="1016"/>
      <c r="R31" s="1017"/>
      <c r="T31" s="99">
        <v>24</v>
      </c>
      <c r="U31" s="88" t="s">
        <v>803</v>
      </c>
      <c r="V31" s="453">
        <v>1</v>
      </c>
      <c r="W31" s="453">
        <v>0.5</v>
      </c>
      <c r="X31" s="453" t="s">
        <v>340</v>
      </c>
      <c r="Y31" s="453" t="s">
        <v>340</v>
      </c>
      <c r="Z31" s="146" t="s">
        <v>340</v>
      </c>
      <c r="AA31" s="146">
        <v>2</v>
      </c>
      <c r="AB31" s="146">
        <v>1</v>
      </c>
      <c r="AC31" s="453">
        <v>2</v>
      </c>
      <c r="AD31" s="453">
        <v>1</v>
      </c>
      <c r="AE31" s="453">
        <v>0</v>
      </c>
      <c r="AF31" s="453" t="b">
        <v>1</v>
      </c>
      <c r="AG31" s="453">
        <f t="shared" si="3"/>
        <v>2</v>
      </c>
      <c r="AH31" s="453">
        <f t="shared" si="4"/>
        <v>1</v>
      </c>
      <c r="AI31" s="138">
        <f>IF(NOT(OR(Z31=1,Z31=2)),IF(AQ31&gt;0,$AR$44*AQ31/SUMIF($AQ$8:$AQ$39,"&gt;0"),IF(AU31&gt;0,$AV$44*AU31/SUMIF($AU$8:$AU$39,"&gt;0"),IF(AS31&gt;0,$AT$44*AS31/SUMIF($AS$8:$AS$39,"&gt;0"),""))),IF(SUMIF(AJ32:$AJ$39,"=" &amp; AJ31,AI32:$AI$39)=0,"",SUMIF(AJ32:$AJ$39,"=" &amp; AJ31,AI32:$AI$39)))</f>
        <v>2.8571428571428574E-2</v>
      </c>
      <c r="AJ31" s="139">
        <f t="shared" si="34"/>
        <v>4</v>
      </c>
      <c r="AK31" s="453">
        <f t="shared" si="27"/>
        <v>1</v>
      </c>
      <c r="AL31" s="146" t="str">
        <f t="shared" si="28"/>
        <v/>
      </c>
      <c r="AM31" s="146" t="str">
        <f t="shared" si="35"/>
        <v/>
      </c>
      <c r="AN31" s="146" t="str">
        <f t="shared" si="5"/>
        <v/>
      </c>
      <c r="AO31" s="146" t="str">
        <f t="shared" si="6"/>
        <v/>
      </c>
      <c r="AP31" s="453" t="b">
        <f t="shared" si="7"/>
        <v>1</v>
      </c>
      <c r="AQ31" s="140">
        <f t="shared" si="29"/>
        <v>0.5</v>
      </c>
      <c r="AR31" s="141" t="str">
        <f t="shared" si="8"/>
        <v/>
      </c>
      <c r="AS31" s="142">
        <f t="shared" si="30"/>
        <v>0</v>
      </c>
      <c r="AT31" s="141" t="str">
        <f t="shared" si="9"/>
        <v/>
      </c>
      <c r="AU31" s="143">
        <f t="shared" si="10"/>
        <v>0</v>
      </c>
      <c r="AV31" s="144" t="str">
        <f t="shared" si="11"/>
        <v/>
      </c>
      <c r="AW31" s="143" t="b">
        <f t="shared" si="12"/>
        <v>0</v>
      </c>
      <c r="AX31" s="145" t="b">
        <f t="shared" si="13"/>
        <v>1</v>
      </c>
      <c r="AY31" s="143" t="b">
        <f t="shared" si="14"/>
        <v>0</v>
      </c>
      <c r="AZ31" s="145" t="b">
        <f t="shared" si="15"/>
        <v>0</v>
      </c>
      <c r="BA31" s="453" t="b">
        <f t="shared" si="16"/>
        <v>0</v>
      </c>
      <c r="BB31" s="453" t="b">
        <f t="shared" si="17"/>
        <v>0</v>
      </c>
      <c r="BC31" s="143" t="b">
        <f t="shared" si="18"/>
        <v>0</v>
      </c>
      <c r="BD31" s="146" t="b">
        <f>IF(OR(ISNA($Z31),ISNUMBER($Z31),NOT(ISNUMBER(K31))),FALSE,OR(NOT(ISNUMBER(J31)),J31=0,AND(J31=0,K31&lt;&gt;0)))</f>
        <v>0</v>
      </c>
      <c r="BE31" s="145" t="b">
        <f t="shared" si="37"/>
        <v>0</v>
      </c>
      <c r="BF31" s="147" t="b">
        <f>IF(OR(ISNA($Z31),H31&lt;&gt;"NG"),FALSE,IF(AND(J31="NA",K31&lt;&gt;""),TRUE,FALSE))</f>
        <v>0</v>
      </c>
      <c r="BG31" s="453" t="b">
        <f t="shared" si="38"/>
        <v>1</v>
      </c>
      <c r="BH31" s="453">
        <f t="shared" si="32"/>
        <v>1</v>
      </c>
      <c r="BI31" s="453">
        <f t="shared" si="22"/>
        <v>1</v>
      </c>
      <c r="BJ31" s="453" t="str">
        <f t="shared" si="23"/>
        <v>1</v>
      </c>
      <c r="BK31" s="453">
        <f t="shared" si="24"/>
        <v>2</v>
      </c>
      <c r="BL31" s="148">
        <f t="shared" si="33"/>
        <v>1</v>
      </c>
      <c r="BM31" s="453">
        <f t="shared" si="25"/>
        <v>1</v>
      </c>
      <c r="BN31" s="453">
        <f t="shared" si="26"/>
        <v>2</v>
      </c>
      <c r="BO31" s="155" t="s">
        <v>368</v>
      </c>
      <c r="BP31" s="161" t="s">
        <v>369</v>
      </c>
    </row>
    <row r="32" spans="2:73" s="94" customFormat="1" ht="12.95" customHeight="1" x14ac:dyDescent="0.2">
      <c r="B32" s="151" t="str">
        <f>IF(ISNA(Z32),"",IF(OR(Z32=1,Z32=2),"    ",MAX($B$8:B31)+1))</f>
        <v/>
      </c>
      <c r="C32" s="904" t="str">
        <f t="shared" si="0"/>
        <v/>
      </c>
      <c r="D32" s="904"/>
      <c r="E32" s="904"/>
      <c r="F32" s="905"/>
      <c r="G32" s="133" t="str">
        <f t="shared" si="1"/>
        <v/>
      </c>
      <c r="H32" s="134" t="str">
        <f t="shared" si="2"/>
        <v/>
      </c>
      <c r="I32" s="152" t="str">
        <f t="shared" si="2"/>
        <v/>
      </c>
      <c r="J32" s="158"/>
      <c r="K32" s="159"/>
      <c r="L32" s="1015"/>
      <c r="M32" s="1016"/>
      <c r="N32" s="1016"/>
      <c r="O32" s="1016"/>
      <c r="P32" s="1016"/>
      <c r="Q32" s="1016"/>
      <c r="R32" s="1017"/>
      <c r="T32" s="99">
        <v>25</v>
      </c>
      <c r="U32" s="88" t="e">
        <v>#N/A</v>
      </c>
      <c r="V32" s="453" t="e">
        <v>#N/A</v>
      </c>
      <c r="W32" s="453" t="e">
        <v>#N/A</v>
      </c>
      <c r="X32" s="453" t="e">
        <v>#N/A</v>
      </c>
      <c r="Y32" s="453" t="e">
        <v>#N/A</v>
      </c>
      <c r="Z32" s="146" t="e">
        <v>#N/A</v>
      </c>
      <c r="AA32" s="146" t="e">
        <v>#N/A</v>
      </c>
      <c r="AB32" s="146" t="e">
        <v>#N/A</v>
      </c>
      <c r="AC32" s="453" t="e">
        <v>#N/A</v>
      </c>
      <c r="AD32" s="453" t="e">
        <v>#N/A</v>
      </c>
      <c r="AE32" s="453" t="e">
        <v>#N/A</v>
      </c>
      <c r="AF32" s="453" t="e">
        <v>#N/A</v>
      </c>
      <c r="AG32" s="453" t="e">
        <f t="shared" si="3"/>
        <v>#N/A</v>
      </c>
      <c r="AH32" s="453" t="str">
        <f t="shared" si="4"/>
        <v/>
      </c>
      <c r="AI32" s="138" t="e">
        <f>IF(NOT(OR(Z32=1,Z32=2)),IF(AQ32&gt;0,$AR$44*AQ32/SUMIF($AQ$8:$AQ$39,"&gt;0"),IF(AU32&gt;0,$AV$44*AU32/SUMIF($AU$8:$AU$39,"&gt;0"),IF(AS32&gt;0,$AT$44*AS32/SUMIF($AS$8:$AS$39,"&gt;0"),""))),IF(SUMIF(AJ33:$AJ$39,"=" &amp; AJ32,AI33:$AI$39)=0,"",SUMIF(AJ33:$AJ$39,"=" &amp; AJ32,AI33:$AI$39)))</f>
        <v>#N/A</v>
      </c>
      <c r="AJ32" s="139" t="e">
        <f t="shared" si="34"/>
        <v>#N/A</v>
      </c>
      <c r="AK32" s="453" t="str">
        <f t="shared" si="27"/>
        <v/>
      </c>
      <c r="AL32" s="146" t="str">
        <f t="shared" si="28"/>
        <v/>
      </c>
      <c r="AM32" s="146" t="str">
        <f t="shared" si="35"/>
        <v/>
      </c>
      <c r="AN32" s="146" t="str">
        <f t="shared" si="5"/>
        <v/>
      </c>
      <c r="AO32" s="146" t="e">
        <f t="shared" si="6"/>
        <v>#N/A</v>
      </c>
      <c r="AP32" s="453" t="str">
        <f t="shared" si="7"/>
        <v/>
      </c>
      <c r="AQ32" s="140">
        <f t="shared" si="29"/>
        <v>0</v>
      </c>
      <c r="AR32" s="141" t="str">
        <f t="shared" si="8"/>
        <v/>
      </c>
      <c r="AS32" s="142">
        <f t="shared" si="30"/>
        <v>0</v>
      </c>
      <c r="AT32" s="141" t="str">
        <f t="shared" si="9"/>
        <v/>
      </c>
      <c r="AU32" s="143">
        <f t="shared" si="10"/>
        <v>0</v>
      </c>
      <c r="AV32" s="144" t="str">
        <f t="shared" si="11"/>
        <v/>
      </c>
      <c r="AW32" s="143" t="b">
        <f t="shared" si="12"/>
        <v>0</v>
      </c>
      <c r="AX32" s="145" t="b">
        <f t="shared" si="13"/>
        <v>0</v>
      </c>
      <c r="AY32" s="143" t="b">
        <f t="shared" si="14"/>
        <v>0</v>
      </c>
      <c r="AZ32" s="145" t="b">
        <f t="shared" si="15"/>
        <v>0</v>
      </c>
      <c r="BA32" s="453" t="b">
        <f t="shared" si="16"/>
        <v>0</v>
      </c>
      <c r="BB32" s="453" t="b">
        <f t="shared" si="17"/>
        <v>0</v>
      </c>
      <c r="BC32" s="143" t="b">
        <f t="shared" si="18"/>
        <v>0</v>
      </c>
      <c r="BD32" s="146" t="b">
        <f t="shared" si="31"/>
        <v>0</v>
      </c>
      <c r="BE32" s="145" t="b">
        <f t="shared" si="37"/>
        <v>0</v>
      </c>
      <c r="BF32" s="147" t="b">
        <f t="shared" ref="BF32:BF39" si="39">IF(OR(ISNA($Z32),H32&lt;&gt;"NG"),FALSE,IF(AND(J32="NA",K32&lt;&gt;""),TRUE,FALSE))</f>
        <v>0</v>
      </c>
      <c r="BG32" s="453" t="str">
        <f t="shared" si="38"/>
        <v>NA</v>
      </c>
      <c r="BH32" s="453" t="str">
        <f t="shared" si="32"/>
        <v/>
      </c>
      <c r="BI32" s="453" t="str">
        <f t="shared" si="22"/>
        <v/>
      </c>
      <c r="BJ32" s="453" t="str">
        <f t="shared" si="23"/>
        <v/>
      </c>
      <c r="BK32" s="453" t="str">
        <f t="shared" si="24"/>
        <v/>
      </c>
      <c r="BL32" s="148" t="str">
        <f t="shared" si="33"/>
        <v/>
      </c>
      <c r="BM32" s="453" t="str">
        <f t="shared" si="25"/>
        <v/>
      </c>
      <c r="BN32" s="453" t="str">
        <f t="shared" si="26"/>
        <v/>
      </c>
      <c r="BO32" s="155" t="s">
        <v>370</v>
      </c>
      <c r="BP32" s="161" t="s">
        <v>371</v>
      </c>
    </row>
    <row r="33" spans="2:73" s="94" customFormat="1" ht="12.95" customHeight="1" x14ac:dyDescent="0.2">
      <c r="B33" s="151" t="str">
        <f>IF(ISNA(Z33),"",IF(OR(Z33=1,Z33=2),"    ",MAX($B$8:B32)+1))</f>
        <v/>
      </c>
      <c r="C33" s="904" t="str">
        <f t="shared" si="0"/>
        <v/>
      </c>
      <c r="D33" s="904"/>
      <c r="E33" s="904"/>
      <c r="F33" s="905"/>
      <c r="G33" s="133" t="str">
        <f t="shared" si="1"/>
        <v/>
      </c>
      <c r="H33" s="134" t="str">
        <f t="shared" si="2"/>
        <v/>
      </c>
      <c r="I33" s="152" t="str">
        <f t="shared" si="2"/>
        <v/>
      </c>
      <c r="J33" s="158"/>
      <c r="K33" s="159"/>
      <c r="L33" s="1015"/>
      <c r="M33" s="1016"/>
      <c r="N33" s="1016"/>
      <c r="O33" s="1016"/>
      <c r="P33" s="1016"/>
      <c r="Q33" s="1016"/>
      <c r="R33" s="1017"/>
      <c r="T33" s="99">
        <v>26</v>
      </c>
      <c r="U33" s="88" t="e">
        <v>#N/A</v>
      </c>
      <c r="V33" s="453" t="e">
        <v>#N/A</v>
      </c>
      <c r="W33" s="453" t="e">
        <v>#N/A</v>
      </c>
      <c r="X33" s="453" t="e">
        <v>#N/A</v>
      </c>
      <c r="Y33" s="453" t="e">
        <v>#N/A</v>
      </c>
      <c r="Z33" s="146" t="e">
        <v>#N/A</v>
      </c>
      <c r="AA33" s="146" t="e">
        <v>#N/A</v>
      </c>
      <c r="AB33" s="146" t="e">
        <v>#N/A</v>
      </c>
      <c r="AC33" s="453" t="e">
        <v>#N/A</v>
      </c>
      <c r="AD33" s="453" t="e">
        <v>#N/A</v>
      </c>
      <c r="AE33" s="453" t="e">
        <v>#N/A</v>
      </c>
      <c r="AF33" s="453" t="e">
        <v>#N/A</v>
      </c>
      <c r="AG33" s="453" t="e">
        <f t="shared" si="3"/>
        <v>#N/A</v>
      </c>
      <c r="AH33" s="453" t="str">
        <f t="shared" si="4"/>
        <v/>
      </c>
      <c r="AI33" s="138" t="e">
        <f>IF(NOT(OR(Z33=1,Z33=2)),IF(AQ33&gt;0,$AR$44*AQ33/SUMIF($AQ$8:$AQ$39,"&gt;0"),IF(AU33&gt;0,$AV$44*AU33/SUMIF($AU$8:$AU$39,"&gt;0"),IF(AS33&gt;0,$AT$44*AS33/SUMIF($AS$8:$AS$39,"&gt;0"),""))),IF(SUMIF(AJ34:$AJ$39,"=" &amp; AJ33,AI34:$AI$39)=0,"",SUMIF(AJ34:$AJ$39,"=" &amp; AJ33,AI34:$AI$39)))</f>
        <v>#N/A</v>
      </c>
      <c r="AJ33" s="139" t="e">
        <f t="shared" si="34"/>
        <v>#N/A</v>
      </c>
      <c r="AK33" s="453" t="str">
        <f t="shared" si="27"/>
        <v/>
      </c>
      <c r="AL33" s="146" t="str">
        <f t="shared" si="28"/>
        <v/>
      </c>
      <c r="AM33" s="146" t="str">
        <f t="shared" si="35"/>
        <v/>
      </c>
      <c r="AN33" s="146" t="str">
        <f t="shared" si="5"/>
        <v/>
      </c>
      <c r="AO33" s="146" t="e">
        <f t="shared" si="6"/>
        <v>#N/A</v>
      </c>
      <c r="AP33" s="453" t="str">
        <f t="shared" si="7"/>
        <v/>
      </c>
      <c r="AQ33" s="140">
        <f t="shared" si="29"/>
        <v>0</v>
      </c>
      <c r="AR33" s="141" t="str">
        <f t="shared" si="8"/>
        <v/>
      </c>
      <c r="AS33" s="142">
        <f t="shared" si="30"/>
        <v>0</v>
      </c>
      <c r="AT33" s="141" t="str">
        <f t="shared" si="9"/>
        <v/>
      </c>
      <c r="AU33" s="143">
        <f t="shared" si="10"/>
        <v>0</v>
      </c>
      <c r="AV33" s="144" t="str">
        <f t="shared" si="11"/>
        <v/>
      </c>
      <c r="AW33" s="143" t="b">
        <f t="shared" si="12"/>
        <v>0</v>
      </c>
      <c r="AX33" s="145" t="b">
        <f t="shared" si="13"/>
        <v>0</v>
      </c>
      <c r="AY33" s="143" t="b">
        <f t="shared" si="14"/>
        <v>0</v>
      </c>
      <c r="AZ33" s="145" t="b">
        <f t="shared" si="15"/>
        <v>0</v>
      </c>
      <c r="BA33" s="453" t="b">
        <f t="shared" si="16"/>
        <v>0</v>
      </c>
      <c r="BB33" s="453" t="b">
        <f t="shared" si="17"/>
        <v>0</v>
      </c>
      <c r="BC33" s="143" t="b">
        <f t="shared" si="18"/>
        <v>0</v>
      </c>
      <c r="BD33" s="146" t="b">
        <f t="shared" si="31"/>
        <v>0</v>
      </c>
      <c r="BE33" s="145" t="b">
        <f t="shared" si="37"/>
        <v>0</v>
      </c>
      <c r="BF33" s="147" t="b">
        <f t="shared" si="39"/>
        <v>0</v>
      </c>
      <c r="BG33" s="453" t="str">
        <f t="shared" si="38"/>
        <v>NA</v>
      </c>
      <c r="BH33" s="453" t="str">
        <f t="shared" si="32"/>
        <v/>
      </c>
      <c r="BI33" s="453" t="str">
        <f t="shared" si="22"/>
        <v/>
      </c>
      <c r="BJ33" s="453" t="str">
        <f t="shared" si="23"/>
        <v/>
      </c>
      <c r="BK33" s="453" t="str">
        <f t="shared" si="24"/>
        <v/>
      </c>
      <c r="BL33" s="148" t="str">
        <f t="shared" si="33"/>
        <v/>
      </c>
      <c r="BM33" s="453" t="str">
        <f t="shared" si="25"/>
        <v/>
      </c>
      <c r="BN33" s="453" t="str">
        <f t="shared" si="26"/>
        <v/>
      </c>
      <c r="BO33" s="150" t="s">
        <v>372</v>
      </c>
      <c r="BP33" s="161"/>
      <c r="BQ33" s="161"/>
      <c r="BR33" s="161"/>
      <c r="BS33" s="161"/>
      <c r="BT33" s="161"/>
      <c r="BU33" s="161"/>
    </row>
    <row r="34" spans="2:73" s="94" customFormat="1" ht="12.95" customHeight="1" x14ac:dyDescent="0.2">
      <c r="B34" s="151" t="str">
        <f>IF(ISNA(Z34),"",IF(OR(Z34=1,Z34=2),"    ",MAX($B$8:B33)+1))</f>
        <v/>
      </c>
      <c r="C34" s="904" t="str">
        <f t="shared" si="0"/>
        <v/>
      </c>
      <c r="D34" s="904"/>
      <c r="E34" s="904"/>
      <c r="F34" s="905"/>
      <c r="G34" s="133" t="str">
        <f t="shared" si="1"/>
        <v/>
      </c>
      <c r="H34" s="134" t="str">
        <f t="shared" si="2"/>
        <v/>
      </c>
      <c r="I34" s="152" t="str">
        <f t="shared" si="2"/>
        <v/>
      </c>
      <c r="J34" s="158"/>
      <c r="K34" s="159"/>
      <c r="L34" s="1015"/>
      <c r="M34" s="1016"/>
      <c r="N34" s="1016"/>
      <c r="O34" s="1016"/>
      <c r="P34" s="1016"/>
      <c r="Q34" s="1016"/>
      <c r="R34" s="1017"/>
      <c r="T34" s="99">
        <v>27</v>
      </c>
      <c r="U34" s="88" t="e">
        <v>#N/A</v>
      </c>
      <c r="V34" s="453" t="e">
        <v>#N/A</v>
      </c>
      <c r="W34" s="453" t="e">
        <v>#N/A</v>
      </c>
      <c r="X34" s="453" t="e">
        <v>#N/A</v>
      </c>
      <c r="Y34" s="453" t="e">
        <v>#N/A</v>
      </c>
      <c r="Z34" s="146" t="e">
        <v>#N/A</v>
      </c>
      <c r="AA34" s="146" t="e">
        <v>#N/A</v>
      </c>
      <c r="AB34" s="146" t="e">
        <v>#N/A</v>
      </c>
      <c r="AC34" s="453" t="e">
        <v>#N/A</v>
      </c>
      <c r="AD34" s="453" t="e">
        <v>#N/A</v>
      </c>
      <c r="AE34" s="453" t="e">
        <v>#N/A</v>
      </c>
      <c r="AF34" s="453" t="e">
        <v>#N/A</v>
      </c>
      <c r="AG34" s="453" t="e">
        <f t="shared" si="3"/>
        <v>#N/A</v>
      </c>
      <c r="AH34" s="453" t="str">
        <f t="shared" si="4"/>
        <v/>
      </c>
      <c r="AI34" s="138" t="e">
        <f>IF(NOT(OR(Z34=1,Z34=2)),IF(AQ34&gt;0,$AR$44*AQ34/SUMIF($AQ$8:$AQ$39,"&gt;0"),IF(AU34&gt;0,$AV$44*AU34/SUMIF($AU$8:$AU$39,"&gt;0"),IF(AS34&gt;0,$AT$44*AS34/SUMIF($AS$8:$AS$39,"&gt;0"),""))),IF(SUMIF(AJ35:$AJ$39,"=" &amp; AJ34,AI35:$AI$39)=0,"",SUMIF(AJ35:$AJ$39,"=" &amp; AJ34,AI35:$AI$39)))</f>
        <v>#N/A</v>
      </c>
      <c r="AJ34" s="139" t="e">
        <f t="shared" si="34"/>
        <v>#N/A</v>
      </c>
      <c r="AK34" s="453" t="str">
        <f t="shared" si="27"/>
        <v/>
      </c>
      <c r="AL34" s="146" t="str">
        <f t="shared" si="28"/>
        <v/>
      </c>
      <c r="AM34" s="146" t="str">
        <f t="shared" si="35"/>
        <v/>
      </c>
      <c r="AN34" s="146" t="str">
        <f t="shared" si="5"/>
        <v/>
      </c>
      <c r="AO34" s="146" t="e">
        <f t="shared" si="6"/>
        <v>#N/A</v>
      </c>
      <c r="AP34" s="453" t="str">
        <f t="shared" si="7"/>
        <v/>
      </c>
      <c r="AQ34" s="140">
        <f t="shared" si="29"/>
        <v>0</v>
      </c>
      <c r="AR34" s="141" t="str">
        <f t="shared" si="8"/>
        <v/>
      </c>
      <c r="AS34" s="142">
        <f t="shared" si="30"/>
        <v>0</v>
      </c>
      <c r="AT34" s="141" t="str">
        <f t="shared" si="9"/>
        <v/>
      </c>
      <c r="AU34" s="143">
        <f t="shared" si="10"/>
        <v>0</v>
      </c>
      <c r="AV34" s="144" t="str">
        <f t="shared" si="11"/>
        <v/>
      </c>
      <c r="AW34" s="143" t="b">
        <f t="shared" si="12"/>
        <v>0</v>
      </c>
      <c r="AX34" s="145" t="b">
        <f t="shared" si="13"/>
        <v>0</v>
      </c>
      <c r="AY34" s="143" t="b">
        <f t="shared" si="14"/>
        <v>0</v>
      </c>
      <c r="AZ34" s="145" t="b">
        <f t="shared" si="15"/>
        <v>0</v>
      </c>
      <c r="BA34" s="453" t="b">
        <f t="shared" si="16"/>
        <v>0</v>
      </c>
      <c r="BB34" s="453" t="b">
        <f t="shared" si="17"/>
        <v>0</v>
      </c>
      <c r="BC34" s="143" t="b">
        <f t="shared" si="18"/>
        <v>0</v>
      </c>
      <c r="BD34" s="146" t="b">
        <f t="shared" si="31"/>
        <v>0</v>
      </c>
      <c r="BE34" s="145" t="b">
        <f t="shared" si="37"/>
        <v>0</v>
      </c>
      <c r="BF34" s="147" t="b">
        <f t="shared" si="39"/>
        <v>0</v>
      </c>
      <c r="BG34" s="453" t="str">
        <f t="shared" si="38"/>
        <v>NA</v>
      </c>
      <c r="BH34" s="453" t="str">
        <f t="shared" si="32"/>
        <v/>
      </c>
      <c r="BI34" s="453" t="str">
        <f t="shared" si="22"/>
        <v/>
      </c>
      <c r="BJ34" s="453" t="str">
        <f t="shared" si="23"/>
        <v/>
      </c>
      <c r="BK34" s="453" t="str">
        <f t="shared" si="24"/>
        <v/>
      </c>
      <c r="BL34" s="148" t="str">
        <f t="shared" si="33"/>
        <v/>
      </c>
      <c r="BM34" s="453" t="str">
        <f t="shared" si="25"/>
        <v/>
      </c>
      <c r="BN34" s="453" t="str">
        <f t="shared" si="26"/>
        <v/>
      </c>
      <c r="BO34" s="1023"/>
      <c r="BP34" s="1024"/>
      <c r="BQ34" s="1024"/>
      <c r="BR34" s="1024"/>
      <c r="BS34" s="1024"/>
      <c r="BT34" s="1024"/>
      <c r="BU34" s="1025"/>
    </row>
    <row r="35" spans="2:73" s="94" customFormat="1" ht="12.95" customHeight="1" x14ac:dyDescent="0.2">
      <c r="B35" s="151" t="str">
        <f>IF(ISNA(Z35),"",IF(OR(Z35=1,Z35=2),"    ",MAX($B$8:B34)+1))</f>
        <v/>
      </c>
      <c r="C35" s="904" t="str">
        <f t="shared" si="0"/>
        <v/>
      </c>
      <c r="D35" s="904"/>
      <c r="E35" s="904"/>
      <c r="F35" s="905"/>
      <c r="G35" s="133" t="str">
        <f t="shared" si="1"/>
        <v/>
      </c>
      <c r="H35" s="134" t="str">
        <f t="shared" si="2"/>
        <v/>
      </c>
      <c r="I35" s="152" t="str">
        <f t="shared" si="2"/>
        <v/>
      </c>
      <c r="J35" s="158"/>
      <c r="K35" s="159"/>
      <c r="L35" s="1015"/>
      <c r="M35" s="1016"/>
      <c r="N35" s="1016"/>
      <c r="O35" s="1016"/>
      <c r="P35" s="1016"/>
      <c r="Q35" s="1016"/>
      <c r="R35" s="1017"/>
      <c r="T35" s="99">
        <v>28</v>
      </c>
      <c r="U35" s="88" t="e">
        <v>#N/A</v>
      </c>
      <c r="V35" s="453" t="e">
        <v>#N/A</v>
      </c>
      <c r="W35" s="453" t="e">
        <v>#N/A</v>
      </c>
      <c r="X35" s="453" t="e">
        <v>#N/A</v>
      </c>
      <c r="Y35" s="453" t="e">
        <v>#N/A</v>
      </c>
      <c r="Z35" s="146" t="e">
        <v>#N/A</v>
      </c>
      <c r="AA35" s="146" t="e">
        <v>#N/A</v>
      </c>
      <c r="AB35" s="146" t="e">
        <v>#N/A</v>
      </c>
      <c r="AC35" s="453" t="e">
        <v>#N/A</v>
      </c>
      <c r="AD35" s="453" t="e">
        <v>#N/A</v>
      </c>
      <c r="AE35" s="453" t="e">
        <v>#N/A</v>
      </c>
      <c r="AF35" s="453" t="e">
        <v>#N/A</v>
      </c>
      <c r="AG35" s="453" t="e">
        <f t="shared" si="3"/>
        <v>#N/A</v>
      </c>
      <c r="AH35" s="453" t="str">
        <f t="shared" si="4"/>
        <v/>
      </c>
      <c r="AI35" s="138" t="e">
        <f>IF(NOT(OR(Z35=1,Z35=2)),IF(AQ35&gt;0,$AR$44*AQ35/SUMIF($AQ$8:$AQ$39,"&gt;0"),IF(AU35&gt;0,$AV$44*AU35/SUMIF($AU$8:$AU$39,"&gt;0"),IF(AS35&gt;0,$AT$44*AS35/SUMIF($AS$8:$AS$39,"&gt;0"),""))),IF(SUMIF(AJ36:$AJ$39,"=" &amp; AJ35,AI36:$AI$39)=0,"",SUMIF(AJ36:$AJ$39,"=" &amp; AJ35,AI36:$AI$39)))</f>
        <v>#N/A</v>
      </c>
      <c r="AJ35" s="139" t="e">
        <f t="shared" si="34"/>
        <v>#N/A</v>
      </c>
      <c r="AK35" s="453" t="str">
        <f t="shared" si="27"/>
        <v/>
      </c>
      <c r="AL35" s="146" t="str">
        <f t="shared" si="28"/>
        <v/>
      </c>
      <c r="AM35" s="146" t="str">
        <f t="shared" si="35"/>
        <v/>
      </c>
      <c r="AN35" s="146" t="str">
        <f t="shared" si="5"/>
        <v/>
      </c>
      <c r="AO35" s="146" t="e">
        <f t="shared" si="6"/>
        <v>#N/A</v>
      </c>
      <c r="AP35" s="453" t="str">
        <f t="shared" si="7"/>
        <v/>
      </c>
      <c r="AQ35" s="140">
        <f t="shared" si="29"/>
        <v>0</v>
      </c>
      <c r="AR35" s="141" t="str">
        <f t="shared" si="8"/>
        <v/>
      </c>
      <c r="AS35" s="142">
        <f t="shared" si="30"/>
        <v>0</v>
      </c>
      <c r="AT35" s="141" t="str">
        <f t="shared" si="9"/>
        <v/>
      </c>
      <c r="AU35" s="143">
        <f t="shared" si="10"/>
        <v>0</v>
      </c>
      <c r="AV35" s="144" t="str">
        <f t="shared" si="11"/>
        <v/>
      </c>
      <c r="AW35" s="143" t="b">
        <f t="shared" si="12"/>
        <v>0</v>
      </c>
      <c r="AX35" s="145" t="b">
        <f t="shared" si="13"/>
        <v>0</v>
      </c>
      <c r="AY35" s="143" t="b">
        <f t="shared" si="14"/>
        <v>0</v>
      </c>
      <c r="AZ35" s="145" t="b">
        <f t="shared" si="15"/>
        <v>0</v>
      </c>
      <c r="BA35" s="453" t="b">
        <f t="shared" si="16"/>
        <v>0</v>
      </c>
      <c r="BB35" s="453" t="b">
        <f t="shared" si="17"/>
        <v>0</v>
      </c>
      <c r="BC35" s="143" t="b">
        <f t="shared" si="18"/>
        <v>0</v>
      </c>
      <c r="BD35" s="146" t="b">
        <f t="shared" si="31"/>
        <v>0</v>
      </c>
      <c r="BE35" s="145" t="b">
        <f t="shared" si="37"/>
        <v>0</v>
      </c>
      <c r="BF35" s="147" t="b">
        <f t="shared" si="39"/>
        <v>0</v>
      </c>
      <c r="BG35" s="453" t="str">
        <f t="shared" si="38"/>
        <v>NA</v>
      </c>
      <c r="BH35" s="453" t="str">
        <f t="shared" si="32"/>
        <v/>
      </c>
      <c r="BI35" s="453" t="str">
        <f t="shared" si="22"/>
        <v/>
      </c>
      <c r="BJ35" s="453" t="str">
        <f t="shared" si="23"/>
        <v/>
      </c>
      <c r="BK35" s="453" t="str">
        <f t="shared" si="24"/>
        <v/>
      </c>
      <c r="BL35" s="148" t="str">
        <f t="shared" si="33"/>
        <v/>
      </c>
      <c r="BM35" s="453" t="str">
        <f t="shared" si="25"/>
        <v/>
      </c>
      <c r="BN35" s="453" t="str">
        <f t="shared" si="26"/>
        <v/>
      </c>
      <c r="BO35" s="1026"/>
      <c r="BP35" s="1027"/>
      <c r="BQ35" s="1027"/>
      <c r="BR35" s="1027"/>
      <c r="BS35" s="1027"/>
      <c r="BT35" s="1027"/>
      <c r="BU35" s="1028"/>
    </row>
    <row r="36" spans="2:73" s="94" customFormat="1" ht="12.95" customHeight="1" x14ac:dyDescent="0.2">
      <c r="B36" s="151" t="str">
        <f>IF(ISNA(Z36),"",IF(OR(Z36=1,Z36=2),"    ",MAX($B$8:B35)+1))</f>
        <v/>
      </c>
      <c r="C36" s="904" t="str">
        <f t="shared" si="0"/>
        <v/>
      </c>
      <c r="D36" s="904"/>
      <c r="E36" s="904"/>
      <c r="F36" s="905"/>
      <c r="G36" s="133" t="str">
        <f t="shared" si="1"/>
        <v/>
      </c>
      <c r="H36" s="134" t="str">
        <f t="shared" si="2"/>
        <v/>
      </c>
      <c r="I36" s="152" t="str">
        <f t="shared" si="2"/>
        <v/>
      </c>
      <c r="J36" s="158"/>
      <c r="K36" s="159"/>
      <c r="L36" s="1015"/>
      <c r="M36" s="1016"/>
      <c r="N36" s="1016"/>
      <c r="O36" s="1016"/>
      <c r="P36" s="1016"/>
      <c r="Q36" s="1016"/>
      <c r="R36" s="1017"/>
      <c r="T36" s="99">
        <v>29</v>
      </c>
      <c r="U36" s="88" t="e">
        <v>#N/A</v>
      </c>
      <c r="V36" s="453" t="e">
        <v>#N/A</v>
      </c>
      <c r="W36" s="453" t="e">
        <v>#N/A</v>
      </c>
      <c r="X36" s="453" t="e">
        <v>#N/A</v>
      </c>
      <c r="Y36" s="453" t="e">
        <v>#N/A</v>
      </c>
      <c r="Z36" s="146" t="e">
        <v>#N/A</v>
      </c>
      <c r="AA36" s="146" t="e">
        <v>#N/A</v>
      </c>
      <c r="AB36" s="146" t="e">
        <v>#N/A</v>
      </c>
      <c r="AC36" s="453" t="e">
        <v>#N/A</v>
      </c>
      <c r="AD36" s="453" t="e">
        <v>#N/A</v>
      </c>
      <c r="AE36" s="453" t="e">
        <v>#N/A</v>
      </c>
      <c r="AF36" s="453" t="e">
        <v>#N/A</v>
      </c>
      <c r="AG36" s="453" t="e">
        <f t="shared" si="3"/>
        <v>#N/A</v>
      </c>
      <c r="AH36" s="453" t="str">
        <f t="shared" si="4"/>
        <v/>
      </c>
      <c r="AI36" s="138" t="e">
        <f>IF(NOT(OR(Z36=1,Z36=2)),IF(AQ36&gt;0,$AR$44*AQ36/SUMIF($AQ$8:$AQ$39,"&gt;0"),IF(AU36&gt;0,$AV$44*AU36/SUMIF($AU$8:$AU$39,"&gt;0"),IF(AS36&gt;0,$AT$44*AS36/SUMIF($AS$8:$AS$39,"&gt;0"),""))),IF(SUMIF(AJ37:$AJ$39,"=" &amp; AJ36,AI37:$AI$39)=0,"",SUMIF(AJ37:$AJ$39,"=" &amp; AJ36,AI37:$AI$39)))</f>
        <v>#N/A</v>
      </c>
      <c r="AJ36" s="139" t="e">
        <f t="shared" si="34"/>
        <v>#N/A</v>
      </c>
      <c r="AK36" s="453" t="str">
        <f t="shared" si="27"/>
        <v/>
      </c>
      <c r="AL36" s="146" t="str">
        <f t="shared" si="28"/>
        <v/>
      </c>
      <c r="AM36" s="146" t="str">
        <f t="shared" si="35"/>
        <v/>
      </c>
      <c r="AN36" s="146" t="str">
        <f t="shared" si="5"/>
        <v/>
      </c>
      <c r="AO36" s="146" t="e">
        <f t="shared" si="6"/>
        <v>#N/A</v>
      </c>
      <c r="AP36" s="453" t="str">
        <f t="shared" si="7"/>
        <v/>
      </c>
      <c r="AQ36" s="140">
        <f t="shared" si="29"/>
        <v>0</v>
      </c>
      <c r="AR36" s="141" t="str">
        <f t="shared" si="8"/>
        <v/>
      </c>
      <c r="AS36" s="142">
        <f t="shared" si="30"/>
        <v>0</v>
      </c>
      <c r="AT36" s="141" t="str">
        <f t="shared" si="9"/>
        <v/>
      </c>
      <c r="AU36" s="143">
        <f t="shared" si="10"/>
        <v>0</v>
      </c>
      <c r="AV36" s="144" t="str">
        <f t="shared" si="11"/>
        <v/>
      </c>
      <c r="AW36" s="143" t="b">
        <f t="shared" si="12"/>
        <v>0</v>
      </c>
      <c r="AX36" s="145" t="b">
        <f t="shared" si="13"/>
        <v>0</v>
      </c>
      <c r="AY36" s="143" t="b">
        <f t="shared" si="14"/>
        <v>0</v>
      </c>
      <c r="AZ36" s="145" t="b">
        <f t="shared" si="15"/>
        <v>0</v>
      </c>
      <c r="BA36" s="453" t="b">
        <f t="shared" si="16"/>
        <v>0</v>
      </c>
      <c r="BB36" s="453" t="b">
        <f t="shared" si="17"/>
        <v>0</v>
      </c>
      <c r="BC36" s="143" t="b">
        <f t="shared" si="18"/>
        <v>0</v>
      </c>
      <c r="BD36" s="146" t="b">
        <f t="shared" si="31"/>
        <v>0</v>
      </c>
      <c r="BE36" s="145" t="b">
        <f t="shared" si="37"/>
        <v>0</v>
      </c>
      <c r="BF36" s="147" t="b">
        <f t="shared" si="39"/>
        <v>0</v>
      </c>
      <c r="BG36" s="453" t="str">
        <f t="shared" si="38"/>
        <v>NA</v>
      </c>
      <c r="BH36" s="453" t="str">
        <f t="shared" si="32"/>
        <v/>
      </c>
      <c r="BI36" s="453" t="str">
        <f t="shared" si="22"/>
        <v/>
      </c>
      <c r="BJ36" s="453" t="str">
        <f t="shared" si="23"/>
        <v/>
      </c>
      <c r="BK36" s="453" t="str">
        <f t="shared" si="24"/>
        <v/>
      </c>
      <c r="BL36" s="148" t="str">
        <f t="shared" si="33"/>
        <v/>
      </c>
      <c r="BM36" s="453" t="str">
        <f t="shared" si="25"/>
        <v/>
      </c>
      <c r="BN36" s="453" t="str">
        <f t="shared" si="26"/>
        <v/>
      </c>
      <c r="BO36" s="1026"/>
      <c r="BP36" s="1027"/>
      <c r="BQ36" s="1027"/>
      <c r="BR36" s="1027"/>
      <c r="BS36" s="1027"/>
      <c r="BT36" s="1027"/>
      <c r="BU36" s="1028"/>
    </row>
    <row r="37" spans="2:73" s="94" customFormat="1" ht="12.95" customHeight="1" x14ac:dyDescent="0.2">
      <c r="B37" s="151" t="str">
        <f>IF(ISNA(Z37),"",IF(OR(Z37=1,Z37=2),"    ",MAX($B$8:B36)+1))</f>
        <v/>
      </c>
      <c r="C37" s="904" t="str">
        <f>IF(ISNA(Z37),"",CONCATENATE($U37,IF(ISNUMBER(AI37),TEXT(ROUND($AI37,3)," (0.0%)"),""),IF(AU37&gt;0," Bonus","")))</f>
        <v/>
      </c>
      <c r="D37" s="904"/>
      <c r="E37" s="904"/>
      <c r="F37" s="905"/>
      <c r="G37" s="133" t="str">
        <f t="shared" si="1"/>
        <v/>
      </c>
      <c r="H37" s="134" t="str">
        <f t="shared" si="2"/>
        <v/>
      </c>
      <c r="I37" s="152" t="str">
        <f t="shared" si="2"/>
        <v/>
      </c>
      <c r="J37" s="158"/>
      <c r="K37" s="159"/>
      <c r="L37" s="1015"/>
      <c r="M37" s="1016"/>
      <c r="N37" s="1016"/>
      <c r="O37" s="1016"/>
      <c r="P37" s="1016"/>
      <c r="Q37" s="1016"/>
      <c r="R37" s="1017"/>
      <c r="T37" s="99">
        <v>30</v>
      </c>
      <c r="U37" s="88" t="e">
        <v>#N/A</v>
      </c>
      <c r="V37" s="453" t="e">
        <v>#N/A</v>
      </c>
      <c r="W37" s="453" t="e">
        <v>#N/A</v>
      </c>
      <c r="X37" s="453" t="e">
        <v>#N/A</v>
      </c>
      <c r="Y37" s="453" t="e">
        <v>#N/A</v>
      </c>
      <c r="Z37" s="146" t="e">
        <v>#N/A</v>
      </c>
      <c r="AA37" s="146" t="e">
        <v>#N/A</v>
      </c>
      <c r="AB37" s="146" t="e">
        <v>#N/A</v>
      </c>
      <c r="AC37" s="453" t="e">
        <v>#N/A</v>
      </c>
      <c r="AD37" s="453" t="e">
        <v>#N/A</v>
      </c>
      <c r="AE37" s="453" t="e">
        <v>#N/A</v>
      </c>
      <c r="AF37" s="453" t="e">
        <v>#N/A</v>
      </c>
      <c r="AG37" s="453" t="e">
        <f t="shared" si="3"/>
        <v>#N/A</v>
      </c>
      <c r="AH37" s="453" t="str">
        <f t="shared" si="4"/>
        <v/>
      </c>
      <c r="AI37" s="138" t="e">
        <f>IF(NOT(OR(Z37=1,Z37=2)),IF(AQ37&gt;0,$AR$44*AQ37/SUMIF($AQ$8:$AQ$39,"&gt;0"),IF(AU37&gt;0,$AV$44*AU37/SUMIF($AU$8:$AU$39,"&gt;0"),IF(AS37&gt;0,$AT$44*AS37/SUMIF($AS$8:$AS$39,"&gt;0"),""))),IF(SUMIF(AJ38:$AJ$39,"=" &amp; AJ37,AI38:$AI$39)=0,"",SUMIF(AJ38:$AJ$39,"=" &amp; AJ37,AI38:$AI$39)))</f>
        <v>#N/A</v>
      </c>
      <c r="AJ37" s="139" t="e">
        <f t="shared" si="34"/>
        <v>#N/A</v>
      </c>
      <c r="AK37" s="453" t="str">
        <f t="shared" si="27"/>
        <v/>
      </c>
      <c r="AL37" s="146" t="str">
        <f t="shared" si="28"/>
        <v/>
      </c>
      <c r="AM37" s="146" t="str">
        <f t="shared" si="35"/>
        <v/>
      </c>
      <c r="AN37" s="146" t="str">
        <f>IF(ISNUMBER(AH37),IF(AND(AB37=0,ISNUMBER(AC37),ISNUMBER(AL37)),1,""),"")</f>
        <v/>
      </c>
      <c r="AO37" s="146" t="e">
        <f t="shared" si="6"/>
        <v>#N/A</v>
      </c>
      <c r="AP37" s="453" t="str">
        <f t="shared" si="7"/>
        <v/>
      </c>
      <c r="AQ37" s="140">
        <f t="shared" si="29"/>
        <v>0</v>
      </c>
      <c r="AR37" s="141" t="str">
        <f t="shared" si="8"/>
        <v/>
      </c>
      <c r="AS37" s="142">
        <f t="shared" si="30"/>
        <v>0</v>
      </c>
      <c r="AT37" s="141" t="str">
        <f t="shared" si="9"/>
        <v/>
      </c>
      <c r="AU37" s="143">
        <f t="shared" si="10"/>
        <v>0</v>
      </c>
      <c r="AV37" s="144" t="str">
        <f t="shared" si="11"/>
        <v/>
      </c>
      <c r="AW37" s="143" t="b">
        <f t="shared" si="12"/>
        <v>0</v>
      </c>
      <c r="AX37" s="145" t="b">
        <f t="shared" si="13"/>
        <v>0</v>
      </c>
      <c r="AY37" s="143" t="b">
        <f t="shared" si="14"/>
        <v>0</v>
      </c>
      <c r="AZ37" s="145" t="b">
        <f t="shared" si="15"/>
        <v>0</v>
      </c>
      <c r="BA37" s="453" t="b">
        <f t="shared" si="16"/>
        <v>0</v>
      </c>
      <c r="BB37" s="453" t="b">
        <f t="shared" si="17"/>
        <v>0</v>
      </c>
      <c r="BC37" s="143" t="b">
        <f t="shared" si="18"/>
        <v>0</v>
      </c>
      <c r="BD37" s="146" t="b">
        <f t="shared" si="31"/>
        <v>0</v>
      </c>
      <c r="BE37" s="145" t="b">
        <f t="shared" si="37"/>
        <v>0</v>
      </c>
      <c r="BF37" s="147" t="b">
        <f t="shared" si="39"/>
        <v>0</v>
      </c>
      <c r="BG37" s="453" t="str">
        <f t="shared" si="38"/>
        <v>NA</v>
      </c>
      <c r="BH37" s="453" t="str">
        <f t="shared" si="32"/>
        <v/>
      </c>
      <c r="BI37" s="453" t="str">
        <f t="shared" si="22"/>
        <v/>
      </c>
      <c r="BJ37" s="453" t="str">
        <f t="shared" si="23"/>
        <v/>
      </c>
      <c r="BK37" s="453" t="str">
        <f t="shared" si="24"/>
        <v/>
      </c>
      <c r="BL37" s="148" t="str">
        <f t="shared" si="33"/>
        <v/>
      </c>
      <c r="BM37" s="453" t="str">
        <f t="shared" si="25"/>
        <v/>
      </c>
      <c r="BN37" s="453" t="str">
        <f t="shared" si="26"/>
        <v/>
      </c>
      <c r="BO37" s="1029"/>
      <c r="BP37" s="1030"/>
      <c r="BQ37" s="1030"/>
      <c r="BR37" s="1030"/>
      <c r="BS37" s="1030"/>
      <c r="BT37" s="1030"/>
      <c r="BU37" s="1031"/>
    </row>
    <row r="38" spans="2:73" s="94" customFormat="1" ht="12.95" customHeight="1" x14ac:dyDescent="0.2">
      <c r="B38" s="151" t="str">
        <f>IF(ISNA(Z38),"",IF(OR(Z38=1,Z38=2),"    ",MAX($B$8:B37)+1))</f>
        <v/>
      </c>
      <c r="C38" s="904" t="str">
        <f t="shared" ref="C38:C39" si="40">IF(ISNA(Z38),"",CONCATENATE($U38,IF(ISNUMBER(AI38),TEXT(ROUND($AI38,3)," (0.0%)"),""),IF(AU38&gt;0," Bonus","")))</f>
        <v/>
      </c>
      <c r="D38" s="904"/>
      <c r="E38" s="904"/>
      <c r="F38" s="905"/>
      <c r="G38" s="133" t="str">
        <f t="shared" si="1"/>
        <v/>
      </c>
      <c r="H38" s="134" t="str">
        <f t="shared" si="2"/>
        <v/>
      </c>
      <c r="I38" s="152" t="str">
        <f t="shared" si="2"/>
        <v/>
      </c>
      <c r="J38" s="158"/>
      <c r="K38" s="159"/>
      <c r="L38" s="1015"/>
      <c r="M38" s="1016"/>
      <c r="N38" s="1016"/>
      <c r="O38" s="1016"/>
      <c r="P38" s="1016"/>
      <c r="Q38" s="1016"/>
      <c r="R38" s="1017"/>
      <c r="T38" s="99">
        <v>31</v>
      </c>
      <c r="U38" s="88" t="e">
        <v>#N/A</v>
      </c>
      <c r="V38" s="453" t="e">
        <v>#N/A</v>
      </c>
      <c r="W38" s="453" t="e">
        <v>#N/A</v>
      </c>
      <c r="X38" s="453" t="e">
        <v>#N/A</v>
      </c>
      <c r="Y38" s="453" t="e">
        <v>#N/A</v>
      </c>
      <c r="Z38" s="146" t="e">
        <v>#N/A</v>
      </c>
      <c r="AA38" s="146" t="e">
        <v>#N/A</v>
      </c>
      <c r="AB38" s="146" t="e">
        <v>#N/A</v>
      </c>
      <c r="AC38" s="453" t="e">
        <v>#N/A</v>
      </c>
      <c r="AD38" s="453" t="e">
        <v>#N/A</v>
      </c>
      <c r="AE38" s="453" t="e">
        <v>#N/A</v>
      </c>
      <c r="AF38" s="453" t="e">
        <v>#N/A</v>
      </c>
      <c r="AG38" s="453" t="e">
        <f t="shared" si="3"/>
        <v>#N/A</v>
      </c>
      <c r="AH38" s="453" t="str">
        <f t="shared" si="4"/>
        <v/>
      </c>
      <c r="AI38" s="138" t="e">
        <f>IF(NOT(OR(Z38=1,Z38=2)),IF(AQ38&gt;0,$AR$44*AQ38/SUMIF($AQ$8:$AQ$39,"&gt;0"),IF(AU38&gt;0,$AV$44*AU38/SUMIF($AU$8:$AU$39,"&gt;0"),IF(AS38&gt;0,$AT$44*AS38/SUMIF($AS$8:$AS$39,"&gt;0"),""))),IF(SUMIF(AJ39:$AJ$39,"=" &amp; AJ38,AI39:$AI$39)=0,"",SUMIF(AJ39:$AJ$39,"=" &amp; AJ38,AI39:$AI$39)))</f>
        <v>#N/A</v>
      </c>
      <c r="AJ38" s="139" t="e">
        <f t="shared" si="34"/>
        <v>#N/A</v>
      </c>
      <c r="AK38" s="453" t="str">
        <f t="shared" si="27"/>
        <v/>
      </c>
      <c r="AL38" s="146" t="str">
        <f t="shared" si="28"/>
        <v/>
      </c>
      <c r="AM38" s="146" t="str">
        <f t="shared" si="35"/>
        <v/>
      </c>
      <c r="AN38" s="146" t="str">
        <f>IF(ISNUMBER(AH38),IF(AND(AB38=0,ISNUMBER(AC38),ISNUMBER(AL38)),1,""),"")</f>
        <v/>
      </c>
      <c r="AO38" s="146" t="e">
        <f t="shared" si="6"/>
        <v>#N/A</v>
      </c>
      <c r="AP38" s="453" t="str">
        <f t="shared" si="7"/>
        <v/>
      </c>
      <c r="AQ38" s="140">
        <f t="shared" si="29"/>
        <v>0</v>
      </c>
      <c r="AR38" s="141" t="str">
        <f t="shared" si="8"/>
        <v/>
      </c>
      <c r="AS38" s="142">
        <f t="shared" si="30"/>
        <v>0</v>
      </c>
      <c r="AT38" s="141" t="str">
        <f t="shared" si="9"/>
        <v/>
      </c>
      <c r="AU38" s="143">
        <f t="shared" si="10"/>
        <v>0</v>
      </c>
      <c r="AV38" s="144" t="str">
        <f t="shared" si="11"/>
        <v/>
      </c>
      <c r="AW38" s="143" t="b">
        <f t="shared" si="12"/>
        <v>0</v>
      </c>
      <c r="AX38" s="145" t="b">
        <f t="shared" si="13"/>
        <v>0</v>
      </c>
      <c r="AY38" s="143" t="b">
        <f t="shared" si="14"/>
        <v>0</v>
      </c>
      <c r="AZ38" s="145" t="b">
        <f t="shared" si="15"/>
        <v>0</v>
      </c>
      <c r="BA38" s="453" t="b">
        <f t="shared" si="16"/>
        <v>0</v>
      </c>
      <c r="BB38" s="453" t="b">
        <f t="shared" si="17"/>
        <v>0</v>
      </c>
      <c r="BC38" s="143" t="b">
        <f t="shared" si="18"/>
        <v>0</v>
      </c>
      <c r="BD38" s="146" t="b">
        <f t="shared" si="31"/>
        <v>0</v>
      </c>
      <c r="BE38" s="145" t="b">
        <f t="shared" si="37"/>
        <v>0</v>
      </c>
      <c r="BF38" s="147" t="b">
        <f t="shared" si="39"/>
        <v>0</v>
      </c>
      <c r="BG38" s="453" t="str">
        <f t="shared" si="38"/>
        <v>NA</v>
      </c>
      <c r="BH38" s="453" t="str">
        <f t="shared" si="32"/>
        <v/>
      </c>
      <c r="BI38" s="453" t="str">
        <f t="shared" si="22"/>
        <v/>
      </c>
      <c r="BJ38" s="453" t="str">
        <f t="shared" si="23"/>
        <v/>
      </c>
      <c r="BK38" s="453" t="str">
        <f t="shared" si="24"/>
        <v/>
      </c>
      <c r="BL38" s="148" t="str">
        <f t="shared" si="33"/>
        <v/>
      </c>
      <c r="BM38" s="453" t="str">
        <f t="shared" si="25"/>
        <v/>
      </c>
      <c r="BN38" s="453" t="str">
        <f t="shared" si="26"/>
        <v/>
      </c>
      <c r="BO38" s="150" t="s">
        <v>373</v>
      </c>
      <c r="BP38" s="150"/>
      <c r="BQ38" s="150"/>
      <c r="BR38" s="150"/>
      <c r="BS38" s="150"/>
      <c r="BT38" s="150"/>
      <c r="BU38" s="150"/>
    </row>
    <row r="39" spans="2:73" s="94" customFormat="1" ht="12.95" customHeight="1" thickBot="1" x14ac:dyDescent="0.25">
      <c r="B39" s="151" t="str">
        <f>IF(ISNA(Z39),"",IF(OR(Z39=1,Z39=2),"    ",MAX($B$8:B38)+1))</f>
        <v/>
      </c>
      <c r="C39" s="904" t="str">
        <f t="shared" si="40"/>
        <v/>
      </c>
      <c r="D39" s="904"/>
      <c r="E39" s="904"/>
      <c r="F39" s="905"/>
      <c r="G39" s="171" t="str">
        <f t="shared" si="1"/>
        <v/>
      </c>
      <c r="H39" s="134" t="str">
        <f t="shared" si="2"/>
        <v/>
      </c>
      <c r="I39" s="172" t="str">
        <f t="shared" si="2"/>
        <v/>
      </c>
      <c r="J39" s="173"/>
      <c r="K39" s="174"/>
      <c r="L39" s="1018"/>
      <c r="M39" s="1019"/>
      <c r="N39" s="1019"/>
      <c r="O39" s="1019"/>
      <c r="P39" s="1019"/>
      <c r="Q39" s="1019"/>
      <c r="R39" s="1020"/>
      <c r="T39" s="99">
        <v>32</v>
      </c>
      <c r="U39" s="88" t="e">
        <v>#N/A</v>
      </c>
      <c r="V39" s="453" t="e">
        <v>#N/A</v>
      </c>
      <c r="W39" s="453" t="e">
        <v>#N/A</v>
      </c>
      <c r="X39" s="453" t="e">
        <v>#N/A</v>
      </c>
      <c r="Y39" s="453" t="e">
        <v>#N/A</v>
      </c>
      <c r="Z39" s="146" t="e">
        <v>#N/A</v>
      </c>
      <c r="AA39" s="146" t="e">
        <v>#N/A</v>
      </c>
      <c r="AB39" s="146" t="e">
        <v>#N/A</v>
      </c>
      <c r="AC39" s="453" t="e">
        <v>#N/A</v>
      </c>
      <c r="AD39" s="453" t="e">
        <v>#N/A</v>
      </c>
      <c r="AE39" s="453" t="e">
        <v>#N/A</v>
      </c>
      <c r="AF39" s="453" t="e">
        <v>#N/A</v>
      </c>
      <c r="AG39" s="453" t="e">
        <f t="shared" si="3"/>
        <v>#N/A</v>
      </c>
      <c r="AH39" s="453" t="str">
        <f t="shared" si="4"/>
        <v/>
      </c>
      <c r="AI39" s="138" t="e">
        <f>IF(NOT(OR(Z39=1,Z39=2)),IF(AQ39&gt;0,$AR$44*AQ39/SUMIF($AQ$8:$AQ$39,"&gt;0"),IF(AU39&gt;0,$AV$44*AU39/SUMIF($AU$8:$AU$39,"&gt;0"),IF(AS39&gt;0,$AT$44*AS39/SUMIF($AS$8:$AS$39,"&gt;0"),""))),IF(SUMIF(AJ$39:$AJ40,"=" &amp; AJ39,AI$39:$AI40)=0,"",SUMIF(AJ$39:$AJ40,"=" &amp; AJ39,AI$39:$AI40)))</f>
        <v>#N/A</v>
      </c>
      <c r="AJ39" s="139" t="e">
        <f t="shared" si="34"/>
        <v>#N/A</v>
      </c>
      <c r="AK39" s="453" t="str">
        <f t="shared" si="27"/>
        <v/>
      </c>
      <c r="AL39" s="146" t="str">
        <f t="shared" si="28"/>
        <v/>
      </c>
      <c r="AM39" s="146" t="str">
        <f t="shared" si="35"/>
        <v/>
      </c>
      <c r="AN39" s="146" t="str">
        <f>IF(ISNUMBER(AH39),IF(AND(AB39=0,ISNUMBER(AC39),ISNUMBER(AL39)),1,""),"")</f>
        <v/>
      </c>
      <c r="AO39" s="146" t="e">
        <f t="shared" si="6"/>
        <v>#N/A</v>
      </c>
      <c r="AP39" s="453" t="str">
        <f t="shared" si="7"/>
        <v/>
      </c>
      <c r="AQ39" s="140">
        <f t="shared" si="29"/>
        <v>0</v>
      </c>
      <c r="AR39" s="141" t="str">
        <f t="shared" si="8"/>
        <v/>
      </c>
      <c r="AS39" s="142">
        <f t="shared" si="30"/>
        <v>0</v>
      </c>
      <c r="AT39" s="141" t="str">
        <f t="shared" si="9"/>
        <v/>
      </c>
      <c r="AU39" s="143">
        <f t="shared" si="10"/>
        <v>0</v>
      </c>
      <c r="AV39" s="144" t="str">
        <f t="shared" si="11"/>
        <v/>
      </c>
      <c r="AW39" s="143" t="b">
        <f t="shared" si="12"/>
        <v>0</v>
      </c>
      <c r="AX39" s="145" t="b">
        <f t="shared" si="13"/>
        <v>0</v>
      </c>
      <c r="AY39" s="143" t="b">
        <f t="shared" si="14"/>
        <v>0</v>
      </c>
      <c r="AZ39" s="145" t="b">
        <f t="shared" si="15"/>
        <v>0</v>
      </c>
      <c r="BA39" s="453" t="b">
        <f t="shared" si="16"/>
        <v>0</v>
      </c>
      <c r="BB39" s="453" t="b">
        <f t="shared" si="17"/>
        <v>0</v>
      </c>
      <c r="BC39" s="143" t="b">
        <f t="shared" si="18"/>
        <v>0</v>
      </c>
      <c r="BD39" s="146" t="b">
        <f t="shared" si="31"/>
        <v>0</v>
      </c>
      <c r="BE39" s="145" t="b">
        <f t="shared" si="37"/>
        <v>0</v>
      </c>
      <c r="BF39" s="147" t="b">
        <f t="shared" si="39"/>
        <v>0</v>
      </c>
      <c r="BG39" s="453" t="str">
        <f t="shared" si="38"/>
        <v>NA</v>
      </c>
      <c r="BH39" s="453" t="str">
        <f t="shared" si="32"/>
        <v/>
      </c>
      <c r="BI39" s="453" t="str">
        <f t="shared" si="22"/>
        <v/>
      </c>
      <c r="BJ39" s="453" t="str">
        <f t="shared" si="23"/>
        <v/>
      </c>
      <c r="BK39" s="453" t="str">
        <f t="shared" si="24"/>
        <v/>
      </c>
      <c r="BL39" s="453" t="str">
        <f t="shared" si="33"/>
        <v/>
      </c>
      <c r="BM39" s="453" t="str">
        <f t="shared" si="25"/>
        <v/>
      </c>
      <c r="BN39" s="453" t="str">
        <f t="shared" si="26"/>
        <v/>
      </c>
      <c r="BO39" s="1023"/>
      <c r="BP39" s="1024"/>
      <c r="BQ39" s="1024"/>
      <c r="BR39" s="1024"/>
      <c r="BS39" s="1024"/>
      <c r="BT39" s="1024"/>
      <c r="BU39" s="1025"/>
    </row>
    <row r="40" spans="2:73" s="91" customFormat="1" ht="8.25" customHeight="1" x14ac:dyDescent="0.2">
      <c r="B40" s="915" t="s">
        <v>374</v>
      </c>
      <c r="C40" s="916"/>
      <c r="D40" s="917"/>
      <c r="E40" s="452" t="s">
        <v>375</v>
      </c>
      <c r="F40" s="918" t="s">
        <v>376</v>
      </c>
      <c r="G40" s="919"/>
      <c r="H40" s="919" t="s">
        <v>377</v>
      </c>
      <c r="I40" s="919"/>
      <c r="J40" s="920" t="s">
        <v>378</v>
      </c>
      <c r="K40" s="921"/>
      <c r="L40" s="175" t="s">
        <v>379</v>
      </c>
      <c r="M40" s="922" t="s">
        <v>380</v>
      </c>
      <c r="N40" s="922"/>
      <c r="O40" s="923" t="str">
        <f>IF(U44,"DO REVIEW","DO REV N/A")</f>
        <v>DO REVIEW</v>
      </c>
      <c r="P40" s="924"/>
      <c r="Q40" s="176" t="str">
        <f>IF(U45,"ED REVIEW","ED REV N/A")</f>
        <v>ED REVIEW</v>
      </c>
      <c r="R40" s="177"/>
      <c r="S40" s="178">
        <v>0</v>
      </c>
      <c r="AI40" s="179"/>
      <c r="AJ40" s="92"/>
      <c r="AK40" s="92"/>
      <c r="AL40" s="92"/>
      <c r="AM40" s="92"/>
      <c r="AN40" s="92"/>
      <c r="AO40" s="88"/>
      <c r="AP40" s="92"/>
      <c r="AQ40" s="180"/>
      <c r="AR40" s="92"/>
      <c r="AS40" s="180"/>
      <c r="AT40" s="92"/>
      <c r="AU40" s="180"/>
      <c r="AV40" s="181"/>
      <c r="AW40" s="92"/>
      <c r="AX40" s="92"/>
      <c r="AY40" s="92"/>
      <c r="AZ40" s="92"/>
      <c r="BA40" s="92"/>
      <c r="BB40" s="92"/>
      <c r="BC40" s="92"/>
      <c r="BD40" s="92"/>
      <c r="BE40" s="92"/>
      <c r="BF40" s="92"/>
      <c r="BG40" s="92"/>
      <c r="BH40" s="88"/>
      <c r="BI40" s="88"/>
      <c r="BJ40" s="88"/>
      <c r="BK40" s="88"/>
      <c r="BL40" s="88"/>
      <c r="BM40" s="88"/>
      <c r="BN40" s="88"/>
      <c r="BO40" s="1026"/>
      <c r="BP40" s="1027"/>
      <c r="BQ40" s="1027"/>
      <c r="BR40" s="1027"/>
      <c r="BS40" s="1027"/>
      <c r="BT40" s="1027"/>
      <c r="BU40" s="1028"/>
    </row>
    <row r="41" spans="2:73" ht="18.75" customHeight="1" thickBot="1" x14ac:dyDescent="0.25">
      <c r="B41" s="925" t="str">
        <f>IF(ISERROR(AR46),"",TEXT(AR45,"0.0%"))</f>
        <v>0.0%</v>
      </c>
      <c r="C41" s="926"/>
      <c r="D41" s="927"/>
      <c r="E41" s="182" t="str">
        <f>IF(AU41=0,"N/A",CONCATENATE(TEXT(AV45,"0.0%")," of ",TEXT(AV44,"0.0%")))</f>
        <v>0.0% of 3.6%</v>
      </c>
      <c r="F41" s="929" t="str">
        <f>IF((graded_aca_events+graded_amn_events)&lt;1,"---",IF(AND(AW4,AX4),"INCOMPLETE",IF(AND(NOT(AW4),AX4),"ACA INC",IF(AND(AW4,NOT(AX4)),"AMN INC","COMPLETE"))))</f>
        <v>---</v>
      </c>
      <c r="G41" s="929"/>
      <c r="H41" s="929" t="str">
        <f>IF(AU4,IF(OR(AY4="UNK",NOT(AN6)),"---",IF(AY4,"UNSAT",IF(AVERAGEIFS(AT8:AT39,AS8:AS39,"&gt;0")&lt;0.9,"MARG","SAT"))),"N/A")</f>
        <v>---</v>
      </c>
      <c r="I41" s="929"/>
      <c r="J41" s="930" t="str">
        <f>IF(OR(AZ4="UNK",NOT(AM6)),"---",IF(OR(AZ4,AR45&lt;0.7),"FAIL","PASS"))</f>
        <v>---</v>
      </c>
      <c r="K41" s="931"/>
      <c r="L41" s="430"/>
      <c r="M41" s="932"/>
      <c r="N41" s="932"/>
      <c r="O41" s="1021" t="s">
        <v>265</v>
      </c>
      <c r="P41" s="1021"/>
      <c r="Q41" s="1021" t="s">
        <v>265</v>
      </c>
      <c r="R41" s="1022"/>
      <c r="S41" s="183"/>
      <c r="T41" s="99" t="s">
        <v>381</v>
      </c>
      <c r="U41" s="146" t="s">
        <v>382</v>
      </c>
      <c r="V41" s="184"/>
      <c r="W41" s="184"/>
      <c r="X41" s="184"/>
      <c r="Y41" s="184"/>
      <c r="Z41" s="184"/>
      <c r="AA41" s="184"/>
      <c r="AB41" s="184"/>
      <c r="AC41" s="184"/>
      <c r="AD41" s="184"/>
      <c r="AE41" s="184"/>
      <c r="AF41" s="184"/>
      <c r="AG41" s="184"/>
      <c r="AH41" s="184"/>
      <c r="AI41" s="86"/>
      <c r="AJ41" s="85"/>
      <c r="AK41" s="184"/>
      <c r="AL41" s="184"/>
      <c r="AM41" s="184">
        <f>SUM(AM8:AM39)</f>
        <v>0</v>
      </c>
      <c r="AN41" s="184">
        <f>SUM(AN8:AN39)</f>
        <v>0</v>
      </c>
      <c r="AO41" s="99"/>
      <c r="AP41" s="85"/>
      <c r="AQ41" s="185">
        <f>SUMIF(AQ8:AQ39,"&gt;0")</f>
        <v>14</v>
      </c>
      <c r="AR41" s="186">
        <f>IF(AQ41=0,0,SUMPRODUCT($AQ$8:$AQ$39,AR8:AR39)/SUM($AQ$8:$AQ$39))</f>
        <v>0</v>
      </c>
      <c r="AS41" s="187">
        <f>SUMIF(AS8:AS39,"&gt;0")</f>
        <v>5</v>
      </c>
      <c r="AT41" s="186">
        <f>IF(AS41=0,0,SUMPRODUCT($AS$8:$AS$39,AT8:AT39)/SUM($AS$8:$AS$39))</f>
        <v>0</v>
      </c>
      <c r="AU41" s="187">
        <f>SUM(AU9:AU39)</f>
        <v>0.5</v>
      </c>
      <c r="AV41" s="186">
        <f>IF(AU41=0,0,SUMPRODUCT($AU$8:$AU$39,AV8:AV39)/SUM($AU$8:$AU$39))</f>
        <v>0</v>
      </c>
      <c r="AW41" s="188"/>
      <c r="AX41" s="188"/>
      <c r="AY41" s="188"/>
      <c r="AZ41" s="188"/>
      <c r="BA41" s="188"/>
      <c r="BB41" s="188"/>
      <c r="BC41" s="88" t="s">
        <v>383</v>
      </c>
      <c r="BD41" s="88" t="s">
        <v>384</v>
      </c>
      <c r="BE41" s="88" t="s">
        <v>385</v>
      </c>
      <c r="BO41" s="1026"/>
      <c r="BP41" s="1027"/>
      <c r="BQ41" s="1027"/>
      <c r="BR41" s="1027"/>
      <c r="BS41" s="1027"/>
      <c r="BT41" s="1027"/>
      <c r="BU41" s="1028"/>
    </row>
    <row r="42" spans="2:73" ht="7.5" customHeight="1" thickTop="1" x14ac:dyDescent="0.2">
      <c r="L42" s="928" t="s">
        <v>732</v>
      </c>
      <c r="M42" s="928"/>
      <c r="N42" s="928"/>
      <c r="O42" s="928"/>
      <c r="P42" s="928"/>
      <c r="Q42" s="928"/>
      <c r="R42" s="928"/>
      <c r="AP42" s="184"/>
      <c r="AQ42" s="85"/>
      <c r="AR42" s="85"/>
      <c r="AT42" s="186"/>
      <c r="AU42" s="186"/>
      <c r="AV42" s="186"/>
      <c r="AW42" s="85"/>
      <c r="AX42" s="186"/>
      <c r="BO42" s="1029"/>
      <c r="BP42" s="1030"/>
      <c r="BQ42" s="1030"/>
      <c r="BR42" s="1030"/>
      <c r="BS42" s="1030"/>
      <c r="BT42" s="1030"/>
      <c r="BU42" s="1031"/>
    </row>
    <row r="43" spans="2:73" ht="30.75" customHeight="1" x14ac:dyDescent="0.2">
      <c r="T43" s="189" t="s">
        <v>386</v>
      </c>
      <c r="U43" s="146" t="b">
        <v>0</v>
      </c>
      <c r="AI43" s="89">
        <f ca="1">SUMIF(AJ8:$AJ$39,"=" &amp; AJ8,AI9:$AI$39)</f>
        <v>0.2</v>
      </c>
      <c r="AO43" s="190"/>
      <c r="AS43" s="118" t="s">
        <v>387</v>
      </c>
      <c r="AT43" s="191">
        <f>SUMIF(X8:X39,"&gt;0")/SUMIF(W8:W39,"&gt;0")</f>
        <v>0.35714285714285715</v>
      </c>
      <c r="AU43" s="118" t="s">
        <v>388</v>
      </c>
      <c r="AV43" s="192">
        <f>SUMIF(AU8:AU39,"&gt;0")/SUMIF(AQ8:AQ39,"&gt;0")</f>
        <v>3.5714285714285712E-2</v>
      </c>
      <c r="AW43" s="193"/>
      <c r="BE43" s="88" t="b">
        <f>AND(ISBLANK($K30),J30&gt;0)</f>
        <v>0</v>
      </c>
      <c r="BO43" s="88"/>
      <c r="BP43" s="88"/>
      <c r="BQ43" s="90"/>
    </row>
    <row r="44" spans="2:73" ht="30.75" customHeight="1" x14ac:dyDescent="0.2">
      <c r="J44" s="194"/>
      <c r="T44" s="195" t="s">
        <v>389</v>
      </c>
      <c r="U44" s="88" t="b">
        <f>IF(AND(Flight?,OR(AW4,AY4,BA4,AZ4,AR45&lt;0.7,H41="MARG")),TRUE,FALSE)</f>
        <v>1</v>
      </c>
      <c r="AO44" s="196"/>
      <c r="AQ44" s="118" t="s">
        <v>390</v>
      </c>
      <c r="AR44" s="191">
        <f>1-AT44</f>
        <v>0.8</v>
      </c>
      <c r="AS44" s="118" t="s">
        <v>391</v>
      </c>
      <c r="AT44" s="191">
        <f>MIN(AT43,AT6)</f>
        <v>0.2</v>
      </c>
      <c r="AU44" s="118" t="s">
        <v>392</v>
      </c>
      <c r="AV44" s="89">
        <f>MIN(AV43,AV6)</f>
        <v>3.5714285714285712E-2</v>
      </c>
      <c r="BO44" s="88"/>
      <c r="BP44" s="88"/>
      <c r="BQ44" s="90"/>
    </row>
    <row r="45" spans="2:73" ht="25.5" x14ac:dyDescent="0.2">
      <c r="T45" s="195" t="s">
        <v>393</v>
      </c>
      <c r="U45" s="88" t="b">
        <f>IF(OR(AX4,AY4,AZ4,BB4,AR45&lt;0.7),TRUE,FALSE)</f>
        <v>1</v>
      </c>
      <c r="AO45" s="197"/>
      <c r="AQ45" s="118" t="s">
        <v>394</v>
      </c>
      <c r="AR45" s="89">
        <f>AR41*(1-AT44)+(AT41*AT44)</f>
        <v>0</v>
      </c>
      <c r="AU45" s="88" t="s">
        <v>324</v>
      </c>
      <c r="AV45" s="89">
        <f>AV41*AV44</f>
        <v>0</v>
      </c>
      <c r="BO45" s="88"/>
      <c r="BP45" s="88"/>
      <c r="BQ45" s="90"/>
    </row>
    <row r="46" spans="2:73" ht="25.5" x14ac:dyDescent="0.2">
      <c r="T46" s="195" t="s">
        <v>395</v>
      </c>
      <c r="U46" s="88" t="b">
        <v>0</v>
      </c>
      <c r="AO46" s="197"/>
      <c r="AQ46" s="118" t="s">
        <v>396</v>
      </c>
      <c r="AR46" s="89">
        <f>MIN(1,IF(NOT(OR(AY4,AZ4)),AR45+AV45,MIN(0.69,AR45+AV45)))</f>
        <v>0</v>
      </c>
      <c r="BO46" s="88"/>
      <c r="BP46" s="88"/>
      <c r="BQ46" s="90"/>
    </row>
    <row r="47" spans="2:73" x14ac:dyDescent="0.2">
      <c r="T47" s="195" t="s">
        <v>397</v>
      </c>
      <c r="U47" s="88" t="b">
        <f>IF(NOT(Flight?),TRUE,NOT(OR(ISBLANK(comments),ISBLANK(hdr_class),ISBLANK(hdr_date),ISBLANK(hdr_stud),ISBLANK(hdr_instr),ISBLANK(hdr_acft),ISBLANK(hdr_time),F41="---")))</f>
        <v>0</v>
      </c>
      <c r="AO47" s="197"/>
      <c r="AR47" s="118"/>
      <c r="AS47" s="89"/>
    </row>
    <row r="48" spans="2:73" x14ac:dyDescent="0.2">
      <c r="T48" s="195" t="s">
        <v>398</v>
      </c>
      <c r="U48" s="88" t="b">
        <f>IF(Flight?,TRUE,NOT(OR(ISBLANK(comments),ISBLANK(hdr_class),ISBLANK(hdr_date),ISBLANK(hdr_stud),ISBLANK(hdr_instr),F41="---")))</f>
        <v>1</v>
      </c>
      <c r="AO48" s="196"/>
      <c r="AP48" s="85" t="s">
        <v>399</v>
      </c>
      <c r="AQ48" s="85"/>
      <c r="AR48" s="85"/>
      <c r="AS48" s="85"/>
      <c r="AT48" s="85"/>
    </row>
    <row r="49" spans="20:50" x14ac:dyDescent="0.2">
      <c r="T49" s="195" t="s">
        <v>400</v>
      </c>
      <c r="U49" s="88" t="b">
        <f>AND(U47:U48)</f>
        <v>0</v>
      </c>
      <c r="AO49" s="196"/>
      <c r="AP49" s="85"/>
      <c r="AQ49" s="85"/>
      <c r="AR49" s="85">
        <v>0</v>
      </c>
      <c r="AS49" s="85">
        <v>1</v>
      </c>
      <c r="AT49" s="85">
        <v>2</v>
      </c>
      <c r="AU49" s="85">
        <v>3</v>
      </c>
      <c r="AV49" s="85">
        <v>4</v>
      </c>
    </row>
    <row r="50" spans="20:50" x14ac:dyDescent="0.2">
      <c r="AO50" s="196"/>
      <c r="AP50" s="85" t="s">
        <v>359</v>
      </c>
      <c r="AQ50" s="85">
        <v>1</v>
      </c>
      <c r="AR50" s="198">
        <v>0.7</v>
      </c>
      <c r="AS50" s="198">
        <v>0.9</v>
      </c>
      <c r="AT50" s="198">
        <v>0.93330000000000002</v>
      </c>
      <c r="AU50" s="198">
        <v>0.9667</v>
      </c>
      <c r="AV50" s="198">
        <v>1</v>
      </c>
    </row>
    <row r="51" spans="20:50" x14ac:dyDescent="0.2">
      <c r="AO51" s="196"/>
      <c r="AP51" s="85" t="s">
        <v>360</v>
      </c>
      <c r="AQ51" s="85">
        <v>2</v>
      </c>
      <c r="AR51" s="198">
        <v>0.7</v>
      </c>
      <c r="AS51" s="198">
        <v>0.8</v>
      </c>
      <c r="AT51" s="198">
        <v>0.9</v>
      </c>
      <c r="AU51" s="198">
        <v>0.95</v>
      </c>
      <c r="AV51" s="198">
        <v>1</v>
      </c>
    </row>
    <row r="52" spans="20:50" x14ac:dyDescent="0.2">
      <c r="AO52" s="196"/>
      <c r="AP52" s="85" t="s">
        <v>361</v>
      </c>
      <c r="AQ52" s="85">
        <v>3</v>
      </c>
      <c r="AR52" s="198">
        <v>0.7</v>
      </c>
      <c r="AS52" s="198">
        <v>0.76670000000000005</v>
      </c>
      <c r="AT52" s="198">
        <v>0.83330000000000004</v>
      </c>
      <c r="AU52" s="198">
        <v>0.9</v>
      </c>
      <c r="AV52" s="198">
        <v>1</v>
      </c>
    </row>
    <row r="53" spans="20:50" x14ac:dyDescent="0.2">
      <c r="AP53" s="199" t="s">
        <v>362</v>
      </c>
      <c r="AQ53" s="85">
        <v>11</v>
      </c>
      <c r="AR53" s="198">
        <v>0.6</v>
      </c>
      <c r="AS53" s="198">
        <v>0.9</v>
      </c>
      <c r="AT53" s="198">
        <v>0.93330000000000002</v>
      </c>
      <c r="AU53" s="198">
        <v>0.9667</v>
      </c>
      <c r="AV53" s="198">
        <v>1</v>
      </c>
    </row>
    <row r="54" spans="20:50" x14ac:dyDescent="0.2">
      <c r="AP54" s="199" t="s">
        <v>363</v>
      </c>
      <c r="AQ54" s="85">
        <v>12</v>
      </c>
      <c r="AR54" s="198">
        <v>0.6</v>
      </c>
      <c r="AS54" s="198">
        <v>0.7</v>
      </c>
      <c r="AT54" s="198">
        <v>0.9</v>
      </c>
      <c r="AU54" s="198">
        <v>0.95</v>
      </c>
      <c r="AV54" s="198">
        <v>1</v>
      </c>
    </row>
    <row r="55" spans="20:50" x14ac:dyDescent="0.2">
      <c r="AP55" s="199" t="s">
        <v>364</v>
      </c>
      <c r="AQ55" s="85">
        <v>13</v>
      </c>
      <c r="AR55" s="198">
        <v>0.6</v>
      </c>
      <c r="AS55" s="198">
        <v>0.7</v>
      </c>
      <c r="AT55" s="198">
        <v>0.8</v>
      </c>
      <c r="AU55" s="198">
        <v>0.9</v>
      </c>
      <c r="AV55" s="198">
        <v>1</v>
      </c>
    </row>
    <row r="56" spans="20:50" x14ac:dyDescent="0.2">
      <c r="AP56" s="199" t="s">
        <v>365</v>
      </c>
      <c r="AQ56" s="85">
        <v>22</v>
      </c>
      <c r="AR56" s="198">
        <v>0.3</v>
      </c>
      <c r="AS56" s="198">
        <v>0.6</v>
      </c>
      <c r="AT56" s="198">
        <v>0.9</v>
      </c>
      <c r="AU56" s="198">
        <v>0.95</v>
      </c>
      <c r="AV56" s="198">
        <v>1</v>
      </c>
    </row>
    <row r="57" spans="20:50" x14ac:dyDescent="0.2">
      <c r="AP57" s="199" t="s">
        <v>366</v>
      </c>
      <c r="AQ57" s="85">
        <v>23</v>
      </c>
      <c r="AR57" s="198">
        <v>0.3</v>
      </c>
      <c r="AS57" s="198">
        <v>0.6</v>
      </c>
      <c r="AT57" s="198">
        <v>0.7</v>
      </c>
      <c r="AU57" s="198">
        <v>0.9</v>
      </c>
      <c r="AV57" s="198">
        <v>1</v>
      </c>
    </row>
    <row r="58" spans="20:50" x14ac:dyDescent="0.2">
      <c r="AP58" s="199" t="s">
        <v>367</v>
      </c>
      <c r="AQ58" s="85">
        <v>33</v>
      </c>
      <c r="AR58" s="198">
        <v>0</v>
      </c>
      <c r="AS58" s="198">
        <v>0.3</v>
      </c>
      <c r="AT58" s="198">
        <v>0.6</v>
      </c>
      <c r="AU58" s="198">
        <v>0.9</v>
      </c>
      <c r="AV58" s="198">
        <v>1</v>
      </c>
      <c r="AW58" s="85"/>
    </row>
    <row r="60" spans="20:50" x14ac:dyDescent="0.2">
      <c r="AQ60" s="85"/>
      <c r="AW60" s="85"/>
      <c r="AX60" s="85"/>
    </row>
    <row r="61" spans="20:50" x14ac:dyDescent="0.2">
      <c r="AP61" s="200"/>
      <c r="AQ61" s="85"/>
      <c r="AW61" s="85"/>
      <c r="AX61" s="85"/>
    </row>
    <row r="62" spans="20:50" x14ac:dyDescent="0.2">
      <c r="AP62" s="85"/>
      <c r="AQ62" s="85"/>
      <c r="AW62" s="85"/>
      <c r="AX62" s="85"/>
    </row>
    <row r="63" spans="20:50" x14ac:dyDescent="0.2">
      <c r="AP63" s="85"/>
      <c r="AQ63" s="85"/>
      <c r="AW63" s="85"/>
    </row>
    <row r="64" spans="20:50" x14ac:dyDescent="0.2">
      <c r="AP64" s="85"/>
      <c r="AQ64" s="85"/>
      <c r="AW64" s="85"/>
    </row>
    <row r="65" spans="42:43" x14ac:dyDescent="0.2">
      <c r="AP65" s="85"/>
      <c r="AQ65" s="85"/>
    </row>
    <row r="66" spans="42:43" x14ac:dyDescent="0.2">
      <c r="AP66" s="85"/>
      <c r="AQ66" s="85"/>
    </row>
  </sheetData>
  <sheetProtection algorithmName="SHA-512" hashValue="50UXXkSZ8ZmJ7Sa3Uwo+CUrc2ilojieZjxRo6Guc8MmMFMuHzeGC6m4qx/xT9BpbMV5ofrQVNRfy+R+FvtcX3g==" saltValue="SAIMZYhU/Lk1Or261uUvUw==" spinCount="100000" sheet="1" selectLockedCells="1"/>
  <mergeCells count="76">
    <mergeCell ref="Q5:R5"/>
    <mergeCell ref="B6:E6"/>
    <mergeCell ref="B4:G4"/>
    <mergeCell ref="H4:N4"/>
    <mergeCell ref="O4:P4"/>
    <mergeCell ref="Q4:R4"/>
    <mergeCell ref="B5:E5"/>
    <mergeCell ref="F5:G5"/>
    <mergeCell ref="H5:L5"/>
    <mergeCell ref="M5:N5"/>
    <mergeCell ref="O5:P5"/>
    <mergeCell ref="C31:F31"/>
    <mergeCell ref="C32:F32"/>
    <mergeCell ref="BP3:BU4"/>
    <mergeCell ref="F6:G6"/>
    <mergeCell ref="H6:L6"/>
    <mergeCell ref="M6:N6"/>
    <mergeCell ref="O6:P6"/>
    <mergeCell ref="Q6:R6"/>
    <mergeCell ref="B3:G3"/>
    <mergeCell ref="H3:N3"/>
    <mergeCell ref="O3:P3"/>
    <mergeCell ref="Q3:R3"/>
    <mergeCell ref="B7:F7"/>
    <mergeCell ref="L7:R7"/>
    <mergeCell ref="BH4:BK6"/>
    <mergeCell ref="BL4:BN6"/>
    <mergeCell ref="C33:F33"/>
    <mergeCell ref="C34:F34"/>
    <mergeCell ref="BO34:BU37"/>
    <mergeCell ref="C8:F8"/>
    <mergeCell ref="L8:R39"/>
    <mergeCell ref="C9:F9"/>
    <mergeCell ref="C10:F10"/>
    <mergeCell ref="C11:F11"/>
    <mergeCell ref="C12:F12"/>
    <mergeCell ref="C13:F13"/>
    <mergeCell ref="C14:F14"/>
    <mergeCell ref="C15:F15"/>
    <mergeCell ref="C16:F16"/>
    <mergeCell ref="C30:F30"/>
    <mergeCell ref="C17:F17"/>
    <mergeCell ref="C18:F18"/>
    <mergeCell ref="BQ19:BU19"/>
    <mergeCell ref="C20:F20"/>
    <mergeCell ref="C21:F21"/>
    <mergeCell ref="BO21:BO29"/>
    <mergeCell ref="C22:F22"/>
    <mergeCell ref="C23:F23"/>
    <mergeCell ref="C24:F24"/>
    <mergeCell ref="C25:F25"/>
    <mergeCell ref="C26:F26"/>
    <mergeCell ref="C27:F27"/>
    <mergeCell ref="C28:F28"/>
    <mergeCell ref="C29:F29"/>
    <mergeCell ref="C19:F19"/>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s>
  <conditionalFormatting sqref="B8:F39">
    <cfRule type="expression" dxfId="216" priority="8" stopIfTrue="1">
      <formula>IF($Z8=1,TRUE,FALSE)</formula>
    </cfRule>
    <cfRule type="expression" dxfId="215" priority="9">
      <formula>IF($Z8=2,TRUE,FALSE)</formula>
    </cfRule>
  </conditionalFormatting>
  <conditionalFormatting sqref="C8:F39">
    <cfRule type="expression" dxfId="214" priority="1" stopIfTrue="1">
      <formula>IF($AF8=FALSE,TRUE,FALSE)</formula>
    </cfRule>
  </conditionalFormatting>
  <conditionalFormatting sqref="F5:G6 M5:P6">
    <cfRule type="expression" dxfId="213" priority="4" stopIfTrue="1">
      <formula>NOT($AU$4)</formula>
    </cfRule>
  </conditionalFormatting>
  <conditionalFormatting sqref="F6:G6">
    <cfRule type="cellIs" dxfId="212" priority="3" operator="equal">
      <formula>""</formula>
    </cfRule>
  </conditionalFormatting>
  <conditionalFormatting sqref="G8:K39">
    <cfRule type="expression" dxfId="211" priority="6" stopIfTrue="1">
      <formula>IF($Z8=1,TRUE,FALSE)</formula>
    </cfRule>
    <cfRule type="expression" dxfId="210" priority="7" stopIfTrue="1">
      <formula>IF($Z8=2,TRUE,FALSE)</formula>
    </cfRule>
  </conditionalFormatting>
  <conditionalFormatting sqref="H8:H39">
    <cfRule type="expression" dxfId="209" priority="10" stopIfTrue="1">
      <formula>IF($AB8=0,TRUE,FALSE)</formula>
    </cfRule>
  </conditionalFormatting>
  <conditionalFormatting sqref="H40:I41">
    <cfRule type="expression" dxfId="208" priority="2" stopIfTrue="1">
      <formula>IF($H$41="N/A",TRUE,FALSE)</formula>
    </cfRule>
  </conditionalFormatting>
  <conditionalFormatting sqref="H6:P6 O4:R4 B6 L8 L41 O41:R41">
    <cfRule type="containsBlanks" dxfId="207" priority="5">
      <formula>LEN(TRIM(B4))=0</formula>
    </cfRule>
  </conditionalFormatting>
  <conditionalFormatting sqref="J8:J39">
    <cfRule type="expression" dxfId="206" priority="14">
      <formula>IF($Z8=1,FALSE,OR($BE8,$BD8))</formula>
    </cfRule>
  </conditionalFormatting>
  <conditionalFormatting sqref="J8:K39 C8:F39">
    <cfRule type="expression" dxfId="205" priority="13">
      <formula>IF($Z8=1,FALSE,OR($AW8,$AX8,$AY8,$AZ8))</formula>
    </cfRule>
  </conditionalFormatting>
  <conditionalFormatting sqref="J8:K39">
    <cfRule type="expression" dxfId="204" priority="11" stopIfTrue="1">
      <formula>IF(ISNA($Z8),TRUE,FALSE)</formula>
    </cfRule>
  </conditionalFormatting>
  <conditionalFormatting sqref="K8:K39">
    <cfRule type="expression" dxfId="203" priority="12">
      <formula>IF(OR($Z8=1,$Z8=2),FALSE,OR($BC8,$BE8,$BF8))</formula>
    </cfRule>
  </conditionalFormatting>
  <dataValidations count="6">
    <dataValidation type="list" allowBlank="1" showInputMessage="1" showErrorMessage="1" sqref="F6:G6" xr:uid="{A30DD299-23FA-471D-B2DE-CF9EEF570868}">
      <formula1>"No,Yes"</formula1>
    </dataValidation>
    <dataValidation type="list" allowBlank="1" showInputMessage="1" showErrorMessage="1" sqref="J8:J39" xr:uid="{4D474EDE-3D13-4EB6-B64B-43B50935EEBC}">
      <formula1>"NA,0,1,2,3,4,5,6,7,8,9,10,11,12,13,14,15"</formula1>
    </dataValidation>
    <dataValidation type="list" allowBlank="1" showInputMessage="1" showErrorMessage="1" sqref="K8:K39" xr:uid="{EE5FD891-1715-47BF-A860-7EEE5AF852C1}">
      <formula1>"D,0,1,2,3,4"</formula1>
    </dataValidation>
    <dataValidation showInputMessage="1" showErrorMessage="1" sqref="O41:R41" xr:uid="{888ECCE0-F435-4CBB-92D4-902696F913F6}"/>
    <dataValidation type="decimal" allowBlank="1" showInputMessage="1" showErrorMessage="1" sqref="O6:P6" xr:uid="{4FFDB5E6-81E3-49BB-89EC-09256364BEF9}">
      <formula1>0</formula1>
      <formula2>10</formula2>
    </dataValidation>
    <dataValidation type="date" allowBlank="1" showInputMessage="1" showErrorMessage="1" sqref="Q4:R4" xr:uid="{DBF32557-FC17-4516-BCA9-F7B31FD8CE0D}">
      <formula1>41151</formula1>
      <formula2>77433</formula2>
    </dataValidation>
  </dataValidations>
  <hyperlinks>
    <hyperlink ref="BP3" location="PF!A1" display="PF phase Summary Page" xr:uid="{27B0F8A4-2FC0-4039-98B3-5E663582A7F3}"/>
    <hyperlink ref="BP3:BU4" location="FQ!A1" display="FQ Summary Page" xr:uid="{C0294F4F-4285-4961-9803-0701F2DE2099}"/>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3714"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243715"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243716"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243717"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243718"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68D25-79DE-499D-879D-7321C6ED2DAF}">
  <sheetPr>
    <tabColor rgb="FF00B050"/>
    <pageSetUpPr autoPageBreaks="0"/>
  </sheetPr>
  <dimension ref="B1:BU66"/>
  <sheetViews>
    <sheetView showGridLines="0" showRowColHeaders="0" topLeftCell="A2" zoomScaleNormal="200" zoomScaleSheetLayoutView="100" workbookViewId="0">
      <selection activeCell="L8" sqref="L8:R39"/>
    </sheetView>
  </sheetViews>
  <sheetFormatPr defaultColWidth="9.140625" defaultRowHeight="12.75" x14ac:dyDescent="0.2"/>
  <cols>
    <col min="1" max="1" width="1.5703125" style="87" customWidth="1"/>
    <col min="2" max="2" width="3.5703125" style="87" customWidth="1"/>
    <col min="3" max="3" width="5.5703125" style="87" customWidth="1"/>
    <col min="4" max="4" width="9.140625" style="87" customWidth="1"/>
    <col min="5" max="5" width="14" style="87" customWidth="1"/>
    <col min="6" max="6" width="7.85546875" style="87" customWidth="1"/>
    <col min="7" max="11" width="5.140625" style="87" customWidth="1"/>
    <col min="12" max="12" width="21.5703125" style="87" customWidth="1"/>
    <col min="13" max="13" width="6.5703125" style="87" customWidth="1"/>
    <col min="14" max="14" width="12.5703125" style="87" customWidth="1"/>
    <col min="15" max="15" width="7.85546875" style="87" customWidth="1"/>
    <col min="16" max="16" width="2.7109375" style="87" customWidth="1"/>
    <col min="17" max="17" width="4.85546875" style="87" customWidth="1"/>
    <col min="18" max="18" width="7.28515625" style="87" customWidth="1"/>
    <col min="19" max="19" width="1.7109375" style="87" customWidth="1"/>
    <col min="20" max="20" width="19.140625" style="88" hidden="1" customWidth="1"/>
    <col min="21" max="21" width="31.140625" style="88" hidden="1" customWidth="1"/>
    <col min="22" max="22" width="5.140625" style="88" hidden="1" customWidth="1"/>
    <col min="23" max="24" width="6.28515625" style="88" hidden="1" customWidth="1"/>
    <col min="25" max="25" width="8.42578125" style="88" hidden="1" customWidth="1"/>
    <col min="26" max="26" width="7.85546875" style="88" hidden="1" customWidth="1"/>
    <col min="27" max="27" width="10.7109375" style="88" hidden="1" customWidth="1"/>
    <col min="28" max="28" width="8" style="88" hidden="1" customWidth="1"/>
    <col min="29" max="31" width="5.140625" style="88" hidden="1" customWidth="1"/>
    <col min="32" max="34" width="5.85546875" style="88" hidden="1" customWidth="1"/>
    <col min="35" max="35" width="8.5703125" style="89" hidden="1" customWidth="1"/>
    <col min="36" max="36" width="7" style="88" hidden="1" customWidth="1"/>
    <col min="37" max="38" width="5.28515625" style="88" hidden="1" customWidth="1"/>
    <col min="39" max="40" width="7" style="88" hidden="1" customWidth="1"/>
    <col min="41" max="41" width="5.140625" style="88" hidden="1" customWidth="1"/>
    <col min="42" max="42" width="11.28515625" style="88" hidden="1" customWidth="1"/>
    <col min="43" max="43" width="6.42578125" style="88" hidden="1" customWidth="1"/>
    <col min="44" max="44" width="8.28515625" style="88" hidden="1" customWidth="1"/>
    <col min="45" max="45" width="8.85546875" style="88" hidden="1" customWidth="1"/>
    <col min="46" max="46" width="10.7109375" style="88" hidden="1" customWidth="1"/>
    <col min="47" max="47" width="8.85546875" style="88" hidden="1" customWidth="1"/>
    <col min="48" max="48" width="6.28515625" style="88" hidden="1" customWidth="1"/>
    <col min="49" max="49" width="10" style="88" hidden="1" customWidth="1"/>
    <col min="50" max="50" width="7.5703125" style="88" hidden="1" customWidth="1"/>
    <col min="51" max="51" width="7" style="88" hidden="1" customWidth="1"/>
    <col min="52" max="52" width="8.140625" style="88" hidden="1" customWidth="1"/>
    <col min="53" max="53" width="12.5703125" style="88" hidden="1" customWidth="1"/>
    <col min="54" max="54" width="7.7109375" style="88" hidden="1" customWidth="1"/>
    <col min="55" max="55" width="12.7109375" style="88" hidden="1" customWidth="1"/>
    <col min="56" max="56" width="7" style="88" hidden="1" customWidth="1"/>
    <col min="57" max="57" width="15.5703125" style="88" hidden="1" customWidth="1"/>
    <col min="58" max="58" width="9.140625" style="88" hidden="1" customWidth="1"/>
    <col min="59" max="59" width="10" style="88" hidden="1" customWidth="1"/>
    <col min="60" max="60" width="5.28515625" style="88" hidden="1" customWidth="1"/>
    <col min="61" max="61" width="4" style="88" hidden="1" customWidth="1"/>
    <col min="62" max="62" width="4.7109375" style="88" hidden="1" customWidth="1"/>
    <col min="63" max="63" width="5.5703125" style="88" hidden="1" customWidth="1"/>
    <col min="64" max="64" width="5.28515625" style="88" hidden="1" customWidth="1"/>
    <col min="65" max="65" width="4" style="88" hidden="1" customWidth="1"/>
    <col min="66" max="66" width="5.5703125" style="88" hidden="1" customWidth="1"/>
    <col min="67" max="67" width="5.140625" style="90" customWidth="1"/>
    <col min="68" max="73" width="5.140625" style="87" customWidth="1"/>
    <col min="74" max="16384" width="9.140625" style="87"/>
  </cols>
  <sheetData>
    <row r="1" spans="2:73" s="84" customFormat="1" ht="12" hidden="1" x14ac:dyDescent="0.2">
      <c r="T1" s="85"/>
      <c r="U1" s="85"/>
      <c r="V1" s="85"/>
      <c r="W1" s="85"/>
      <c r="X1" s="85"/>
      <c r="Y1" s="85"/>
      <c r="Z1" s="85"/>
      <c r="AA1" s="85"/>
      <c r="AB1" s="85"/>
      <c r="AC1" s="85"/>
      <c r="AD1" s="85"/>
      <c r="AE1" s="85"/>
      <c r="AF1" s="85"/>
      <c r="AG1" s="85"/>
      <c r="AH1" s="85"/>
      <c r="AI1" s="86"/>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row>
    <row r="2" spans="2:73" ht="13.5" thickBot="1" x14ac:dyDescent="0.25"/>
    <row r="3" spans="2:73" ht="13.5" customHeight="1" thickTop="1" x14ac:dyDescent="0.3">
      <c r="B3" s="967" t="s">
        <v>267</v>
      </c>
      <c r="C3" s="968"/>
      <c r="D3" s="968"/>
      <c r="E3" s="968"/>
      <c r="F3" s="968"/>
      <c r="G3" s="969"/>
      <c r="H3" s="970" t="s">
        <v>927</v>
      </c>
      <c r="I3" s="971"/>
      <c r="J3" s="971"/>
      <c r="K3" s="971"/>
      <c r="L3" s="971"/>
      <c r="M3" s="971"/>
      <c r="N3" s="972"/>
      <c r="O3" s="973" t="s">
        <v>269</v>
      </c>
      <c r="P3" s="974"/>
      <c r="Q3" s="973" t="s">
        <v>270</v>
      </c>
      <c r="R3" s="975"/>
      <c r="S3" s="91"/>
      <c r="T3" s="92"/>
      <c r="U3" s="92"/>
      <c r="V3" s="92"/>
      <c r="W3" s="92"/>
      <c r="X3" s="92"/>
      <c r="Y3" s="92"/>
      <c r="Z3" s="92"/>
      <c r="AA3" s="92"/>
      <c r="AB3" s="92"/>
      <c r="AC3" s="92"/>
      <c r="AD3" s="92"/>
      <c r="AE3" s="92"/>
      <c r="AF3" s="92"/>
      <c r="AG3" s="92"/>
      <c r="AH3" s="92"/>
      <c r="AI3" s="93"/>
      <c r="AJ3" s="92"/>
      <c r="AK3" s="92"/>
      <c r="AL3" s="92"/>
      <c r="AM3" s="92"/>
      <c r="AN3" s="92"/>
      <c r="AO3" s="92"/>
      <c r="AP3" s="92"/>
      <c r="AQ3" s="85"/>
      <c r="AR3" s="85"/>
      <c r="AW3" s="88" t="s">
        <v>271</v>
      </c>
      <c r="AX3" s="88" t="s">
        <v>272</v>
      </c>
      <c r="AY3" s="88" t="s">
        <v>273</v>
      </c>
      <c r="AZ3" s="88" t="s">
        <v>274</v>
      </c>
      <c r="BA3" s="88" t="s">
        <v>275</v>
      </c>
      <c r="BB3" s="88" t="s">
        <v>276</v>
      </c>
      <c r="BO3" s="483"/>
      <c r="BP3" s="1032" t="s">
        <v>843</v>
      </c>
      <c r="BQ3" s="1032"/>
      <c r="BR3" s="1032"/>
      <c r="BS3" s="1032"/>
      <c r="BT3" s="1032"/>
      <c r="BU3" s="1032"/>
    </row>
    <row r="4" spans="2:73" s="94" customFormat="1" ht="15.75" customHeight="1" x14ac:dyDescent="0.2">
      <c r="B4" s="994" t="s">
        <v>277</v>
      </c>
      <c r="C4" s="995"/>
      <c r="D4" s="995"/>
      <c r="E4" s="995"/>
      <c r="F4" s="995"/>
      <c r="G4" s="996"/>
      <c r="H4" s="937" t="s">
        <v>762</v>
      </c>
      <c r="I4" s="938"/>
      <c r="J4" s="938"/>
      <c r="K4" s="938"/>
      <c r="L4" s="938"/>
      <c r="M4" s="938"/>
      <c r="N4" s="939"/>
      <c r="O4" s="997"/>
      <c r="P4" s="998"/>
      <c r="Q4" s="999"/>
      <c r="R4" s="1000"/>
      <c r="S4" s="95"/>
      <c r="T4" s="96"/>
      <c r="U4" s="96"/>
      <c r="V4" s="96"/>
      <c r="W4" s="96"/>
      <c r="X4" s="96"/>
      <c r="Y4" s="96"/>
      <c r="Z4" s="96"/>
      <c r="AA4" s="96"/>
      <c r="AB4" s="96"/>
      <c r="AC4" s="96"/>
      <c r="AD4" s="96"/>
      <c r="AE4" s="96"/>
      <c r="AF4" s="96"/>
      <c r="AG4" s="96"/>
      <c r="AH4" s="96"/>
      <c r="AI4" s="97"/>
      <c r="AJ4" s="96"/>
      <c r="AK4" s="96"/>
      <c r="AL4" s="96"/>
      <c r="AM4" s="96"/>
      <c r="AN4" s="96"/>
      <c r="AO4" s="96"/>
      <c r="AP4" s="96"/>
      <c r="AQ4" s="98"/>
      <c r="AR4" s="98"/>
      <c r="AS4" s="99"/>
      <c r="AT4" s="100" t="s">
        <v>278</v>
      </c>
      <c r="AU4" s="101" t="b">
        <v>1</v>
      </c>
      <c r="AV4" s="99">
        <v>0</v>
      </c>
      <c r="AW4" s="99" t="b">
        <f>IF(ISERR(OR(AW8:AW39)),"UNK",IF(AND(graded_aca_events&gt;=1,input_test),FALSE,OR(AW8:AW39)))</f>
        <v>1</v>
      </c>
      <c r="AX4" s="99" t="b">
        <f>IF(ISERR(OR(AX8:AX39)),"UNK",IF(AND(graded_aca_events&gt;=1,input_test),FALSE,OR(AX8:AX39)))</f>
        <v>1</v>
      </c>
      <c r="AY4" s="99" t="b">
        <f>IF(ISERR(OR(AY8:AY39)),"UNK",OR(AY8:AY39))</f>
        <v>0</v>
      </c>
      <c r="AZ4" s="99" t="b">
        <f>IF(ISERR(OR(AZ8:AZ39)),"UNK",OR(AZ8:AZ39))</f>
        <v>0</v>
      </c>
      <c r="BA4" s="99" t="b">
        <f>IF(ISERR(OR(BA8:BA39)),"UNK",OR(BA8:BA39))</f>
        <v>0</v>
      </c>
      <c r="BB4" s="99" t="b">
        <f>IF(ISERR(OR(BB8:BB39)),"UNK",OR(BB8:BB39))</f>
        <v>0</v>
      </c>
      <c r="BC4" s="102" t="b">
        <f>OR(BC8:BC39)</f>
        <v>0</v>
      </c>
      <c r="BD4" s="102" t="b">
        <f>OR(BD8:BD39)</f>
        <v>0</v>
      </c>
      <c r="BE4" s="102" t="b">
        <f>OR(BE8:BE39)</f>
        <v>0</v>
      </c>
      <c r="BF4" s="102"/>
      <c r="BG4" s="99"/>
      <c r="BH4" s="944" t="s">
        <v>279</v>
      </c>
      <c r="BI4" s="944"/>
      <c r="BJ4" s="944"/>
      <c r="BK4" s="944"/>
      <c r="BL4" s="977" t="s">
        <v>280</v>
      </c>
      <c r="BM4" s="977"/>
      <c r="BN4" s="977"/>
      <c r="BO4" s="90"/>
      <c r="BP4" s="1032"/>
      <c r="BQ4" s="1032"/>
      <c r="BR4" s="1032"/>
      <c r="BS4" s="1032"/>
      <c r="BT4" s="1032"/>
      <c r="BU4" s="1032"/>
    </row>
    <row r="5" spans="2:73" s="91" customFormat="1" ht="7.5" customHeight="1" x14ac:dyDescent="0.25">
      <c r="B5" s="978" t="s">
        <v>281</v>
      </c>
      <c r="C5" s="979"/>
      <c r="D5" s="979"/>
      <c r="E5" s="980"/>
      <c r="F5" s="981" t="s">
        <v>282</v>
      </c>
      <c r="G5" s="980"/>
      <c r="H5" s="981" t="s">
        <v>283</v>
      </c>
      <c r="I5" s="979"/>
      <c r="J5" s="979"/>
      <c r="K5" s="979"/>
      <c r="L5" s="980"/>
      <c r="M5" s="982" t="s">
        <v>284</v>
      </c>
      <c r="N5" s="983"/>
      <c r="O5" s="984" t="s">
        <v>285</v>
      </c>
      <c r="P5" s="985"/>
      <c r="Q5" s="981" t="str">
        <f>IF(AU41=0,"GRADE","GRADE (inc. bonus)")</f>
        <v>GRADE</v>
      </c>
      <c r="R5" s="986"/>
      <c r="T5" s="92"/>
      <c r="U5" s="92"/>
      <c r="V5" s="92"/>
      <c r="W5" s="92"/>
      <c r="X5" s="92"/>
      <c r="Y5" s="92"/>
      <c r="Z5" s="92"/>
      <c r="AA5" s="92"/>
      <c r="AB5" s="92"/>
      <c r="AC5" s="92"/>
      <c r="AD5" s="92"/>
      <c r="AE5" s="92"/>
      <c r="AF5" s="92"/>
      <c r="AG5" s="92"/>
      <c r="AH5" s="92"/>
      <c r="AI5" s="93"/>
      <c r="AJ5" s="92"/>
      <c r="AK5" s="92"/>
      <c r="AL5" s="92"/>
      <c r="AM5" s="92"/>
      <c r="AN5" s="92"/>
      <c r="AO5" s="92"/>
      <c r="AP5" s="92"/>
      <c r="AQ5" s="92"/>
      <c r="AR5" s="92"/>
      <c r="AS5" s="92"/>
      <c r="AT5" s="92"/>
      <c r="AU5" s="92"/>
      <c r="AV5" s="92"/>
      <c r="AW5" s="92"/>
      <c r="AX5" s="92"/>
      <c r="AY5" s="92"/>
      <c r="AZ5" s="92"/>
      <c r="BA5" s="92"/>
      <c r="BB5" s="92"/>
      <c r="BC5" s="92"/>
      <c r="BD5" s="92"/>
      <c r="BE5" s="92"/>
      <c r="BF5" s="92"/>
      <c r="BG5" s="92"/>
      <c r="BH5" s="944"/>
      <c r="BI5" s="944"/>
      <c r="BJ5" s="944"/>
      <c r="BK5" s="944"/>
      <c r="BL5" s="977"/>
      <c r="BM5" s="977"/>
      <c r="BN5" s="977"/>
      <c r="BO5" s="103"/>
    </row>
    <row r="6" spans="2:73" s="94" customFormat="1" ht="15.75" customHeight="1" thickBot="1" x14ac:dyDescent="0.25">
      <c r="B6" s="1001"/>
      <c r="C6" s="1002"/>
      <c r="D6" s="1002"/>
      <c r="E6" s="1003"/>
      <c r="F6" s="1004" t="s">
        <v>457</v>
      </c>
      <c r="G6" s="1005"/>
      <c r="H6" s="1006"/>
      <c r="I6" s="1007"/>
      <c r="J6" s="1007"/>
      <c r="K6" s="1007"/>
      <c r="L6" s="1005"/>
      <c r="M6" s="1008"/>
      <c r="N6" s="1009"/>
      <c r="O6" s="1010"/>
      <c r="P6" s="1011"/>
      <c r="Q6" s="949" t="str">
        <f>IF((graded_aca_events+graded_amn_events)&lt;1,"0",IF(ISERROR(AR46),"",IF(F41&lt;&gt;"COMPLETE","INCOMPLETE",AR46)))</f>
        <v>0</v>
      </c>
      <c r="R6" s="950"/>
      <c r="S6" s="87"/>
      <c r="T6" s="99"/>
      <c r="U6" s="99">
        <v>2</v>
      </c>
      <c r="V6" s="99">
        <v>3</v>
      </c>
      <c r="W6" s="99">
        <v>6</v>
      </c>
      <c r="X6" s="99">
        <v>7</v>
      </c>
      <c r="Y6" s="99">
        <v>11</v>
      </c>
      <c r="Z6" s="99">
        <v>8</v>
      </c>
      <c r="AA6" s="99">
        <v>9</v>
      </c>
      <c r="AB6" s="99">
        <v>10</v>
      </c>
      <c r="AC6" s="99">
        <v>5</v>
      </c>
      <c r="AD6" s="99">
        <v>4</v>
      </c>
      <c r="AE6" s="99">
        <v>12</v>
      </c>
      <c r="AF6" s="99">
        <v>13</v>
      </c>
      <c r="AG6" s="99"/>
      <c r="AH6" s="99"/>
      <c r="AI6" s="104"/>
      <c r="AJ6" s="105"/>
      <c r="AK6" s="105"/>
      <c r="AL6" s="105"/>
      <c r="AM6" s="105" t="b">
        <f>IF(COUNT(AM8:AM39)&gt;0,TRUE,FALSE)</f>
        <v>0</v>
      </c>
      <c r="AN6" s="105" t="b">
        <f>IF(COUNT(AN8:AN39)&gt;0,TRUE,FALSE)</f>
        <v>0</v>
      </c>
      <c r="AO6" s="99"/>
      <c r="AP6" s="99"/>
      <c r="AQ6" s="98"/>
      <c r="AR6" s="98"/>
      <c r="AS6" s="99"/>
      <c r="AT6" s="106">
        <v>0</v>
      </c>
      <c r="AU6" s="99"/>
      <c r="AV6" s="107">
        <f>0.01*input_maxb</f>
        <v>0</v>
      </c>
      <c r="AW6" s="108" t="s">
        <v>287</v>
      </c>
      <c r="AX6" s="109"/>
      <c r="AY6" s="108" t="s">
        <v>288</v>
      </c>
      <c r="AZ6" s="109"/>
      <c r="BA6" s="110" t="s">
        <v>289</v>
      </c>
      <c r="BB6" s="110"/>
      <c r="BC6" s="108" t="s">
        <v>290</v>
      </c>
      <c r="BD6" s="110"/>
      <c r="BE6" s="111"/>
      <c r="BF6" s="112"/>
      <c r="BG6" s="99" t="s">
        <v>291</v>
      </c>
      <c r="BH6" s="944"/>
      <c r="BI6" s="944"/>
      <c r="BJ6" s="944"/>
      <c r="BK6" s="944"/>
      <c r="BL6" s="977"/>
      <c r="BM6" s="977"/>
      <c r="BN6" s="977"/>
      <c r="BO6" s="90"/>
    </row>
    <row r="7" spans="2:73" ht="27" customHeight="1" thickBot="1" x14ac:dyDescent="0.25">
      <c r="B7" s="951" t="s">
        <v>292</v>
      </c>
      <c r="C7" s="952"/>
      <c r="D7" s="952"/>
      <c r="E7" s="952"/>
      <c r="F7" s="953"/>
      <c r="G7" s="113" t="s">
        <v>293</v>
      </c>
      <c r="H7" s="114" t="s">
        <v>294</v>
      </c>
      <c r="I7" s="115" t="s">
        <v>295</v>
      </c>
      <c r="J7" s="116" t="s">
        <v>296</v>
      </c>
      <c r="K7" s="117" t="s">
        <v>297</v>
      </c>
      <c r="L7" s="954" t="s">
        <v>298</v>
      </c>
      <c r="M7" s="952"/>
      <c r="N7" s="952"/>
      <c r="O7" s="952"/>
      <c r="P7" s="952"/>
      <c r="Q7" s="952"/>
      <c r="R7" s="955"/>
      <c r="T7" s="118" t="s">
        <v>299</v>
      </c>
      <c r="U7" s="118"/>
      <c r="V7" s="118" t="s">
        <v>300</v>
      </c>
      <c r="W7" s="118" t="s">
        <v>301</v>
      </c>
      <c r="X7" s="118" t="s">
        <v>302</v>
      </c>
      <c r="Y7" s="118" t="s">
        <v>303</v>
      </c>
      <c r="Z7" s="118" t="s">
        <v>304</v>
      </c>
      <c r="AA7" s="118" t="s">
        <v>305</v>
      </c>
      <c r="AB7" s="118" t="s">
        <v>306</v>
      </c>
      <c r="AC7" s="118" t="s">
        <v>307</v>
      </c>
      <c r="AD7" s="118" t="s">
        <v>308</v>
      </c>
      <c r="AE7" s="118" t="s">
        <v>309</v>
      </c>
      <c r="AF7" s="118" t="s">
        <v>310</v>
      </c>
      <c r="AG7" s="118" t="s">
        <v>311</v>
      </c>
      <c r="AH7" s="118" t="s">
        <v>312</v>
      </c>
      <c r="AI7" s="119" t="s">
        <v>313</v>
      </c>
      <c r="AJ7" s="120" t="s">
        <v>314</v>
      </c>
      <c r="AK7" s="121" t="s">
        <v>315</v>
      </c>
      <c r="AL7" s="121" t="s">
        <v>316</v>
      </c>
      <c r="AM7" s="121" t="s">
        <v>317</v>
      </c>
      <c r="AN7" s="121" t="s">
        <v>318</v>
      </c>
      <c r="AO7" s="120" t="s">
        <v>319</v>
      </c>
      <c r="AP7" s="120" t="s">
        <v>320</v>
      </c>
      <c r="AQ7" s="122" t="s">
        <v>321</v>
      </c>
      <c r="AR7" s="123" t="s">
        <v>1</v>
      </c>
      <c r="AS7" s="122" t="s">
        <v>322</v>
      </c>
      <c r="AT7" s="123" t="s">
        <v>1</v>
      </c>
      <c r="AU7" s="122" t="s">
        <v>323</v>
      </c>
      <c r="AV7" s="124" t="s">
        <v>324</v>
      </c>
      <c r="AW7" s="125" t="s">
        <v>325</v>
      </c>
      <c r="AX7" s="126" t="s">
        <v>326</v>
      </c>
      <c r="AY7" s="125" t="s">
        <v>327</v>
      </c>
      <c r="AZ7" s="126" t="s">
        <v>328</v>
      </c>
      <c r="BA7" s="127" t="s">
        <v>329</v>
      </c>
      <c r="BB7" s="127" t="s">
        <v>330</v>
      </c>
      <c r="BC7" s="128" t="s">
        <v>331</v>
      </c>
      <c r="BD7" s="129" t="s">
        <v>332</v>
      </c>
      <c r="BE7" s="130" t="s">
        <v>333</v>
      </c>
      <c r="BF7" s="131" t="s">
        <v>334</v>
      </c>
      <c r="BH7" s="88" t="s">
        <v>335</v>
      </c>
      <c r="BI7" s="88" t="s">
        <v>336</v>
      </c>
      <c r="BJ7" s="118" t="s">
        <v>337</v>
      </c>
      <c r="BK7" s="88" t="s">
        <v>338</v>
      </c>
      <c r="BL7" s="88" t="s">
        <v>335</v>
      </c>
      <c r="BM7" s="88" t="s">
        <v>336</v>
      </c>
      <c r="BN7" s="88" t="s">
        <v>338</v>
      </c>
    </row>
    <row r="8" spans="2:73" ht="12.95" customHeight="1" x14ac:dyDescent="0.2">
      <c r="B8" s="132" t="str">
        <f>IF(ISNA(Z8),"",IF(OR(Z8=1,Z8=2),"",1))</f>
        <v/>
      </c>
      <c r="C8" s="956" t="str">
        <f t="shared" ref="C8:C36" si="0">IF(ISNA(Z8),"",CONCATENATE($U8,IF(ISNUMBER(AI8),TEXT(ROUND($AI8,3)," (0.0%)"),""),IF(AU8&gt;0," Bonus","")))</f>
        <v>Airmanship Tasks</v>
      </c>
      <c r="D8" s="956"/>
      <c r="E8" s="956"/>
      <c r="F8" s="957"/>
      <c r="G8" s="133" t="str">
        <f t="shared" ref="G8:G39" si="1">BH8</f>
        <v/>
      </c>
      <c r="H8" s="134" t="str">
        <f t="shared" ref="H8:I39" si="2">BJ8</f>
        <v/>
      </c>
      <c r="I8" s="135" t="str">
        <f t="shared" si="2"/>
        <v/>
      </c>
      <c r="J8" s="136"/>
      <c r="K8" s="137"/>
      <c r="L8" s="1012"/>
      <c r="M8" s="1013"/>
      <c r="N8" s="1013"/>
      <c r="O8" s="1013"/>
      <c r="P8" s="1013"/>
      <c r="Q8" s="1013"/>
      <c r="R8" s="1014"/>
      <c r="T8" s="88">
        <v>1</v>
      </c>
      <c r="U8" s="88" t="s">
        <v>339</v>
      </c>
      <c r="V8" s="453" t="s">
        <v>340</v>
      </c>
      <c r="W8" s="453" t="s">
        <v>340</v>
      </c>
      <c r="X8" s="453" t="s">
        <v>340</v>
      </c>
      <c r="Y8" s="453" t="s">
        <v>340</v>
      </c>
      <c r="Z8" s="453">
        <v>1</v>
      </c>
      <c r="AA8" s="453">
        <v>0</v>
      </c>
      <c r="AB8" s="453">
        <v>0</v>
      </c>
      <c r="AC8" s="453" t="s">
        <v>340</v>
      </c>
      <c r="AD8" s="453" t="s">
        <v>340</v>
      </c>
      <c r="AE8" s="453">
        <v>0</v>
      </c>
      <c r="AF8" s="453" t="s">
        <v>340</v>
      </c>
      <c r="AG8" s="453" t="str">
        <f t="shared" ref="AG8:AG39" si="3">IF(CrewSoloQual="Yes",$AC8,$AD8)</f>
        <v/>
      </c>
      <c r="AH8" s="453" t="str">
        <f t="shared" ref="AH8:AH39" si="4">IF(ISNUMBER(AC8),IF(CrewSoloQual="Yes",$AC8-1,$AD8-1),"")</f>
        <v/>
      </c>
      <c r="AI8" s="138" t="str">
        <f>IF(NOT(OR(Z8=1,Z8=2)),IF(AQ8&gt;0,$AR$44*AQ8/SUMIF($AQ$8:$AQ$39,"&gt;0"),IF(AU8&gt;0,$AV$44*AU8/SUMIF($AU$8:$AU$39,"&gt;0"),IF(AS8&gt;0,$AT$44*AS8/SUMIF($AS$8:$AS$39,"&gt;0"),""))),IF(SUMIF(AJ9:$AJ$39,"=" &amp; AJ8,AI9:$AI$39)=0,"",SUMIF(AJ9:$AJ$39,"=" &amp; AJ8,AI9:$AI$39)))</f>
        <v/>
      </c>
      <c r="AJ8" s="139">
        <f>0</f>
        <v>0</v>
      </c>
      <c r="AK8" s="453" t="str">
        <f>BI8</f>
        <v/>
      </c>
      <c r="AL8" s="453" t="str">
        <f>IF(ISBLANK(K8),"",K8)</f>
        <v/>
      </c>
      <c r="AM8" s="453" t="str">
        <f>IF(ISNUMBER(AK8),IF(ISNUMBER(AL8),1,""),"")</f>
        <v/>
      </c>
      <c r="AN8" s="453" t="str">
        <f t="shared" ref="AN8:AN36" si="5">IF(ISNUMBER(AH8),IF(AND(AB8=0,ISNUMBER(AC8),ISNUMBER(AL8)),1,""),"")</f>
        <v/>
      </c>
      <c r="AO8" s="453" t="str">
        <f t="shared" ref="AO8:AO39" si="6">IF(AB8=0,IF(CrewSoloQual="No",BI8,BK8),"")</f>
        <v/>
      </c>
      <c r="AP8" s="453" t="str">
        <f t="shared" ref="AP8:AP39" si="7">IF(ISNA(Z8),"",IF(AND(ISNUMBER(B8),G8&gt;=1,H8&lt;&gt;"NG"),IF(K8&lt;BK8,TRUE,FALSE),IF(AND(G8&gt;=1,J8="NA"),TRUE,IF(AND(AM8=1,G8=0,AL8&lt;BI8),TRUE,""))))</f>
        <v/>
      </c>
      <c r="AQ8" s="140">
        <f>IF(ISNA(Z8),0,IF(OR(J8="NA",W8="",AB8=0),0,W8))</f>
        <v>0</v>
      </c>
      <c r="AR8" s="141" t="str">
        <f t="shared" ref="AR8:AR39" si="8">IF(ISNA(Z8),"",IF(AND(NOT(OR(Z8=1,Z8=2,AK8="NG",AB8=0)),IF(ISNUMBER(AL8),AL8&gt;=0,FALSE)),VLOOKUP((10*AD8+AC8),$AQ$50:$AV$58,2+AL8,FALSE),IF(AND(input_test=TRUE,ISNUMBER(AD8),V8&lt;&gt;0),VLOOKUP((10*AD8+AC8),$AQ$50:$AV$58,2,FALSE),"")))</f>
        <v/>
      </c>
      <c r="AS8" s="142">
        <f>IF(ISNA(Z8),0,IF(OR(J8="NA",X8="",AB8=1),0,X8))</f>
        <v>0</v>
      </c>
      <c r="AT8" s="141" t="str">
        <f t="shared" ref="AT8:AT39" si="9">IF(ISNA(Z8),"",IF(AND(NOT(OR(Z8=1,Z8=2,AK8="NG",AB8=1)),IF(ISNUMBER(AL8),AL8&gt;=0,FALSE)),VLOOKUP((10*AH8+AG8),$AQ$50:$AV$58,2+AL8,FALSE),IF(AND(input_test=TRUE,ISNUMBER(AD8),V8&lt;&gt;0),VLOOKUP((10*AH8+AG8),$AQ$50:$AV$58,2,FALSE),"")))</f>
        <v/>
      </c>
      <c r="AU8" s="143">
        <f t="shared" ref="AU8:AU39" si="10">IF(ISNA(Z8),0,IF(OR(J8="NA",Y8=""),0,Y8))</f>
        <v>0</v>
      </c>
      <c r="AV8" s="144" t="str">
        <f t="shared" ref="AV8:AV39" si="11">AR8</f>
        <v/>
      </c>
      <c r="AW8" s="143" t="b">
        <f t="shared" ref="AW8:AW39" si="12">IF(ISNA(Z8),FALSE,IF(OR(AB8=1,G8=0,Z8=1,Z8=2),FALSE,IF(OR(J8="NA",J8&gt;=G8),FALSE,TRUE)))</f>
        <v>0</v>
      </c>
      <c r="AX8" s="145" t="b">
        <f t="shared" ref="AX8:AX39" si="13">IF(ISNA(Z8),FALSE,IF(OR(AB8=0,G8=0,Z8=1,Z8=2,J8="NA"),FALSE,IF(AK8="NG",IF(NOT(ISBLANK(K8)),FALSE,TRUE),IF(J8&gt;=G8,FALSE,TRUE))))</f>
        <v>0</v>
      </c>
      <c r="AY8" s="143" t="b">
        <f t="shared" ref="AY8:AY39" si="14">IF(ISNA(Z8),FALSE,IF(OR(AB8=1,G8&lt;1,Z8=1,Z8=2,AE8=0,ISBLANK(K8)),FALSE,IF(OR(J8="NA",K8&gt;=BI8),FALSE,TRUE)))</f>
        <v>0</v>
      </c>
      <c r="AZ8" s="145" t="b">
        <f t="shared" ref="AZ8:AZ39" si="15">IF(ISNA(Z8),FALSE,IF(OR(AB8=0,G8=0,Z8=1,Z8=2,AE8=0,BI8="NG",K8="",ISBLANK(K8)),FALSE,IF(OR(J8="NA",K8&gt;=AK8),FALSE,TRUE)))</f>
        <v>0</v>
      </c>
      <c r="BA8" s="453" t="b">
        <f t="shared" ref="BA8:BA39" si="16">IF(ISNA(Z8),FALSE,IF(OR(AB8=1,G8&lt;1,Z8=1,Z8=2,AE8=0),FALSE,IF(J8="NA",TRUE,FALSE)))</f>
        <v>0</v>
      </c>
      <c r="BB8" s="453" t="b">
        <f t="shared" ref="BB8:BB39" si="17">IF(ISNA(Z8),FALSE,IF(OR(AB8=0,G8=0,Z8=1,Z8=2),FALSE,IF(J8="NA",TRUE,FALSE)))</f>
        <v>0</v>
      </c>
      <c r="BC8" s="143" t="b">
        <f t="shared" ref="BC8:BC39" si="18">IF(OR(ISNA($Z8),ISNUMBER($Z8),NOT(ISNUMBER($J8)),K8="D"),FALSE,IF(AND(NOT(ISNUMBER($K8)),J8&gt;0),TRUE,FALSE))</f>
        <v>0</v>
      </c>
      <c r="BD8" s="146" t="b">
        <f>IF(OR(ISNA($Z8),ISNUMBER($Z8),NOT(ISNUMBER(K8))),FALSE,OR(NOT(ISNUMBER(J8)),J8=0,AND(J8=0,K8&lt;&gt;0)))</f>
        <v>0</v>
      </c>
      <c r="BE8" s="145" t="b">
        <f t="shared" ref="BE8:BE21" si="19">IF(OR(ISNA($Z8),K8&lt;&gt;"D"),FALSE,IF(OR(AND(H8="NG",J8=0),AND(H8&lt;&gt;"NG",NOT(OR(J8="NA",J8=0)))),TRUE,FALSE))</f>
        <v>0</v>
      </c>
      <c r="BF8" s="147" t="b">
        <f t="shared" ref="BF8:BF30" si="20">IF(OR(ISNA($Z8),H8&lt;&gt;"NG"),FALSE,IF(AND(J8="NA",K8&lt;&gt;""),TRUE,FALSE))</f>
        <v>0</v>
      </c>
      <c r="BG8" s="453" t="b">
        <f t="shared" ref="BG8:BG21" si="21">IF(ISNA($Z8),"NA",IF(OR(AZ8,AY8,AX8,AW8,AP8,BA8,BB8),TRUE,FALSE))</f>
        <v>0</v>
      </c>
      <c r="BH8" s="148" t="str">
        <f>IF(ISNA($Z8),"",IF(OR($Z8=1,$Z8=2),"",$V8))</f>
        <v/>
      </c>
      <c r="BI8" s="453" t="str">
        <f t="shared" ref="BI8:BI39" si="22">IF(ISNA($Z8),"",IF(OR($Z8=1,$Z8=2,$G8=""),"",IF(AB8=0,AH8,$AD8)))</f>
        <v/>
      </c>
      <c r="BJ8" s="453" t="str">
        <f t="shared" ref="BJ8:BJ39" si="23">IF(ISNA(AE8),"",IF(OR(Z8=1,Z8=2),"",IF(OR(AE8=0,AD8="NG"),TEXT(BI8,"0"),CONCATENATE(TEXT(BI8,"0"),"*"))))</f>
        <v/>
      </c>
      <c r="BK8" s="453" t="str">
        <f t="shared" ref="BK8:BK39" si="24">IF(ISNA($Z8),"",IF(OR($Z8=1,$Z8=2,$G8=""),"",IF(AB8=0,AG8,$AC8)))</f>
        <v/>
      </c>
      <c r="BL8" s="148" t="str">
        <f>IF(ISBLANK(BH8),"",IF(BH8=0,"",BH8))</f>
        <v/>
      </c>
      <c r="BM8" s="453" t="str">
        <f t="shared" ref="BM8:BM39" si="25">IF($BH8=0,"",IF($BI8="NG","D",$BI8))</f>
        <v/>
      </c>
      <c r="BN8" s="453" t="str">
        <f t="shared" ref="BN8:BN39" si="26">IF(ISNA(U8),"",IF($BH8=0,"",IF($BI8="NG","D",BK8)))</f>
        <v/>
      </c>
      <c r="BO8" s="149" t="s">
        <v>341</v>
      </c>
      <c r="BP8" s="150"/>
    </row>
    <row r="9" spans="2:73" s="94" customFormat="1" ht="12.95" customHeight="1" x14ac:dyDescent="0.2">
      <c r="B9" s="151" t="str">
        <f>IF(ISNA(Z9),"",IF(OR(Z9=1,Z9=2),"    ",MAX($B$8:B8)+1))</f>
        <v xml:space="preserve">    </v>
      </c>
      <c r="C9" s="904" t="str">
        <f t="shared" si="0"/>
        <v>Airmanship Tasks</v>
      </c>
      <c r="D9" s="904"/>
      <c r="E9" s="904"/>
      <c r="F9" s="905"/>
      <c r="G9" s="133" t="str">
        <f t="shared" si="1"/>
        <v/>
      </c>
      <c r="H9" s="134" t="str">
        <f t="shared" si="2"/>
        <v/>
      </c>
      <c r="I9" s="152" t="str">
        <f t="shared" si="2"/>
        <v/>
      </c>
      <c r="J9" s="480"/>
      <c r="K9" s="159"/>
      <c r="L9" s="1015"/>
      <c r="M9" s="1016"/>
      <c r="N9" s="1016"/>
      <c r="O9" s="1016"/>
      <c r="P9" s="1016"/>
      <c r="Q9" s="1016"/>
      <c r="R9" s="1017"/>
      <c r="T9" s="99">
        <v>2</v>
      </c>
      <c r="U9" s="88" t="s">
        <v>339</v>
      </c>
      <c r="V9" s="453" t="s">
        <v>340</v>
      </c>
      <c r="W9" s="453" t="s">
        <v>340</v>
      </c>
      <c r="X9" s="453" t="s">
        <v>340</v>
      </c>
      <c r="Y9" s="453" t="s">
        <v>340</v>
      </c>
      <c r="Z9" s="146">
        <v>2</v>
      </c>
      <c r="AA9" s="146">
        <v>1</v>
      </c>
      <c r="AB9" s="146">
        <v>0</v>
      </c>
      <c r="AC9" s="453" t="s">
        <v>340</v>
      </c>
      <c r="AD9" s="453" t="s">
        <v>340</v>
      </c>
      <c r="AE9" s="453" t="s">
        <v>340</v>
      </c>
      <c r="AF9" s="453" t="s">
        <v>340</v>
      </c>
      <c r="AG9" s="453" t="str">
        <f t="shared" si="3"/>
        <v/>
      </c>
      <c r="AH9" s="453" t="str">
        <f t="shared" si="4"/>
        <v/>
      </c>
      <c r="AI9" s="138" t="str">
        <f>IF(NOT(OR(Z9=1,Z9=2)),IF(AQ9&gt;0,$AR$44*AQ9/SUMIF($AQ$8:$AQ$39,"&gt;0"),IF(AU9&gt;0,$AV$44*AU9/SUMIF($AU$8:$AU$39,"&gt;0"),IF(AS9&gt;0,$AT$44*AS9/SUMIF($AS$8:$AS$39,"&gt;0"),""))),IF(SUMIF(AJ10:$AJ$39,"=" &amp; AJ9,AI10:$AI$39)=0,"",SUMIF(AJ10:$AJ$39,"=" &amp; AJ9,AI10:$AI$39)))</f>
        <v/>
      </c>
      <c r="AJ9" s="139">
        <f>IF(OR(Z9=1,Z9=2,AA9&lt;AA8),AJ8+1,AJ8)</f>
        <v>1</v>
      </c>
      <c r="AK9" s="453" t="str">
        <f t="shared" ref="AK9:AK39" si="27">BI9</f>
        <v/>
      </c>
      <c r="AL9" s="146" t="str">
        <f t="shared" ref="AL9:AL39" si="28">IF(ISBLANK(K9),"",K9)</f>
        <v/>
      </c>
      <c r="AM9" s="146" t="str">
        <f>IF(ISNUMBER(AK9),IF(ISNUMBER(AL9),1,""),"")</f>
        <v/>
      </c>
      <c r="AN9" s="146" t="str">
        <f t="shared" si="5"/>
        <v/>
      </c>
      <c r="AO9" s="146" t="str">
        <f t="shared" si="6"/>
        <v/>
      </c>
      <c r="AP9" s="453" t="str">
        <f>IF(ISNA(Z9),"",IF(AND(ISNUMBER(B9),G9&gt;=1,H9&lt;&gt;"NG"),IF(K9&lt;BK9,TRUE,FALSE),IF(AND(G9&gt;=1,J9="NA"),TRUE,IF(AND(AM9=1,G9=0,AL9&lt;BI9),TRUE,""))))</f>
        <v/>
      </c>
      <c r="AQ9" s="140">
        <f t="shared" ref="AQ9:AQ39" si="29">IF(ISNA(Z9),0,IF(OR(J9="NA",W9="",AB9=0),0,W9))</f>
        <v>0</v>
      </c>
      <c r="AR9" s="141" t="str">
        <f>IF(ISNA(Z9),"",IF(AND(NOT(OR(Z9=1,Z9=2,AK9="NG",AB9=0)),IF(ISNUMBER(AL9),AL9&gt;=0,FALSE)),VLOOKUP((10*AD9+AC9),$AQ$50:$AV$58,2+AL9,FALSE),IF(AND(input_test=TRUE,ISNUMBER(AD9),V9&lt;&gt;0),VLOOKUP((10*AD9+AC9),$AQ$50:$AV$58,2,FALSE),"")))</f>
        <v/>
      </c>
      <c r="AS9" s="142">
        <f t="shared" ref="AS9:AS39" si="30">IF(ISNA(Z9),0,IF(OR(J9="NA",X9="",AB9=1),0,X9))</f>
        <v>0</v>
      </c>
      <c r="AT9" s="141" t="str">
        <f>IF(ISNA(Z9),"",IF(AND(NOT(OR(Z9=1,Z9=2,AK9="NG",AB9=1)),IF(ISNUMBER(AL9),AL9&gt;=0,FALSE)),VLOOKUP((10*AH9+AG9),$AQ$50:$AV$58,2+AL9,FALSE),IF(AND(input_test=TRUE,ISNUMBER(AD9),V9&lt;&gt;0),VLOOKUP((10*AH9+AG9),$AQ$50:$AV$58,2,FALSE),"")))</f>
        <v/>
      </c>
      <c r="AU9" s="143">
        <f t="shared" si="10"/>
        <v>0</v>
      </c>
      <c r="AV9" s="144" t="str">
        <f t="shared" si="11"/>
        <v/>
      </c>
      <c r="AW9" s="143" t="b">
        <f t="shared" si="12"/>
        <v>0</v>
      </c>
      <c r="AX9" s="145" t="b">
        <f t="shared" si="13"/>
        <v>0</v>
      </c>
      <c r="AY9" s="143" t="b">
        <f t="shared" si="14"/>
        <v>0</v>
      </c>
      <c r="AZ9" s="145" t="b">
        <f t="shared" si="15"/>
        <v>0</v>
      </c>
      <c r="BA9" s="453" t="b">
        <f t="shared" si="16"/>
        <v>0</v>
      </c>
      <c r="BB9" s="453" t="b">
        <f t="shared" si="17"/>
        <v>0</v>
      </c>
      <c r="BC9" s="143" t="b">
        <f t="shared" si="18"/>
        <v>0</v>
      </c>
      <c r="BD9" s="146" t="b">
        <f t="shared" ref="BD9:BD39" si="31">IF(OR(ISNA($Z9),ISNUMBER($Z9),NOT(ISNUMBER(K9))),FALSE,OR(NOT(ISNUMBER(J9)),J9=0,AND(J9=0,K9&lt;&gt;0)))</f>
        <v>0</v>
      </c>
      <c r="BE9" s="145" t="b">
        <f t="shared" si="19"/>
        <v>0</v>
      </c>
      <c r="BF9" s="147" t="b">
        <f t="shared" si="20"/>
        <v>0</v>
      </c>
      <c r="BG9" s="453" t="b">
        <f t="shared" si="21"/>
        <v>0</v>
      </c>
      <c r="BH9" s="453" t="str">
        <f t="shared" ref="BH9:BH39" si="32">IF(ISNA($Z9),"",IF(OR($Z9=1,$Z9=2),"",$V9))</f>
        <v/>
      </c>
      <c r="BI9" s="453" t="str">
        <f t="shared" si="22"/>
        <v/>
      </c>
      <c r="BJ9" s="453" t="str">
        <f t="shared" si="23"/>
        <v/>
      </c>
      <c r="BK9" s="453" t="str">
        <f t="shared" si="24"/>
        <v/>
      </c>
      <c r="BL9" s="148" t="str">
        <f t="shared" ref="BL9:BL39" si="33">IF(ISBLANK(BH9),"",IF(BH9=0,"",BH9))</f>
        <v/>
      </c>
      <c r="BM9" s="453" t="str">
        <f t="shared" si="25"/>
        <v/>
      </c>
      <c r="BN9" s="453" t="str">
        <f t="shared" si="26"/>
        <v/>
      </c>
      <c r="BO9" s="155" t="s">
        <v>343</v>
      </c>
      <c r="BP9" s="156" t="s">
        <v>344</v>
      </c>
    </row>
    <row r="10" spans="2:73" s="94" customFormat="1" ht="12.95" customHeight="1" x14ac:dyDescent="0.2">
      <c r="B10" s="151">
        <f>IF(ISNA(Z10),"",IF(OR(Z10=1,Z10=2),"    ",MAX($B$8:B9)+1))</f>
        <v>1</v>
      </c>
      <c r="C10" s="904" t="str">
        <f t="shared" si="0"/>
        <v xml:space="preserve">      - Basic Aircraft Procedures (0.0%)</v>
      </c>
      <c r="D10" s="904"/>
      <c r="E10" s="904"/>
      <c r="F10" s="905"/>
      <c r="G10" s="133">
        <f t="shared" si="1"/>
        <v>1</v>
      </c>
      <c r="H10" s="134" t="str">
        <f t="shared" si="2"/>
        <v>1*</v>
      </c>
      <c r="I10" s="152">
        <f t="shared" si="2"/>
        <v>2</v>
      </c>
      <c r="J10" s="153"/>
      <c r="K10" s="154"/>
      <c r="L10" s="1015"/>
      <c r="M10" s="1016"/>
      <c r="N10" s="1016"/>
      <c r="O10" s="1016"/>
      <c r="P10" s="1016"/>
      <c r="Q10" s="1016"/>
      <c r="R10" s="1017"/>
      <c r="T10" s="99">
        <v>3</v>
      </c>
      <c r="U10" s="88" t="s">
        <v>690</v>
      </c>
      <c r="V10" s="453">
        <v>1</v>
      </c>
      <c r="W10" s="453" t="s">
        <v>340</v>
      </c>
      <c r="X10" s="453">
        <v>1</v>
      </c>
      <c r="Y10" s="453" t="s">
        <v>340</v>
      </c>
      <c r="Z10" s="146" t="s">
        <v>340</v>
      </c>
      <c r="AA10" s="146">
        <v>2</v>
      </c>
      <c r="AB10" s="146">
        <v>0</v>
      </c>
      <c r="AC10" s="453">
        <v>3</v>
      </c>
      <c r="AD10" s="453">
        <v>2</v>
      </c>
      <c r="AE10" s="453">
        <v>1</v>
      </c>
      <c r="AF10" s="453" t="b">
        <v>1</v>
      </c>
      <c r="AG10" s="453">
        <f t="shared" si="3"/>
        <v>2</v>
      </c>
      <c r="AH10" s="453">
        <f t="shared" si="4"/>
        <v>1</v>
      </c>
      <c r="AI10" s="138">
        <f>IF(NOT(OR(Z10=1,Z10=2)),IF(AQ10&gt;0,$AR$44*AQ10/SUMIF($AQ$8:$AQ$39,"&gt;0"),IF(AU10&gt;0,$AV$44*AU10/SUMIF($AU$8:$AU$39,"&gt;0"),IF(AS10&gt;0,$AT$44*AS10/SUMIF($AS$8:$AS$39,"&gt;0"),""))),IF(SUMIF(AJ11:$AJ$39,"=" &amp; AJ10,AI11:$AI$39)=0,"",SUMIF(AJ11:$AJ$39,"=" &amp; AJ10,AI11:$AI$39)))</f>
        <v>0</v>
      </c>
      <c r="AJ10" s="139">
        <f t="shared" ref="AJ10:AJ39" si="34">IF(OR(Z10=1,Z10=2,AA10&lt;AA9),AJ9+1,AJ9)</f>
        <v>1</v>
      </c>
      <c r="AK10" s="453">
        <f t="shared" si="27"/>
        <v>1</v>
      </c>
      <c r="AL10" s="146" t="str">
        <f t="shared" si="28"/>
        <v/>
      </c>
      <c r="AM10" s="146" t="str">
        <f t="shared" ref="AM10:AM39" si="35">IF(ISNUMBER(AK10),IF(ISNUMBER(AL10),1,""),"")</f>
        <v/>
      </c>
      <c r="AN10" s="146" t="str">
        <f t="shared" si="5"/>
        <v/>
      </c>
      <c r="AO10" s="146">
        <f t="shared" si="6"/>
        <v>1</v>
      </c>
      <c r="AP10" s="453" t="b">
        <f t="shared" si="7"/>
        <v>1</v>
      </c>
      <c r="AQ10" s="140">
        <f t="shared" si="29"/>
        <v>0</v>
      </c>
      <c r="AR10" s="141" t="str">
        <f t="shared" si="8"/>
        <v/>
      </c>
      <c r="AS10" s="142">
        <f t="shared" si="30"/>
        <v>1</v>
      </c>
      <c r="AT10" s="141" t="str">
        <f t="shared" si="9"/>
        <v/>
      </c>
      <c r="AU10" s="143">
        <f t="shared" si="10"/>
        <v>0</v>
      </c>
      <c r="AV10" s="144" t="str">
        <f t="shared" si="11"/>
        <v/>
      </c>
      <c r="AW10" s="143" t="b">
        <f t="shared" si="12"/>
        <v>1</v>
      </c>
      <c r="AX10" s="145" t="b">
        <f t="shared" si="13"/>
        <v>0</v>
      </c>
      <c r="AY10" s="143" t="b">
        <f t="shared" si="14"/>
        <v>0</v>
      </c>
      <c r="AZ10" s="145" t="b">
        <f t="shared" si="15"/>
        <v>0</v>
      </c>
      <c r="BA10" s="453" t="b">
        <f t="shared" si="16"/>
        <v>0</v>
      </c>
      <c r="BB10" s="453" t="b">
        <f t="shared" si="17"/>
        <v>0</v>
      </c>
      <c r="BC10" s="143" t="b">
        <f t="shared" si="18"/>
        <v>0</v>
      </c>
      <c r="BD10" s="146" t="b">
        <f t="shared" si="31"/>
        <v>0</v>
      </c>
      <c r="BE10" s="145" t="b">
        <f t="shared" si="19"/>
        <v>0</v>
      </c>
      <c r="BF10" s="147" t="b">
        <f t="shared" si="20"/>
        <v>0</v>
      </c>
      <c r="BG10" s="453" t="b">
        <f t="shared" si="21"/>
        <v>1</v>
      </c>
      <c r="BH10" s="453">
        <f t="shared" si="32"/>
        <v>1</v>
      </c>
      <c r="BI10" s="453">
        <f t="shared" si="22"/>
        <v>1</v>
      </c>
      <c r="BJ10" s="453" t="str">
        <f t="shared" si="23"/>
        <v>1*</v>
      </c>
      <c r="BK10" s="453">
        <f t="shared" si="24"/>
        <v>2</v>
      </c>
      <c r="BL10" s="148">
        <f t="shared" si="33"/>
        <v>1</v>
      </c>
      <c r="BM10" s="453">
        <f t="shared" si="25"/>
        <v>1</v>
      </c>
      <c r="BN10" s="453">
        <f t="shared" si="26"/>
        <v>2</v>
      </c>
      <c r="BO10" s="155">
        <v>0</v>
      </c>
      <c r="BP10" s="156" t="s">
        <v>346</v>
      </c>
    </row>
    <row r="11" spans="2:73" s="94" customFormat="1" ht="12.95" customHeight="1" x14ac:dyDescent="0.2">
      <c r="B11" s="151">
        <f>IF(ISNA(Z11),"",IF(OR(Z11=1,Z11=2),"    ",MAX($B$8:B10)+1))</f>
        <v>2</v>
      </c>
      <c r="C11" s="904" t="str">
        <f t="shared" si="0"/>
        <v xml:space="preserve">      - Basic Aircraft Handling (0.0%)</v>
      </c>
      <c r="D11" s="904"/>
      <c r="E11" s="904"/>
      <c r="F11" s="905"/>
      <c r="G11" s="133">
        <f t="shared" si="1"/>
        <v>1</v>
      </c>
      <c r="H11" s="134" t="str">
        <f t="shared" si="2"/>
        <v>1*</v>
      </c>
      <c r="I11" s="152">
        <f t="shared" si="2"/>
        <v>2</v>
      </c>
      <c r="J11" s="153"/>
      <c r="K11" s="154"/>
      <c r="L11" s="1015"/>
      <c r="M11" s="1016"/>
      <c r="N11" s="1016"/>
      <c r="O11" s="1016"/>
      <c r="P11" s="1016"/>
      <c r="Q11" s="1016"/>
      <c r="R11" s="1017"/>
      <c r="T11" s="99">
        <v>4</v>
      </c>
      <c r="U11" s="88" t="s">
        <v>691</v>
      </c>
      <c r="V11" s="453">
        <v>1</v>
      </c>
      <c r="W11" s="453" t="s">
        <v>340</v>
      </c>
      <c r="X11" s="453">
        <v>1</v>
      </c>
      <c r="Y11" s="453" t="s">
        <v>340</v>
      </c>
      <c r="Z11" s="146" t="s">
        <v>340</v>
      </c>
      <c r="AA11" s="146">
        <v>2</v>
      </c>
      <c r="AB11" s="146">
        <v>0</v>
      </c>
      <c r="AC11" s="453">
        <v>3</v>
      </c>
      <c r="AD11" s="453">
        <v>2</v>
      </c>
      <c r="AE11" s="453">
        <v>1</v>
      </c>
      <c r="AF11" s="453" t="b">
        <v>1</v>
      </c>
      <c r="AG11" s="453">
        <f t="shared" si="3"/>
        <v>2</v>
      </c>
      <c r="AH11" s="453">
        <f t="shared" si="4"/>
        <v>1</v>
      </c>
      <c r="AI11" s="138">
        <f>IF(NOT(OR(Z11=1,Z11=2)),IF(AQ11&gt;0,$AR$44*AQ11/SUMIF($AQ$8:$AQ$39,"&gt;0"),IF(AU11&gt;0,$AV$44*AU11/SUMIF($AU$8:$AU$39,"&gt;0"),IF(AS11&gt;0,$AT$44*AS11/SUMIF($AS$8:$AS$39,"&gt;0"),""))),IF(SUMIF(AJ12:$AJ$39,"=" &amp; AJ11,AI12:$AI$39)=0,"",SUMIF(AJ12:$AJ$39,"=" &amp; AJ11,AI12:$AI$39)))</f>
        <v>0</v>
      </c>
      <c r="AJ11" s="139">
        <f t="shared" si="34"/>
        <v>1</v>
      </c>
      <c r="AK11" s="453">
        <f t="shared" si="27"/>
        <v>1</v>
      </c>
      <c r="AL11" s="146" t="str">
        <f t="shared" si="28"/>
        <v/>
      </c>
      <c r="AM11" s="146" t="str">
        <f t="shared" si="35"/>
        <v/>
      </c>
      <c r="AN11" s="146" t="str">
        <f t="shared" si="5"/>
        <v/>
      </c>
      <c r="AO11" s="146">
        <f t="shared" si="6"/>
        <v>1</v>
      </c>
      <c r="AP11" s="453" t="b">
        <f t="shared" si="7"/>
        <v>1</v>
      </c>
      <c r="AQ11" s="140">
        <f t="shared" si="29"/>
        <v>0</v>
      </c>
      <c r="AR11" s="141" t="str">
        <f t="shared" si="8"/>
        <v/>
      </c>
      <c r="AS11" s="142">
        <f t="shared" si="30"/>
        <v>1</v>
      </c>
      <c r="AT11" s="141" t="str">
        <f t="shared" si="9"/>
        <v/>
      </c>
      <c r="AU11" s="143">
        <f t="shared" si="10"/>
        <v>0</v>
      </c>
      <c r="AV11" s="144" t="str">
        <f t="shared" si="11"/>
        <v/>
      </c>
      <c r="AW11" s="143" t="b">
        <f t="shared" si="12"/>
        <v>1</v>
      </c>
      <c r="AX11" s="145" t="b">
        <f t="shared" si="13"/>
        <v>0</v>
      </c>
      <c r="AY11" s="143" t="b">
        <f t="shared" si="14"/>
        <v>0</v>
      </c>
      <c r="AZ11" s="145" t="b">
        <f t="shared" si="15"/>
        <v>0</v>
      </c>
      <c r="BA11" s="453" t="b">
        <f t="shared" si="16"/>
        <v>0</v>
      </c>
      <c r="BB11" s="453" t="b">
        <f t="shared" si="17"/>
        <v>0</v>
      </c>
      <c r="BC11" s="143" t="b">
        <f t="shared" si="18"/>
        <v>0</v>
      </c>
      <c r="BD11" s="146" t="b">
        <f t="shared" si="31"/>
        <v>0</v>
      </c>
      <c r="BE11" s="145" t="b">
        <f t="shared" si="19"/>
        <v>0</v>
      </c>
      <c r="BF11" s="147" t="b">
        <f t="shared" si="20"/>
        <v>0</v>
      </c>
      <c r="BG11" s="453" t="b">
        <f t="shared" si="21"/>
        <v>1</v>
      </c>
      <c r="BH11" s="453">
        <f t="shared" si="32"/>
        <v>1</v>
      </c>
      <c r="BI11" s="453">
        <f t="shared" si="22"/>
        <v>1</v>
      </c>
      <c r="BJ11" s="453" t="str">
        <f t="shared" si="23"/>
        <v>1*</v>
      </c>
      <c r="BK11" s="453">
        <f t="shared" si="24"/>
        <v>2</v>
      </c>
      <c r="BL11" s="148">
        <f t="shared" si="33"/>
        <v>1</v>
      </c>
      <c r="BM11" s="453">
        <f t="shared" si="25"/>
        <v>1</v>
      </c>
      <c r="BN11" s="453">
        <f t="shared" si="26"/>
        <v>2</v>
      </c>
      <c r="BO11" s="155">
        <v>1</v>
      </c>
      <c r="BP11" s="156" t="s">
        <v>348</v>
      </c>
    </row>
    <row r="12" spans="2:73" s="94" customFormat="1" ht="12.95" customHeight="1" x14ac:dyDescent="0.2">
      <c r="B12" s="151">
        <f>IF(ISNA(Z12),"",IF(OR(Z12=1,Z12=2),"    ",MAX($B$8:B11)+1))</f>
        <v>3</v>
      </c>
      <c r="C12" s="904" t="str">
        <f t="shared" si="0"/>
        <v xml:space="preserve">      - Local Area Proc/Orientation/Comm (0.0%)</v>
      </c>
      <c r="D12" s="904"/>
      <c r="E12" s="904"/>
      <c r="F12" s="905"/>
      <c r="G12" s="133">
        <f t="shared" si="1"/>
        <v>1</v>
      </c>
      <c r="H12" s="134" t="str">
        <f t="shared" si="2"/>
        <v>2*</v>
      </c>
      <c r="I12" s="152">
        <f t="shared" si="2"/>
        <v>3</v>
      </c>
      <c r="J12" s="153"/>
      <c r="K12" s="154"/>
      <c r="L12" s="1015"/>
      <c r="M12" s="1016"/>
      <c r="N12" s="1016"/>
      <c r="O12" s="1016"/>
      <c r="P12" s="1016"/>
      <c r="Q12" s="1016"/>
      <c r="R12" s="1017"/>
      <c r="T12" s="99">
        <v>5</v>
      </c>
      <c r="U12" s="88" t="s">
        <v>702</v>
      </c>
      <c r="V12" s="453">
        <v>1</v>
      </c>
      <c r="W12" s="453" t="s">
        <v>340</v>
      </c>
      <c r="X12" s="453">
        <v>1</v>
      </c>
      <c r="Y12" s="453" t="s">
        <v>340</v>
      </c>
      <c r="Z12" s="146" t="s">
        <v>340</v>
      </c>
      <c r="AA12" s="146">
        <v>2</v>
      </c>
      <c r="AB12" s="146">
        <v>0</v>
      </c>
      <c r="AC12" s="453">
        <v>3</v>
      </c>
      <c r="AD12" s="453">
        <v>3</v>
      </c>
      <c r="AE12" s="453">
        <v>1</v>
      </c>
      <c r="AF12" s="453" t="b">
        <v>1</v>
      </c>
      <c r="AG12" s="453">
        <f t="shared" si="3"/>
        <v>3</v>
      </c>
      <c r="AH12" s="453">
        <f t="shared" si="4"/>
        <v>2</v>
      </c>
      <c r="AI12" s="138">
        <f>IF(NOT(OR(Z12=1,Z12=2)),IF(AQ12&gt;0,$AR$44*AQ12/SUMIF($AQ$8:$AQ$39,"&gt;0"),IF(AU12&gt;0,$AV$44*AU12/SUMIF($AU$8:$AU$39,"&gt;0"),IF(AS12&gt;0,$AT$44*AS12/SUMIF($AS$8:$AS$39,"&gt;0"),""))),IF(SUMIF(AJ13:$AJ$39,"=" &amp; AJ12,AI13:$AI$39)=0,"",SUMIF(AJ13:$AJ$39,"=" &amp; AJ12,AI13:$AI$39)))</f>
        <v>0</v>
      </c>
      <c r="AJ12" s="139">
        <f t="shared" si="34"/>
        <v>1</v>
      </c>
      <c r="AK12" s="453">
        <f t="shared" si="27"/>
        <v>2</v>
      </c>
      <c r="AL12" s="146" t="str">
        <f t="shared" si="28"/>
        <v/>
      </c>
      <c r="AM12" s="146" t="str">
        <f t="shared" si="35"/>
        <v/>
      </c>
      <c r="AN12" s="146" t="str">
        <f t="shared" si="5"/>
        <v/>
      </c>
      <c r="AO12" s="146">
        <f t="shared" si="6"/>
        <v>2</v>
      </c>
      <c r="AP12" s="453" t="b">
        <f t="shared" si="7"/>
        <v>1</v>
      </c>
      <c r="AQ12" s="140">
        <f t="shared" si="29"/>
        <v>0</v>
      </c>
      <c r="AR12" s="141" t="str">
        <f t="shared" si="8"/>
        <v/>
      </c>
      <c r="AS12" s="142">
        <f t="shared" si="30"/>
        <v>1</v>
      </c>
      <c r="AT12" s="141" t="str">
        <f t="shared" si="9"/>
        <v/>
      </c>
      <c r="AU12" s="143">
        <f t="shared" si="10"/>
        <v>0</v>
      </c>
      <c r="AV12" s="144" t="str">
        <f t="shared" si="11"/>
        <v/>
      </c>
      <c r="AW12" s="143" t="b">
        <f t="shared" si="12"/>
        <v>1</v>
      </c>
      <c r="AX12" s="145" t="b">
        <f t="shared" si="13"/>
        <v>0</v>
      </c>
      <c r="AY12" s="143" t="b">
        <f t="shared" si="14"/>
        <v>0</v>
      </c>
      <c r="AZ12" s="145" t="b">
        <f t="shared" si="15"/>
        <v>0</v>
      </c>
      <c r="BA12" s="453" t="b">
        <f t="shared" si="16"/>
        <v>0</v>
      </c>
      <c r="BB12" s="453" t="b">
        <f t="shared" si="17"/>
        <v>0</v>
      </c>
      <c r="BC12" s="143" t="b">
        <f t="shared" si="18"/>
        <v>0</v>
      </c>
      <c r="BD12" s="146" t="b">
        <f t="shared" si="31"/>
        <v>0</v>
      </c>
      <c r="BE12" s="145" t="b">
        <f t="shared" si="19"/>
        <v>0</v>
      </c>
      <c r="BF12" s="147" t="b">
        <f t="shared" si="20"/>
        <v>0</v>
      </c>
      <c r="BG12" s="453" t="b">
        <f t="shared" si="21"/>
        <v>1</v>
      </c>
      <c r="BH12" s="453">
        <f t="shared" si="32"/>
        <v>1</v>
      </c>
      <c r="BI12" s="453">
        <f t="shared" si="22"/>
        <v>2</v>
      </c>
      <c r="BJ12" s="453" t="str">
        <f t="shared" si="23"/>
        <v>2*</v>
      </c>
      <c r="BK12" s="453">
        <f t="shared" si="24"/>
        <v>3</v>
      </c>
      <c r="BL12" s="148">
        <f t="shared" si="33"/>
        <v>1</v>
      </c>
      <c r="BM12" s="453">
        <f t="shared" si="25"/>
        <v>2</v>
      </c>
      <c r="BN12" s="453">
        <f t="shared" si="26"/>
        <v>3</v>
      </c>
      <c r="BO12" s="155">
        <v>2</v>
      </c>
      <c r="BP12" s="156" t="s">
        <v>350</v>
      </c>
    </row>
    <row r="13" spans="2:73" s="94" customFormat="1" ht="12.95" customHeight="1" x14ac:dyDescent="0.2">
      <c r="B13" s="151">
        <f>IF(ISNA(Z13),"",IF(OR(Z13=1,Z13=2),"    ",MAX($B$8:B12)+1))</f>
        <v>4</v>
      </c>
      <c r="C13" s="904" t="str">
        <f t="shared" si="0"/>
        <v xml:space="preserve">      - Situational Awareness/Judgment (0.0%)</v>
      </c>
      <c r="D13" s="904"/>
      <c r="E13" s="904"/>
      <c r="F13" s="905"/>
      <c r="G13" s="133">
        <f t="shared" si="1"/>
        <v>1</v>
      </c>
      <c r="H13" s="134" t="str">
        <f t="shared" si="2"/>
        <v>2*</v>
      </c>
      <c r="I13" s="152">
        <f t="shared" si="2"/>
        <v>3</v>
      </c>
      <c r="J13" s="153"/>
      <c r="K13" s="154"/>
      <c r="L13" s="1015"/>
      <c r="M13" s="1016"/>
      <c r="N13" s="1016"/>
      <c r="O13" s="1016"/>
      <c r="P13" s="1016"/>
      <c r="Q13" s="1016"/>
      <c r="R13" s="1017"/>
      <c r="T13" s="99">
        <v>6</v>
      </c>
      <c r="U13" s="88" t="s">
        <v>703</v>
      </c>
      <c r="V13" s="453">
        <v>1</v>
      </c>
      <c r="W13" s="453" t="s">
        <v>340</v>
      </c>
      <c r="X13" s="453">
        <v>1</v>
      </c>
      <c r="Y13" s="453" t="s">
        <v>340</v>
      </c>
      <c r="Z13" s="146" t="s">
        <v>340</v>
      </c>
      <c r="AA13" s="146">
        <v>2</v>
      </c>
      <c r="AB13" s="146">
        <v>0</v>
      </c>
      <c r="AC13" s="453">
        <v>3</v>
      </c>
      <c r="AD13" s="453">
        <v>3</v>
      </c>
      <c r="AE13" s="453">
        <v>1</v>
      </c>
      <c r="AF13" s="453" t="b">
        <v>1</v>
      </c>
      <c r="AG13" s="453">
        <f t="shared" si="3"/>
        <v>3</v>
      </c>
      <c r="AH13" s="453">
        <f t="shared" si="4"/>
        <v>2</v>
      </c>
      <c r="AI13" s="138">
        <f>IF(NOT(OR(Z13=1,Z13=2)),IF(AQ13&gt;0,$AR$44*AQ13/SUMIF($AQ$8:$AQ$39,"&gt;0"),IF(AU13&gt;0,$AV$44*AU13/SUMIF($AU$8:$AU$39,"&gt;0"),IF(AS13&gt;0,$AT$44*AS13/SUMIF($AS$8:$AS$39,"&gt;0"),""))),IF(SUMIF(AJ14:$AJ$39,"=" &amp; AJ13,AI14:$AI$39)=0,"",SUMIF(AJ14:$AJ$39,"=" &amp; AJ13,AI14:$AI$39)))</f>
        <v>0</v>
      </c>
      <c r="AJ13" s="139">
        <f t="shared" si="34"/>
        <v>1</v>
      </c>
      <c r="AK13" s="453">
        <f t="shared" si="27"/>
        <v>2</v>
      </c>
      <c r="AL13" s="146" t="str">
        <f t="shared" si="28"/>
        <v/>
      </c>
      <c r="AM13" s="146" t="str">
        <f t="shared" si="35"/>
        <v/>
      </c>
      <c r="AN13" s="146" t="str">
        <f t="shared" si="5"/>
        <v/>
      </c>
      <c r="AO13" s="146">
        <f t="shared" si="6"/>
        <v>2</v>
      </c>
      <c r="AP13" s="453" t="b">
        <f t="shared" si="7"/>
        <v>1</v>
      </c>
      <c r="AQ13" s="140">
        <f t="shared" si="29"/>
        <v>0</v>
      </c>
      <c r="AR13" s="141" t="str">
        <f t="shared" si="8"/>
        <v/>
      </c>
      <c r="AS13" s="142">
        <f t="shared" si="30"/>
        <v>1</v>
      </c>
      <c r="AT13" s="141" t="str">
        <f t="shared" si="9"/>
        <v/>
      </c>
      <c r="AU13" s="143">
        <f t="shared" si="10"/>
        <v>0</v>
      </c>
      <c r="AV13" s="144" t="str">
        <f t="shared" si="11"/>
        <v/>
      </c>
      <c r="AW13" s="143" t="b">
        <f t="shared" si="12"/>
        <v>1</v>
      </c>
      <c r="AX13" s="145" t="b">
        <f t="shared" si="13"/>
        <v>0</v>
      </c>
      <c r="AY13" s="143" t="b">
        <f t="shared" si="14"/>
        <v>0</v>
      </c>
      <c r="AZ13" s="145" t="b">
        <f t="shared" si="15"/>
        <v>0</v>
      </c>
      <c r="BA13" s="453" t="b">
        <f t="shared" si="16"/>
        <v>0</v>
      </c>
      <c r="BB13" s="453" t="b">
        <f t="shared" si="17"/>
        <v>0</v>
      </c>
      <c r="BC13" s="143" t="b">
        <f t="shared" si="18"/>
        <v>0</v>
      </c>
      <c r="BD13" s="146" t="b">
        <f t="shared" si="31"/>
        <v>0</v>
      </c>
      <c r="BE13" s="145" t="b">
        <f t="shared" si="19"/>
        <v>0</v>
      </c>
      <c r="BF13" s="147" t="b">
        <f t="shared" si="20"/>
        <v>0</v>
      </c>
      <c r="BG13" s="453" t="b">
        <f t="shared" si="21"/>
        <v>1</v>
      </c>
      <c r="BH13" s="453">
        <f t="shared" si="32"/>
        <v>1</v>
      </c>
      <c r="BI13" s="453">
        <f t="shared" si="22"/>
        <v>2</v>
      </c>
      <c r="BJ13" s="453" t="str">
        <f t="shared" si="23"/>
        <v>2*</v>
      </c>
      <c r="BK13" s="453">
        <f t="shared" si="24"/>
        <v>3</v>
      </c>
      <c r="BL13" s="148">
        <f t="shared" si="33"/>
        <v>1</v>
      </c>
      <c r="BM13" s="453">
        <f t="shared" si="25"/>
        <v>2</v>
      </c>
      <c r="BN13" s="453">
        <f t="shared" si="26"/>
        <v>3</v>
      </c>
      <c r="BO13" s="155">
        <v>3</v>
      </c>
      <c r="BP13" s="156" t="s">
        <v>352</v>
      </c>
    </row>
    <row r="14" spans="2:73" s="94" customFormat="1" ht="12.95" customHeight="1" x14ac:dyDescent="0.2">
      <c r="B14" s="151">
        <f>IF(ISNA(Z14),"",IF(OR(Z14=1,Z14=2),"    ",MAX($B$8:B13)+1))</f>
        <v>5</v>
      </c>
      <c r="C14" s="904" t="str">
        <f t="shared" si="0"/>
        <v xml:space="preserve">      - Clearing/Visual Lookout (0.0%)</v>
      </c>
      <c r="D14" s="904"/>
      <c r="E14" s="904"/>
      <c r="F14" s="905"/>
      <c r="G14" s="133">
        <f t="shared" si="1"/>
        <v>1</v>
      </c>
      <c r="H14" s="134" t="str">
        <f t="shared" si="2"/>
        <v>2*</v>
      </c>
      <c r="I14" s="152">
        <f t="shared" si="2"/>
        <v>3</v>
      </c>
      <c r="J14" s="157"/>
      <c r="K14" s="154"/>
      <c r="L14" s="1015"/>
      <c r="M14" s="1016"/>
      <c r="N14" s="1016"/>
      <c r="O14" s="1016"/>
      <c r="P14" s="1016"/>
      <c r="Q14" s="1016"/>
      <c r="R14" s="1017"/>
      <c r="T14" s="99">
        <v>7</v>
      </c>
      <c r="U14" s="88" t="s">
        <v>694</v>
      </c>
      <c r="V14" s="453">
        <v>1</v>
      </c>
      <c r="W14" s="453" t="s">
        <v>340</v>
      </c>
      <c r="X14" s="453">
        <v>1</v>
      </c>
      <c r="Y14" s="453" t="s">
        <v>340</v>
      </c>
      <c r="Z14" s="146" t="s">
        <v>340</v>
      </c>
      <c r="AA14" s="146">
        <v>2</v>
      </c>
      <c r="AB14" s="146">
        <v>0</v>
      </c>
      <c r="AC14" s="453">
        <v>3</v>
      </c>
      <c r="AD14" s="453">
        <v>3</v>
      </c>
      <c r="AE14" s="453">
        <v>1</v>
      </c>
      <c r="AF14" s="453" t="b">
        <v>1</v>
      </c>
      <c r="AG14" s="453">
        <f t="shared" si="3"/>
        <v>3</v>
      </c>
      <c r="AH14" s="453">
        <f t="shared" si="4"/>
        <v>2</v>
      </c>
      <c r="AI14" s="138">
        <f>IF(NOT(OR(Z14=1,Z14=2)),IF(AQ14&gt;0,$AR$44*AQ14/SUMIF($AQ$8:$AQ$39,"&gt;0"),IF(AU14&gt;0,$AV$44*AU14/SUMIF($AU$8:$AU$39,"&gt;0"),IF(AS14&gt;0,$AT$44*AS14/SUMIF($AS$8:$AS$39,"&gt;0"),""))),IF(SUMIF(AJ15:$AJ$39,"=" &amp; AJ14,AI15:$AI$39)=0,"",SUMIF(AJ15:$AJ$39,"=" &amp; AJ14,AI15:$AI$39)))</f>
        <v>0</v>
      </c>
      <c r="AJ14" s="139">
        <f t="shared" si="34"/>
        <v>1</v>
      </c>
      <c r="AK14" s="453">
        <f t="shared" si="27"/>
        <v>2</v>
      </c>
      <c r="AL14" s="146" t="str">
        <f t="shared" si="28"/>
        <v/>
      </c>
      <c r="AM14" s="146" t="str">
        <f t="shared" si="35"/>
        <v/>
      </c>
      <c r="AN14" s="146" t="str">
        <f t="shared" si="5"/>
        <v/>
      </c>
      <c r="AO14" s="146">
        <f t="shared" si="6"/>
        <v>2</v>
      </c>
      <c r="AP14" s="453" t="b">
        <f t="shared" si="7"/>
        <v>1</v>
      </c>
      <c r="AQ14" s="140">
        <f t="shared" si="29"/>
        <v>0</v>
      </c>
      <c r="AR14" s="141" t="str">
        <f t="shared" si="8"/>
        <v/>
      </c>
      <c r="AS14" s="142">
        <f t="shared" si="30"/>
        <v>1</v>
      </c>
      <c r="AT14" s="141" t="str">
        <f t="shared" si="9"/>
        <v/>
      </c>
      <c r="AU14" s="143">
        <f t="shared" si="10"/>
        <v>0</v>
      </c>
      <c r="AV14" s="144" t="str">
        <f t="shared" si="11"/>
        <v/>
      </c>
      <c r="AW14" s="143" t="b">
        <f t="shared" si="12"/>
        <v>1</v>
      </c>
      <c r="AX14" s="145" t="b">
        <f t="shared" si="13"/>
        <v>0</v>
      </c>
      <c r="AY14" s="143" t="b">
        <f t="shared" si="14"/>
        <v>0</v>
      </c>
      <c r="AZ14" s="145" t="b">
        <f t="shared" si="15"/>
        <v>0</v>
      </c>
      <c r="BA14" s="453" t="b">
        <f t="shared" si="16"/>
        <v>0</v>
      </c>
      <c r="BB14" s="453" t="b">
        <f t="shared" si="17"/>
        <v>0</v>
      </c>
      <c r="BC14" s="143" t="b">
        <f t="shared" si="18"/>
        <v>0</v>
      </c>
      <c r="BD14" s="146" t="b">
        <f t="shared" si="31"/>
        <v>0</v>
      </c>
      <c r="BE14" s="145" t="b">
        <f t="shared" si="19"/>
        <v>0</v>
      </c>
      <c r="BF14" s="147" t="b">
        <f t="shared" si="20"/>
        <v>0</v>
      </c>
      <c r="BG14" s="453" t="b">
        <f t="shared" si="21"/>
        <v>1</v>
      </c>
      <c r="BH14" s="453">
        <f t="shared" si="32"/>
        <v>1</v>
      </c>
      <c r="BI14" s="453">
        <f t="shared" si="22"/>
        <v>2</v>
      </c>
      <c r="BJ14" s="453" t="str">
        <f t="shared" si="23"/>
        <v>2*</v>
      </c>
      <c r="BK14" s="453">
        <f t="shared" si="24"/>
        <v>3</v>
      </c>
      <c r="BL14" s="148">
        <f t="shared" si="33"/>
        <v>1</v>
      </c>
      <c r="BM14" s="453">
        <f t="shared" si="25"/>
        <v>2</v>
      </c>
      <c r="BN14" s="453">
        <f t="shared" si="26"/>
        <v>3</v>
      </c>
      <c r="BO14" s="155">
        <v>4</v>
      </c>
      <c r="BP14" s="156" t="s">
        <v>354</v>
      </c>
    </row>
    <row r="15" spans="2:73" s="94" customFormat="1" ht="12.95" customHeight="1" x14ac:dyDescent="0.2">
      <c r="B15" s="151" t="str">
        <f>IF(ISNA(Z15),"",IF(OR(Z15=1,Z15=2),"    ",MAX($B$8:B14)+1))</f>
        <v xml:space="preserve">    </v>
      </c>
      <c r="C15" s="904" t="str">
        <f t="shared" si="0"/>
        <v>Academic Tasks</v>
      </c>
      <c r="D15" s="904"/>
      <c r="E15" s="904"/>
      <c r="F15" s="905"/>
      <c r="G15" s="133" t="str">
        <f t="shared" si="1"/>
        <v/>
      </c>
      <c r="H15" s="134" t="str">
        <f t="shared" si="2"/>
        <v/>
      </c>
      <c r="I15" s="152" t="str">
        <f t="shared" si="2"/>
        <v/>
      </c>
      <c r="J15" s="158"/>
      <c r="K15" s="159"/>
      <c r="L15" s="1015"/>
      <c r="M15" s="1016"/>
      <c r="N15" s="1016"/>
      <c r="O15" s="1016"/>
      <c r="P15" s="1016"/>
      <c r="Q15" s="1016"/>
      <c r="R15" s="1017"/>
      <c r="T15" s="99">
        <v>8</v>
      </c>
      <c r="U15" s="88" t="s">
        <v>351</v>
      </c>
      <c r="V15" s="453" t="s">
        <v>340</v>
      </c>
      <c r="W15" s="453" t="s">
        <v>340</v>
      </c>
      <c r="X15" s="453" t="s">
        <v>340</v>
      </c>
      <c r="Y15" s="453" t="s">
        <v>340</v>
      </c>
      <c r="Z15" s="146">
        <v>1</v>
      </c>
      <c r="AA15" s="146">
        <v>0</v>
      </c>
      <c r="AB15" s="146">
        <v>1</v>
      </c>
      <c r="AC15" s="453" t="s">
        <v>340</v>
      </c>
      <c r="AD15" s="453" t="s">
        <v>340</v>
      </c>
      <c r="AE15" s="453">
        <v>0</v>
      </c>
      <c r="AF15" s="453" t="s">
        <v>340</v>
      </c>
      <c r="AG15" s="453" t="str">
        <f t="shared" si="3"/>
        <v/>
      </c>
      <c r="AH15" s="453" t="str">
        <f t="shared" si="4"/>
        <v/>
      </c>
      <c r="AI15" s="138" t="str">
        <f>IF(NOT(OR(Z15=1,Z15=2)),IF(AQ15&gt;0,$AR$44*AQ15/SUMIF($AQ$8:$AQ$39,"&gt;0"),IF(AU15&gt;0,$AV$44*AU15/SUMIF($AU$8:$AU$39,"&gt;0"),IF(AS15&gt;0,$AT$44*AS15/SUMIF($AS$8:$AS$39,"&gt;0"),""))),IF(SUMIF(AJ16:$AJ$39,"=" &amp; AJ15,AI16:$AI$39)=0,"",SUMIF(AJ16:$AJ$39,"=" &amp; AJ15,AI16:$AI$39)))</f>
        <v/>
      </c>
      <c r="AJ15" s="139">
        <f t="shared" si="34"/>
        <v>2</v>
      </c>
      <c r="AK15" s="453" t="str">
        <f t="shared" si="27"/>
        <v/>
      </c>
      <c r="AL15" s="146" t="str">
        <f t="shared" si="28"/>
        <v/>
      </c>
      <c r="AM15" s="146" t="str">
        <f t="shared" si="35"/>
        <v/>
      </c>
      <c r="AN15" s="146" t="str">
        <f t="shared" si="5"/>
        <v/>
      </c>
      <c r="AO15" s="146" t="str">
        <f t="shared" si="6"/>
        <v/>
      </c>
      <c r="AP15" s="453" t="str">
        <f t="shared" si="7"/>
        <v/>
      </c>
      <c r="AQ15" s="140">
        <f t="shared" si="29"/>
        <v>0</v>
      </c>
      <c r="AR15" s="141" t="str">
        <f t="shared" si="8"/>
        <v/>
      </c>
      <c r="AS15" s="142">
        <f t="shared" si="30"/>
        <v>0</v>
      </c>
      <c r="AT15" s="141" t="str">
        <f t="shared" si="9"/>
        <v/>
      </c>
      <c r="AU15" s="143">
        <f t="shared" si="10"/>
        <v>0</v>
      </c>
      <c r="AV15" s="144" t="str">
        <f t="shared" si="11"/>
        <v/>
      </c>
      <c r="AW15" s="143" t="b">
        <f t="shared" si="12"/>
        <v>0</v>
      </c>
      <c r="AX15" s="145" t="b">
        <f t="shared" si="13"/>
        <v>0</v>
      </c>
      <c r="AY15" s="143" t="b">
        <f t="shared" si="14"/>
        <v>0</v>
      </c>
      <c r="AZ15" s="145" t="b">
        <f t="shared" si="15"/>
        <v>0</v>
      </c>
      <c r="BA15" s="453" t="b">
        <f t="shared" si="16"/>
        <v>0</v>
      </c>
      <c r="BB15" s="453" t="b">
        <f t="shared" si="17"/>
        <v>0</v>
      </c>
      <c r="BC15" s="143" t="b">
        <f t="shared" si="18"/>
        <v>0</v>
      </c>
      <c r="BD15" s="146" t="b">
        <f t="shared" si="31"/>
        <v>0</v>
      </c>
      <c r="BE15" s="145" t="b">
        <f t="shared" si="19"/>
        <v>0</v>
      </c>
      <c r="BF15" s="147" t="b">
        <f t="shared" si="20"/>
        <v>0</v>
      </c>
      <c r="BG15" s="453" t="b">
        <f t="shared" si="21"/>
        <v>0</v>
      </c>
      <c r="BH15" s="453" t="str">
        <f t="shared" si="32"/>
        <v/>
      </c>
      <c r="BI15" s="453" t="str">
        <f t="shared" si="22"/>
        <v/>
      </c>
      <c r="BJ15" s="453" t="str">
        <f t="shared" si="23"/>
        <v/>
      </c>
      <c r="BK15" s="453" t="str">
        <f t="shared" si="24"/>
        <v/>
      </c>
      <c r="BL15" s="148" t="str">
        <f t="shared" si="33"/>
        <v/>
      </c>
      <c r="BM15" s="453" t="str">
        <f t="shared" si="25"/>
        <v/>
      </c>
      <c r="BN15" s="453" t="str">
        <f t="shared" si="26"/>
        <v/>
      </c>
      <c r="BO15" s="90"/>
    </row>
    <row r="16" spans="2:73" s="94" customFormat="1" ht="12.95" customHeight="1" x14ac:dyDescent="0.2">
      <c r="B16" s="151" t="str">
        <f>IF(ISNA(Z16),"",IF(OR(Z16=1,Z16=2),"    ",MAX($B$8:B15)+1))</f>
        <v xml:space="preserve">    </v>
      </c>
      <c r="C16" s="904" t="str">
        <f t="shared" si="0"/>
        <v>Test Conduct (35.7%)</v>
      </c>
      <c r="D16" s="904"/>
      <c r="E16" s="904"/>
      <c r="F16" s="905"/>
      <c r="G16" s="133" t="str">
        <f t="shared" si="1"/>
        <v/>
      </c>
      <c r="H16" s="134" t="str">
        <f t="shared" si="2"/>
        <v/>
      </c>
      <c r="I16" s="152" t="str">
        <f t="shared" si="2"/>
        <v/>
      </c>
      <c r="J16" s="480"/>
      <c r="K16" s="159"/>
      <c r="L16" s="1015"/>
      <c r="M16" s="1016"/>
      <c r="N16" s="1016"/>
      <c r="O16" s="1016"/>
      <c r="P16" s="1016"/>
      <c r="Q16" s="1016"/>
      <c r="R16" s="1017"/>
      <c r="T16" s="99">
        <v>9</v>
      </c>
      <c r="U16" s="88" t="s">
        <v>353</v>
      </c>
      <c r="V16" s="453" t="s">
        <v>340</v>
      </c>
      <c r="W16" s="453" t="s">
        <v>340</v>
      </c>
      <c r="X16" s="453" t="s">
        <v>340</v>
      </c>
      <c r="Y16" s="453" t="s">
        <v>340</v>
      </c>
      <c r="Z16" s="146">
        <v>2</v>
      </c>
      <c r="AA16" s="146">
        <v>1</v>
      </c>
      <c r="AB16" s="146">
        <v>1</v>
      </c>
      <c r="AC16" s="453" t="s">
        <v>340</v>
      </c>
      <c r="AD16" s="453" t="s">
        <v>340</v>
      </c>
      <c r="AE16" s="453" t="s">
        <v>340</v>
      </c>
      <c r="AF16" s="453" t="s">
        <v>340</v>
      </c>
      <c r="AG16" s="453" t="str">
        <f t="shared" si="3"/>
        <v/>
      </c>
      <c r="AH16" s="453" t="str">
        <f t="shared" si="4"/>
        <v/>
      </c>
      <c r="AI16" s="138">
        <f>IF(NOT(OR(Z16=1,Z16=2)),IF(AQ16&gt;0,$AR$44*AQ16/SUMIF($AQ$8:$AQ$39,"&gt;0"),IF(AU16&gt;0,$AV$44*AU16/SUMIF($AU$8:$AU$39,"&gt;0"),IF(AS16&gt;0,$AT$44*AS16/SUMIF($AS$8:$AS$39,"&gt;0"),""))),IF(SUMIF(AJ17:$AJ$39,"=" &amp; AJ16,AI17:$AI$39)=0,"",SUMIF(AJ17:$AJ$39,"=" &amp; AJ16,AI17:$AI$39)))</f>
        <v>0.3571428571428571</v>
      </c>
      <c r="AJ16" s="139">
        <f t="shared" si="34"/>
        <v>3</v>
      </c>
      <c r="AK16" s="453" t="str">
        <f t="shared" si="27"/>
        <v/>
      </c>
      <c r="AL16" s="146" t="str">
        <f t="shared" si="28"/>
        <v/>
      </c>
      <c r="AM16" s="146" t="str">
        <f t="shared" si="35"/>
        <v/>
      </c>
      <c r="AN16" s="146" t="str">
        <f t="shared" si="5"/>
        <v/>
      </c>
      <c r="AO16" s="146" t="str">
        <f t="shared" si="6"/>
        <v/>
      </c>
      <c r="AP16" s="453" t="str">
        <f t="shared" si="7"/>
        <v/>
      </c>
      <c r="AQ16" s="140">
        <f t="shared" si="29"/>
        <v>0</v>
      </c>
      <c r="AR16" s="141" t="str">
        <f t="shared" si="8"/>
        <v/>
      </c>
      <c r="AS16" s="142">
        <f t="shared" si="30"/>
        <v>0</v>
      </c>
      <c r="AT16" s="141" t="str">
        <f t="shared" si="9"/>
        <v/>
      </c>
      <c r="AU16" s="143">
        <f t="shared" si="10"/>
        <v>0</v>
      </c>
      <c r="AV16" s="144" t="str">
        <f t="shared" si="11"/>
        <v/>
      </c>
      <c r="AW16" s="143" t="b">
        <f t="shared" si="12"/>
        <v>0</v>
      </c>
      <c r="AX16" s="145" t="b">
        <f t="shared" si="13"/>
        <v>0</v>
      </c>
      <c r="AY16" s="143" t="b">
        <f t="shared" si="14"/>
        <v>0</v>
      </c>
      <c r="AZ16" s="145" t="b">
        <f t="shared" si="15"/>
        <v>0</v>
      </c>
      <c r="BA16" s="453" t="b">
        <f t="shared" si="16"/>
        <v>0</v>
      </c>
      <c r="BB16" s="453" t="b">
        <f t="shared" si="17"/>
        <v>0</v>
      </c>
      <c r="BC16" s="143" t="b">
        <f t="shared" si="18"/>
        <v>0</v>
      </c>
      <c r="BD16" s="146" t="b">
        <f t="shared" si="31"/>
        <v>0</v>
      </c>
      <c r="BE16" s="145" t="b">
        <f t="shared" si="19"/>
        <v>0</v>
      </c>
      <c r="BF16" s="147" t="b">
        <f t="shared" si="20"/>
        <v>0</v>
      </c>
      <c r="BG16" s="453" t="b">
        <f t="shared" si="21"/>
        <v>0</v>
      </c>
      <c r="BH16" s="453" t="str">
        <f t="shared" si="32"/>
        <v/>
      </c>
      <c r="BI16" s="453" t="str">
        <f t="shared" si="22"/>
        <v/>
      </c>
      <c r="BJ16" s="453" t="str">
        <f t="shared" si="23"/>
        <v/>
      </c>
      <c r="BK16" s="453" t="str">
        <f t="shared" si="24"/>
        <v/>
      </c>
      <c r="BL16" s="148" t="str">
        <f t="shared" si="33"/>
        <v/>
      </c>
      <c r="BM16" s="453" t="str">
        <f t="shared" si="25"/>
        <v/>
      </c>
      <c r="BN16" s="453" t="str">
        <f t="shared" si="26"/>
        <v/>
      </c>
      <c r="BO16" s="155"/>
      <c r="BP16" s="160"/>
    </row>
    <row r="17" spans="2:73" s="94" customFormat="1" ht="12.95" customHeight="1" x14ac:dyDescent="0.2">
      <c r="B17" s="151">
        <f>IF(ISNA(Z17),"",IF(OR(Z17=1,Z17=2),"    ",MAX($B$8:B16)+1))</f>
        <v>6</v>
      </c>
      <c r="C17" s="904" t="str">
        <f t="shared" si="0"/>
        <v xml:space="preserve">      - Mission Preparation (7.1%)</v>
      </c>
      <c r="D17" s="904"/>
      <c r="E17" s="904"/>
      <c r="F17" s="905"/>
      <c r="G17" s="133">
        <f t="shared" si="1"/>
        <v>1</v>
      </c>
      <c r="H17" s="134" t="str">
        <f t="shared" si="2"/>
        <v>2*</v>
      </c>
      <c r="I17" s="152">
        <f t="shared" si="2"/>
        <v>3</v>
      </c>
      <c r="J17" s="153"/>
      <c r="K17" s="154"/>
      <c r="L17" s="1015"/>
      <c r="M17" s="1016"/>
      <c r="N17" s="1016"/>
      <c r="O17" s="1016"/>
      <c r="P17" s="1016"/>
      <c r="Q17" s="1016"/>
      <c r="R17" s="1017"/>
      <c r="T17" s="99">
        <v>10</v>
      </c>
      <c r="U17" s="88" t="s">
        <v>498</v>
      </c>
      <c r="V17" s="453">
        <v>1</v>
      </c>
      <c r="W17" s="453">
        <v>2</v>
      </c>
      <c r="X17" s="453" t="s">
        <v>340</v>
      </c>
      <c r="Y17" s="453" t="s">
        <v>340</v>
      </c>
      <c r="Z17" s="146" t="s">
        <v>340</v>
      </c>
      <c r="AA17" s="146">
        <v>2</v>
      </c>
      <c r="AB17" s="146">
        <v>1</v>
      </c>
      <c r="AC17" s="453">
        <v>3</v>
      </c>
      <c r="AD17" s="453">
        <v>2</v>
      </c>
      <c r="AE17" s="453">
        <v>1</v>
      </c>
      <c r="AF17" s="453" t="b">
        <v>1</v>
      </c>
      <c r="AG17" s="453">
        <f t="shared" si="3"/>
        <v>2</v>
      </c>
      <c r="AH17" s="453">
        <f t="shared" si="4"/>
        <v>1</v>
      </c>
      <c r="AI17" s="138">
        <f>IF(NOT(OR(Z17=1,Z17=2)),IF(AQ17&gt;0,$AR$44*AQ17/SUMIF($AQ$8:$AQ$39,"&gt;0"),IF(AU17&gt;0,$AV$44*AU17/SUMIF($AU$8:$AU$39,"&gt;0"),IF(AS17&gt;0,$AT$44*AS17/SUMIF($AS$8:$AS$39,"&gt;0"),""))),IF(SUMIF(AJ18:$AJ$39,"=" &amp; AJ17,AI18:$AI$39)=0,"",SUMIF(AJ18:$AJ$39,"=" &amp; AJ17,AI18:$AI$39)))</f>
        <v>7.1428571428571425E-2</v>
      </c>
      <c r="AJ17" s="139">
        <f t="shared" si="34"/>
        <v>3</v>
      </c>
      <c r="AK17" s="453">
        <f t="shared" si="27"/>
        <v>2</v>
      </c>
      <c r="AL17" s="146" t="str">
        <f t="shared" si="28"/>
        <v/>
      </c>
      <c r="AM17" s="146" t="str">
        <f t="shared" si="35"/>
        <v/>
      </c>
      <c r="AN17" s="146" t="str">
        <f t="shared" si="5"/>
        <v/>
      </c>
      <c r="AO17" s="146" t="str">
        <f t="shared" si="6"/>
        <v/>
      </c>
      <c r="AP17" s="453" t="b">
        <f t="shared" si="7"/>
        <v>1</v>
      </c>
      <c r="AQ17" s="140">
        <f t="shared" si="29"/>
        <v>2</v>
      </c>
      <c r="AR17" s="141" t="str">
        <f t="shared" si="8"/>
        <v/>
      </c>
      <c r="AS17" s="142">
        <f t="shared" si="30"/>
        <v>0</v>
      </c>
      <c r="AT17" s="141" t="str">
        <f t="shared" si="9"/>
        <v/>
      </c>
      <c r="AU17" s="143">
        <f t="shared" si="10"/>
        <v>0</v>
      </c>
      <c r="AV17" s="144" t="str">
        <f t="shared" si="11"/>
        <v/>
      </c>
      <c r="AW17" s="143" t="b">
        <f t="shared" si="12"/>
        <v>0</v>
      </c>
      <c r="AX17" s="145" t="b">
        <f t="shared" si="13"/>
        <v>1</v>
      </c>
      <c r="AY17" s="143" t="b">
        <f t="shared" si="14"/>
        <v>0</v>
      </c>
      <c r="AZ17" s="145" t="b">
        <f t="shared" si="15"/>
        <v>0</v>
      </c>
      <c r="BA17" s="453" t="b">
        <f t="shared" si="16"/>
        <v>0</v>
      </c>
      <c r="BB17" s="453" t="b">
        <f t="shared" si="17"/>
        <v>0</v>
      </c>
      <c r="BC17" s="143" t="b">
        <f t="shared" si="18"/>
        <v>0</v>
      </c>
      <c r="BD17" s="146" t="b">
        <f t="shared" si="31"/>
        <v>0</v>
      </c>
      <c r="BE17" s="145" t="b">
        <f t="shared" si="19"/>
        <v>0</v>
      </c>
      <c r="BF17" s="147" t="b">
        <f t="shared" si="20"/>
        <v>0</v>
      </c>
      <c r="BG17" s="453" t="b">
        <f t="shared" si="21"/>
        <v>1</v>
      </c>
      <c r="BH17" s="453">
        <f t="shared" si="32"/>
        <v>1</v>
      </c>
      <c r="BI17" s="453">
        <f t="shared" si="22"/>
        <v>2</v>
      </c>
      <c r="BJ17" s="453" t="str">
        <f t="shared" si="23"/>
        <v>2*</v>
      </c>
      <c r="BK17" s="453">
        <f t="shared" si="24"/>
        <v>3</v>
      </c>
      <c r="BL17" s="148">
        <f t="shared" si="33"/>
        <v>1</v>
      </c>
      <c r="BM17" s="453">
        <f t="shared" si="25"/>
        <v>2</v>
      </c>
      <c r="BN17" s="453">
        <f t="shared" si="26"/>
        <v>3</v>
      </c>
      <c r="BO17" s="90"/>
    </row>
    <row r="18" spans="2:73" s="94" customFormat="1" ht="12.95" customHeight="1" x14ac:dyDescent="0.2">
      <c r="B18" s="151">
        <f>IF(ISNA(Z18),"",IF(OR(Z18=1,Z18=2),"    ",MAX($B$8:B17)+1))</f>
        <v>7</v>
      </c>
      <c r="C18" s="904" t="str">
        <f t="shared" si="0"/>
        <v xml:space="preserve">      - Test SA/Adaptation (14.3%)</v>
      </c>
      <c r="D18" s="904"/>
      <c r="E18" s="904"/>
      <c r="F18" s="905"/>
      <c r="G18" s="133">
        <f t="shared" si="1"/>
        <v>1</v>
      </c>
      <c r="H18" s="134" t="str">
        <f t="shared" si="2"/>
        <v>2*</v>
      </c>
      <c r="I18" s="152">
        <f t="shared" si="2"/>
        <v>3</v>
      </c>
      <c r="J18" s="153"/>
      <c r="K18" s="154"/>
      <c r="L18" s="1015"/>
      <c r="M18" s="1016"/>
      <c r="N18" s="1016"/>
      <c r="O18" s="1016"/>
      <c r="P18" s="1016"/>
      <c r="Q18" s="1016"/>
      <c r="R18" s="1017"/>
      <c r="T18" s="99">
        <v>11</v>
      </c>
      <c r="U18" s="88" t="s">
        <v>695</v>
      </c>
      <c r="V18" s="453">
        <v>1</v>
      </c>
      <c r="W18" s="453">
        <v>4</v>
      </c>
      <c r="X18" s="453" t="s">
        <v>340</v>
      </c>
      <c r="Y18" s="453" t="s">
        <v>340</v>
      </c>
      <c r="Z18" s="146" t="s">
        <v>340</v>
      </c>
      <c r="AA18" s="146">
        <v>2</v>
      </c>
      <c r="AB18" s="146">
        <v>1</v>
      </c>
      <c r="AC18" s="453">
        <v>3</v>
      </c>
      <c r="AD18" s="453">
        <v>2</v>
      </c>
      <c r="AE18" s="453">
        <v>1</v>
      </c>
      <c r="AF18" s="453" t="b">
        <v>1</v>
      </c>
      <c r="AG18" s="453">
        <f t="shared" si="3"/>
        <v>2</v>
      </c>
      <c r="AH18" s="453">
        <f t="shared" si="4"/>
        <v>1</v>
      </c>
      <c r="AI18" s="138">
        <f>IF(NOT(OR(Z18=1,Z18=2)),IF(AQ18&gt;0,$AR$44*AQ18/SUMIF($AQ$8:$AQ$39,"&gt;0"),IF(AU18&gt;0,$AV$44*AU18/SUMIF($AU$8:$AU$39,"&gt;0"),IF(AS18&gt;0,$AT$44*AS18/SUMIF($AS$8:$AS$39,"&gt;0"),""))),IF(SUMIF(AJ19:$AJ$39,"=" &amp; AJ18,AI19:$AI$39)=0,"",SUMIF(AJ19:$AJ$39,"=" &amp; AJ18,AI19:$AI$39)))</f>
        <v>0.14285714285714285</v>
      </c>
      <c r="AJ18" s="139">
        <f t="shared" si="34"/>
        <v>3</v>
      </c>
      <c r="AK18" s="453">
        <f t="shared" si="27"/>
        <v>2</v>
      </c>
      <c r="AL18" s="146" t="str">
        <f t="shared" si="28"/>
        <v/>
      </c>
      <c r="AM18" s="146" t="str">
        <f t="shared" si="35"/>
        <v/>
      </c>
      <c r="AN18" s="146" t="str">
        <f t="shared" si="5"/>
        <v/>
      </c>
      <c r="AO18" s="146" t="str">
        <f t="shared" si="6"/>
        <v/>
      </c>
      <c r="AP18" s="453" t="b">
        <f t="shared" si="7"/>
        <v>1</v>
      </c>
      <c r="AQ18" s="140">
        <f t="shared" si="29"/>
        <v>4</v>
      </c>
      <c r="AR18" s="141" t="str">
        <f t="shared" si="8"/>
        <v/>
      </c>
      <c r="AS18" s="142">
        <f t="shared" si="30"/>
        <v>0</v>
      </c>
      <c r="AT18" s="141" t="str">
        <f t="shared" si="9"/>
        <v/>
      </c>
      <c r="AU18" s="143">
        <f t="shared" si="10"/>
        <v>0</v>
      </c>
      <c r="AV18" s="144" t="str">
        <f t="shared" si="11"/>
        <v/>
      </c>
      <c r="AW18" s="143" t="b">
        <f t="shared" si="12"/>
        <v>0</v>
      </c>
      <c r="AX18" s="145" t="b">
        <f t="shared" si="13"/>
        <v>1</v>
      </c>
      <c r="AY18" s="143" t="b">
        <f t="shared" si="14"/>
        <v>0</v>
      </c>
      <c r="AZ18" s="145" t="b">
        <f t="shared" si="15"/>
        <v>0</v>
      </c>
      <c r="BA18" s="453" t="b">
        <f t="shared" si="16"/>
        <v>0</v>
      </c>
      <c r="BB18" s="453" t="b">
        <f t="shared" si="17"/>
        <v>0</v>
      </c>
      <c r="BC18" s="143" t="b">
        <f t="shared" si="18"/>
        <v>0</v>
      </c>
      <c r="BD18" s="146" t="b">
        <f t="shared" si="31"/>
        <v>0</v>
      </c>
      <c r="BE18" s="145" t="b">
        <f t="shared" si="19"/>
        <v>0</v>
      </c>
      <c r="BF18" s="147" t="b">
        <f t="shared" si="20"/>
        <v>0</v>
      </c>
      <c r="BG18" s="453" t="b">
        <f t="shared" si="21"/>
        <v>1</v>
      </c>
      <c r="BH18" s="453">
        <f t="shared" si="32"/>
        <v>1</v>
      </c>
      <c r="BI18" s="453">
        <f t="shared" si="22"/>
        <v>2</v>
      </c>
      <c r="BJ18" s="453" t="str">
        <f t="shared" si="23"/>
        <v>2*</v>
      </c>
      <c r="BK18" s="453">
        <f t="shared" si="24"/>
        <v>3</v>
      </c>
      <c r="BL18" s="148">
        <f t="shared" si="33"/>
        <v>1</v>
      </c>
      <c r="BM18" s="453">
        <f t="shared" si="25"/>
        <v>2</v>
      </c>
      <c r="BN18" s="453">
        <f t="shared" si="26"/>
        <v>3</v>
      </c>
      <c r="BO18" s="300"/>
      <c r="BP18" s="160" t="s">
        <v>355</v>
      </c>
      <c r="BQ18" s="161"/>
      <c r="BR18" s="161"/>
      <c r="BS18" s="161"/>
      <c r="BT18" s="161"/>
      <c r="BU18" s="161"/>
    </row>
    <row r="19" spans="2:73" s="94" customFormat="1" ht="12.95" customHeight="1" x14ac:dyDescent="0.2">
      <c r="B19" s="151">
        <f>IF(ISNA(Z19),"",IF(OR(Z19=1,Z19=2),"    ",MAX($B$8:B18)+1))</f>
        <v>8</v>
      </c>
      <c r="C19" s="904" t="str">
        <f t="shared" si="0"/>
        <v xml:space="preserve">      - Communication (7.1%)</v>
      </c>
      <c r="D19" s="904"/>
      <c r="E19" s="904"/>
      <c r="F19" s="905"/>
      <c r="G19" s="133">
        <f t="shared" si="1"/>
        <v>1</v>
      </c>
      <c r="H19" s="134" t="str">
        <f t="shared" si="2"/>
        <v>2*</v>
      </c>
      <c r="I19" s="152">
        <f t="shared" si="2"/>
        <v>3</v>
      </c>
      <c r="J19" s="153"/>
      <c r="K19" s="154"/>
      <c r="L19" s="1015"/>
      <c r="M19" s="1016"/>
      <c r="N19" s="1016"/>
      <c r="O19" s="1016"/>
      <c r="P19" s="1016"/>
      <c r="Q19" s="1016"/>
      <c r="R19" s="1017"/>
      <c r="T19" s="99">
        <v>12</v>
      </c>
      <c r="U19" s="88" t="s">
        <v>500</v>
      </c>
      <c r="V19" s="453">
        <v>1</v>
      </c>
      <c r="W19" s="453">
        <v>2</v>
      </c>
      <c r="X19" s="453" t="s">
        <v>340</v>
      </c>
      <c r="Y19" s="453" t="s">
        <v>340</v>
      </c>
      <c r="Z19" s="146" t="s">
        <v>340</v>
      </c>
      <c r="AA19" s="146">
        <v>2</v>
      </c>
      <c r="AB19" s="146">
        <v>1</v>
      </c>
      <c r="AC19" s="453">
        <v>3</v>
      </c>
      <c r="AD19" s="453">
        <v>2</v>
      </c>
      <c r="AE19" s="453">
        <v>1</v>
      </c>
      <c r="AF19" s="453" t="b">
        <v>1</v>
      </c>
      <c r="AG19" s="453">
        <f t="shared" si="3"/>
        <v>2</v>
      </c>
      <c r="AH19" s="453">
        <f t="shared" si="4"/>
        <v>1</v>
      </c>
      <c r="AI19" s="138">
        <f>IF(NOT(OR(Z19=1,Z19=2)),IF(AQ19&gt;0,$AR$44*AQ19/SUMIF($AQ$8:$AQ$39,"&gt;0"),IF(AU19&gt;0,$AV$44*AU19/SUMIF($AU$8:$AU$39,"&gt;0"),IF(AS19&gt;0,$AT$44*AS19/SUMIF($AS$8:$AS$39,"&gt;0"),""))),IF(SUMIF(AJ20:$AJ$39,"=" &amp; AJ19,AI20:$AI$39)=0,"",SUMIF(AJ20:$AJ$39,"=" &amp; AJ19,AI20:$AI$39)))</f>
        <v>7.1428571428571425E-2</v>
      </c>
      <c r="AJ19" s="139">
        <f t="shared" si="34"/>
        <v>3</v>
      </c>
      <c r="AK19" s="453">
        <f t="shared" si="27"/>
        <v>2</v>
      </c>
      <c r="AL19" s="146" t="str">
        <f t="shared" si="28"/>
        <v/>
      </c>
      <c r="AM19" s="146" t="str">
        <f t="shared" si="35"/>
        <v/>
      </c>
      <c r="AN19" s="146" t="str">
        <f t="shared" si="5"/>
        <v/>
      </c>
      <c r="AO19" s="146" t="str">
        <f t="shared" si="6"/>
        <v/>
      </c>
      <c r="AP19" s="453" t="b">
        <f t="shared" si="7"/>
        <v>1</v>
      </c>
      <c r="AQ19" s="140">
        <f t="shared" si="29"/>
        <v>2</v>
      </c>
      <c r="AR19" s="141" t="str">
        <f t="shared" si="8"/>
        <v/>
      </c>
      <c r="AS19" s="142">
        <f t="shared" si="30"/>
        <v>0</v>
      </c>
      <c r="AT19" s="141" t="str">
        <f t="shared" si="9"/>
        <v/>
      </c>
      <c r="AU19" s="143">
        <f t="shared" si="10"/>
        <v>0</v>
      </c>
      <c r="AV19" s="144" t="str">
        <f t="shared" si="11"/>
        <v/>
      </c>
      <c r="AW19" s="143" t="b">
        <f t="shared" si="12"/>
        <v>0</v>
      </c>
      <c r="AX19" s="145" t="b">
        <f t="shared" si="13"/>
        <v>1</v>
      </c>
      <c r="AY19" s="143" t="b">
        <f t="shared" si="14"/>
        <v>0</v>
      </c>
      <c r="AZ19" s="145" t="b">
        <f t="shared" si="15"/>
        <v>0</v>
      </c>
      <c r="BA19" s="453" t="b">
        <f t="shared" si="16"/>
        <v>0</v>
      </c>
      <c r="BB19" s="453" t="b">
        <f t="shared" si="17"/>
        <v>0</v>
      </c>
      <c r="BC19" s="143" t="b">
        <f t="shared" si="18"/>
        <v>0</v>
      </c>
      <c r="BD19" s="146" t="b">
        <f t="shared" si="31"/>
        <v>0</v>
      </c>
      <c r="BE19" s="145" t="b">
        <f t="shared" si="19"/>
        <v>0</v>
      </c>
      <c r="BF19" s="147" t="b">
        <f t="shared" si="20"/>
        <v>0</v>
      </c>
      <c r="BG19" s="453" t="b">
        <f t="shared" si="21"/>
        <v>1</v>
      </c>
      <c r="BH19" s="453">
        <f t="shared" si="32"/>
        <v>1</v>
      </c>
      <c r="BI19" s="453">
        <f t="shared" si="22"/>
        <v>2</v>
      </c>
      <c r="BJ19" s="453" t="str">
        <f t="shared" si="23"/>
        <v>2*</v>
      </c>
      <c r="BK19" s="453">
        <f t="shared" si="24"/>
        <v>3</v>
      </c>
      <c r="BL19" s="148">
        <f t="shared" si="33"/>
        <v>1</v>
      </c>
      <c r="BM19" s="453">
        <f t="shared" si="25"/>
        <v>2</v>
      </c>
      <c r="BN19" s="453">
        <f t="shared" si="26"/>
        <v>3</v>
      </c>
      <c r="BO19" s="300"/>
      <c r="BP19" s="150"/>
      <c r="BQ19" s="935" t="s">
        <v>356</v>
      </c>
      <c r="BR19" s="935"/>
      <c r="BS19" s="935"/>
      <c r="BT19" s="935"/>
      <c r="BU19" s="935"/>
    </row>
    <row r="20" spans="2:73" s="94" customFormat="1" ht="12.95" customHeight="1" x14ac:dyDescent="0.2">
      <c r="B20" s="151">
        <f>IF(ISNA(Z20),"",IF(OR(Z20=1,Z20=2),"    ",MAX($B$8:B19)+1))</f>
        <v>9</v>
      </c>
      <c r="C20" s="904" t="str">
        <f t="shared" si="0"/>
        <v xml:space="preserve">      - Teamwork/CRM (7.1%)</v>
      </c>
      <c r="D20" s="904"/>
      <c r="E20" s="904"/>
      <c r="F20" s="905"/>
      <c r="G20" s="133">
        <f t="shared" si="1"/>
        <v>1</v>
      </c>
      <c r="H20" s="134" t="str">
        <f t="shared" si="2"/>
        <v>2*</v>
      </c>
      <c r="I20" s="152">
        <f t="shared" si="2"/>
        <v>3</v>
      </c>
      <c r="J20" s="157"/>
      <c r="K20" s="154"/>
      <c r="L20" s="1015"/>
      <c r="M20" s="1016"/>
      <c r="N20" s="1016"/>
      <c r="O20" s="1016"/>
      <c r="P20" s="1016"/>
      <c r="Q20" s="1016"/>
      <c r="R20" s="1017"/>
      <c r="T20" s="99">
        <v>13</v>
      </c>
      <c r="U20" s="88" t="s">
        <v>696</v>
      </c>
      <c r="V20" s="453">
        <v>1</v>
      </c>
      <c r="W20" s="453">
        <v>2</v>
      </c>
      <c r="X20" s="453" t="s">
        <v>340</v>
      </c>
      <c r="Y20" s="453" t="s">
        <v>340</v>
      </c>
      <c r="Z20" s="146" t="s">
        <v>340</v>
      </c>
      <c r="AA20" s="146">
        <v>2</v>
      </c>
      <c r="AB20" s="146">
        <v>1</v>
      </c>
      <c r="AC20" s="453">
        <v>3</v>
      </c>
      <c r="AD20" s="453">
        <v>2</v>
      </c>
      <c r="AE20" s="453">
        <v>1</v>
      </c>
      <c r="AF20" s="453" t="b">
        <v>1</v>
      </c>
      <c r="AG20" s="453">
        <f t="shared" si="3"/>
        <v>2</v>
      </c>
      <c r="AH20" s="453">
        <f t="shared" si="4"/>
        <v>1</v>
      </c>
      <c r="AI20" s="138">
        <f>IF(NOT(OR(Z20=1,Z20=2)),IF(AQ20&gt;0,$AR$44*AQ20/SUMIF($AQ$8:$AQ$39,"&gt;0"),IF(AU20&gt;0,$AV$44*AU20/SUMIF($AU$8:$AU$39,"&gt;0"),IF(AS20&gt;0,$AT$44*AS20/SUMIF($AS$8:$AS$39,"&gt;0"),""))),IF(SUMIF(AJ21:$AJ$39,"=" &amp; AJ20,AI21:$AI$39)=0,"",SUMIF(AJ21:$AJ$39,"=" &amp; AJ20,AI21:$AI$39)))</f>
        <v>7.1428571428571425E-2</v>
      </c>
      <c r="AJ20" s="139">
        <f t="shared" si="34"/>
        <v>3</v>
      </c>
      <c r="AK20" s="453">
        <f t="shared" si="27"/>
        <v>2</v>
      </c>
      <c r="AL20" s="146" t="str">
        <f t="shared" si="28"/>
        <v/>
      </c>
      <c r="AM20" s="146" t="str">
        <f t="shared" si="35"/>
        <v/>
      </c>
      <c r="AN20" s="146" t="str">
        <f t="shared" si="5"/>
        <v/>
      </c>
      <c r="AO20" s="146" t="str">
        <f t="shared" si="6"/>
        <v/>
      </c>
      <c r="AP20" s="453" t="b">
        <f t="shared" si="7"/>
        <v>1</v>
      </c>
      <c r="AQ20" s="140">
        <f t="shared" si="29"/>
        <v>2</v>
      </c>
      <c r="AR20" s="141" t="str">
        <f t="shared" si="8"/>
        <v/>
      </c>
      <c r="AS20" s="142">
        <f t="shared" si="30"/>
        <v>0</v>
      </c>
      <c r="AT20" s="141" t="str">
        <f t="shared" si="9"/>
        <v/>
      </c>
      <c r="AU20" s="143">
        <f t="shared" si="10"/>
        <v>0</v>
      </c>
      <c r="AV20" s="144" t="str">
        <f t="shared" si="11"/>
        <v/>
      </c>
      <c r="AW20" s="143" t="b">
        <f t="shared" si="12"/>
        <v>0</v>
      </c>
      <c r="AX20" s="145" t="b">
        <f t="shared" si="13"/>
        <v>1</v>
      </c>
      <c r="AY20" s="143" t="b">
        <f t="shared" si="14"/>
        <v>0</v>
      </c>
      <c r="AZ20" s="145" t="b">
        <f t="shared" si="15"/>
        <v>0</v>
      </c>
      <c r="BA20" s="453" t="b">
        <f t="shared" si="16"/>
        <v>0</v>
      </c>
      <c r="BB20" s="453" t="b">
        <f t="shared" si="17"/>
        <v>0</v>
      </c>
      <c r="BC20" s="143" t="b">
        <f t="shared" si="18"/>
        <v>0</v>
      </c>
      <c r="BD20" s="146" t="b">
        <f t="shared" si="31"/>
        <v>0</v>
      </c>
      <c r="BE20" s="145" t="b">
        <f t="shared" si="19"/>
        <v>0</v>
      </c>
      <c r="BF20" s="147" t="b">
        <f t="shared" si="20"/>
        <v>0</v>
      </c>
      <c r="BG20" s="453" t="b">
        <f t="shared" si="21"/>
        <v>1</v>
      </c>
      <c r="BH20" s="453">
        <f t="shared" si="32"/>
        <v>1</v>
      </c>
      <c r="BI20" s="453">
        <f t="shared" si="22"/>
        <v>2</v>
      </c>
      <c r="BJ20" s="453" t="str">
        <f t="shared" si="23"/>
        <v>2*</v>
      </c>
      <c r="BK20" s="453">
        <f t="shared" si="24"/>
        <v>3</v>
      </c>
      <c r="BL20" s="148">
        <f t="shared" si="33"/>
        <v>1</v>
      </c>
      <c r="BM20" s="453">
        <f t="shared" si="25"/>
        <v>2</v>
      </c>
      <c r="BN20" s="453">
        <f t="shared" si="26"/>
        <v>3</v>
      </c>
      <c r="BO20" s="300"/>
      <c r="BP20" s="300"/>
      <c r="BQ20" s="300">
        <v>0</v>
      </c>
      <c r="BR20" s="300">
        <v>1</v>
      </c>
      <c r="BS20" s="300">
        <v>2</v>
      </c>
      <c r="BT20" s="300">
        <v>3</v>
      </c>
      <c r="BU20" s="300">
        <v>4</v>
      </c>
    </row>
    <row r="21" spans="2:73" s="94" customFormat="1" ht="12.95" customHeight="1" x14ac:dyDescent="0.2">
      <c r="B21" s="151" t="str">
        <f>IF(ISNA(Z21),"",IF(OR(Z21=1,Z21=2),"    ",MAX($B$8:B20)+1))</f>
        <v xml:space="preserve">    </v>
      </c>
      <c r="C21" s="904" t="str">
        <f t="shared" si="0"/>
        <v>Test Execution (64.3%)</v>
      </c>
      <c r="D21" s="904"/>
      <c r="E21" s="904"/>
      <c r="F21" s="905"/>
      <c r="G21" s="133" t="str">
        <f t="shared" si="1"/>
        <v/>
      </c>
      <c r="H21" s="134" t="str">
        <f t="shared" si="2"/>
        <v/>
      </c>
      <c r="I21" s="152" t="str">
        <f t="shared" si="2"/>
        <v/>
      </c>
      <c r="J21" s="480"/>
      <c r="K21" s="159"/>
      <c r="L21" s="1015"/>
      <c r="M21" s="1016"/>
      <c r="N21" s="1016"/>
      <c r="O21" s="1016"/>
      <c r="P21" s="1016"/>
      <c r="Q21" s="1016"/>
      <c r="R21" s="1017"/>
      <c r="T21" s="99">
        <v>14</v>
      </c>
      <c r="U21" s="88" t="s">
        <v>623</v>
      </c>
      <c r="V21" s="453" t="s">
        <v>340</v>
      </c>
      <c r="W21" s="453" t="s">
        <v>340</v>
      </c>
      <c r="X21" s="453" t="s">
        <v>340</v>
      </c>
      <c r="Y21" s="453" t="s">
        <v>340</v>
      </c>
      <c r="Z21" s="146">
        <v>2</v>
      </c>
      <c r="AA21" s="146">
        <v>1</v>
      </c>
      <c r="AB21" s="146">
        <v>1</v>
      </c>
      <c r="AC21" s="453" t="s">
        <v>340</v>
      </c>
      <c r="AD21" s="453" t="s">
        <v>340</v>
      </c>
      <c r="AE21" s="453" t="s">
        <v>340</v>
      </c>
      <c r="AF21" s="453" t="s">
        <v>340</v>
      </c>
      <c r="AG21" s="453" t="str">
        <f t="shared" si="3"/>
        <v/>
      </c>
      <c r="AH21" s="453" t="str">
        <f t="shared" si="4"/>
        <v/>
      </c>
      <c r="AI21" s="138">
        <f>IF(NOT(OR(Z21=1,Z21=2)),IF(AQ21&gt;0,$AR$44*AQ21/SUMIF($AQ$8:$AQ$39,"&gt;0"),IF(AU21&gt;0,$AV$44*AU21/SUMIF($AU$8:$AU$39,"&gt;0"),IF(AS21&gt;0,$AT$44*AS21/SUMIF($AS$8:$AS$39,"&gt;0"),""))),IF(SUMIF(AJ22:$AJ$39,"=" &amp; AJ21,AI22:$AI$39)=0,"",SUMIF(AJ22:$AJ$39,"=" &amp; AJ21,AI22:$AI$39)))</f>
        <v>0.64285714285714279</v>
      </c>
      <c r="AJ21" s="139">
        <f t="shared" si="34"/>
        <v>4</v>
      </c>
      <c r="AK21" s="453" t="str">
        <f t="shared" si="27"/>
        <v/>
      </c>
      <c r="AL21" s="146" t="str">
        <f t="shared" si="28"/>
        <v/>
      </c>
      <c r="AM21" s="146" t="str">
        <f t="shared" si="35"/>
        <v/>
      </c>
      <c r="AN21" s="146" t="str">
        <f t="shared" si="5"/>
        <v/>
      </c>
      <c r="AO21" s="146" t="str">
        <f t="shared" si="6"/>
        <v/>
      </c>
      <c r="AP21" s="453" t="str">
        <f t="shared" si="7"/>
        <v/>
      </c>
      <c r="AQ21" s="140">
        <f t="shared" si="29"/>
        <v>0</v>
      </c>
      <c r="AR21" s="141" t="str">
        <f t="shared" si="8"/>
        <v/>
      </c>
      <c r="AS21" s="142">
        <f t="shared" si="30"/>
        <v>0</v>
      </c>
      <c r="AT21" s="141" t="str">
        <f t="shared" si="9"/>
        <v/>
      </c>
      <c r="AU21" s="143">
        <f t="shared" si="10"/>
        <v>0</v>
      </c>
      <c r="AV21" s="144" t="str">
        <f t="shared" si="11"/>
        <v/>
      </c>
      <c r="AW21" s="143" t="b">
        <f t="shared" si="12"/>
        <v>0</v>
      </c>
      <c r="AX21" s="145" t="b">
        <f t="shared" si="13"/>
        <v>0</v>
      </c>
      <c r="AY21" s="143" t="b">
        <f t="shared" si="14"/>
        <v>0</v>
      </c>
      <c r="AZ21" s="145" t="b">
        <f t="shared" si="15"/>
        <v>0</v>
      </c>
      <c r="BA21" s="453" t="b">
        <f t="shared" si="16"/>
        <v>0</v>
      </c>
      <c r="BB21" s="453" t="b">
        <f t="shared" si="17"/>
        <v>0</v>
      </c>
      <c r="BC21" s="143" t="b">
        <f t="shared" si="18"/>
        <v>0</v>
      </c>
      <c r="BD21" s="146" t="b">
        <f t="shared" si="31"/>
        <v>0</v>
      </c>
      <c r="BE21" s="145" t="b">
        <f t="shared" si="19"/>
        <v>0</v>
      </c>
      <c r="BF21" s="147" t="b">
        <f t="shared" si="20"/>
        <v>0</v>
      </c>
      <c r="BG21" s="453" t="b">
        <f t="shared" si="21"/>
        <v>0</v>
      </c>
      <c r="BH21" s="453" t="str">
        <f t="shared" si="32"/>
        <v/>
      </c>
      <c r="BI21" s="453" t="str">
        <f t="shared" si="22"/>
        <v/>
      </c>
      <c r="BJ21" s="453" t="str">
        <f t="shared" si="23"/>
        <v/>
      </c>
      <c r="BK21" s="453" t="str">
        <f t="shared" si="24"/>
        <v/>
      </c>
      <c r="BL21" s="148" t="str">
        <f t="shared" si="33"/>
        <v/>
      </c>
      <c r="BM21" s="453" t="str">
        <f t="shared" si="25"/>
        <v/>
      </c>
      <c r="BN21" s="453" t="str">
        <f t="shared" si="26"/>
        <v/>
      </c>
      <c r="BO21" s="936" t="s">
        <v>358</v>
      </c>
      <c r="BP21" s="300" t="s">
        <v>359</v>
      </c>
      <c r="BQ21" s="162">
        <f t="shared" ref="BQ21:BU29" si="36">AR50</f>
        <v>0.7</v>
      </c>
      <c r="BR21" s="163">
        <f t="shared" si="36"/>
        <v>0.9</v>
      </c>
      <c r="BS21" s="163">
        <f t="shared" si="36"/>
        <v>0.93330000000000002</v>
      </c>
      <c r="BT21" s="163">
        <f t="shared" si="36"/>
        <v>0.9667</v>
      </c>
      <c r="BU21" s="164">
        <f t="shared" si="36"/>
        <v>1</v>
      </c>
    </row>
    <row r="22" spans="2:73" s="94" customFormat="1" ht="12.95" customHeight="1" x14ac:dyDescent="0.2">
      <c r="B22" s="151">
        <f>IF(ISNA(Z22),"",IF(OR(Z22=1,Z22=2),"    ",MAX($B$8:B21)+1))</f>
        <v>10</v>
      </c>
      <c r="C22" s="904" t="str">
        <f t="shared" si="0"/>
        <v xml:space="preserve">      - Buildup Adherence (21.4%)</v>
      </c>
      <c r="D22" s="904"/>
      <c r="E22" s="904"/>
      <c r="F22" s="905"/>
      <c r="G22" s="133">
        <f t="shared" si="1"/>
        <v>1</v>
      </c>
      <c r="H22" s="134" t="str">
        <f t="shared" si="2"/>
        <v>2</v>
      </c>
      <c r="I22" s="152">
        <f t="shared" si="2"/>
        <v>3</v>
      </c>
      <c r="J22" s="153"/>
      <c r="K22" s="154"/>
      <c r="L22" s="1015"/>
      <c r="M22" s="1016"/>
      <c r="N22" s="1016"/>
      <c r="O22" s="1016"/>
      <c r="P22" s="1016"/>
      <c r="Q22" s="1016"/>
      <c r="R22" s="1017"/>
      <c r="T22" s="99">
        <v>15</v>
      </c>
      <c r="U22" s="88" t="s">
        <v>704</v>
      </c>
      <c r="V22" s="453">
        <v>1</v>
      </c>
      <c r="W22" s="453">
        <v>6</v>
      </c>
      <c r="X22" s="453" t="s">
        <v>340</v>
      </c>
      <c r="Y22" s="453" t="s">
        <v>340</v>
      </c>
      <c r="Z22" s="146" t="s">
        <v>340</v>
      </c>
      <c r="AA22" s="146">
        <v>2</v>
      </c>
      <c r="AB22" s="146">
        <v>1</v>
      </c>
      <c r="AC22" s="453">
        <v>3</v>
      </c>
      <c r="AD22" s="453">
        <v>2</v>
      </c>
      <c r="AE22" s="453">
        <v>0</v>
      </c>
      <c r="AF22" s="453" t="b">
        <v>1</v>
      </c>
      <c r="AG22" s="453">
        <f t="shared" si="3"/>
        <v>2</v>
      </c>
      <c r="AH22" s="453">
        <f t="shared" si="4"/>
        <v>1</v>
      </c>
      <c r="AI22" s="138">
        <f>IF(NOT(OR(Z22=1,Z22=2)),IF(AQ22&gt;0,$AR$44*AQ22/SUMIF($AQ$8:$AQ$39,"&gt;0"),IF(AU22&gt;0,$AV$44*AU22/SUMIF($AU$8:$AU$39,"&gt;0"),IF(AS22&gt;0,$AT$44*AS22/SUMIF($AS$8:$AS$39,"&gt;0"),""))),IF(SUMIF(AJ23:$AJ$39,"=" &amp; AJ22,AI23:$AI$39)=0,"",SUMIF(AJ23:$AJ$39,"=" &amp; AJ22,AI23:$AI$39)))</f>
        <v>0.21428571428571427</v>
      </c>
      <c r="AJ22" s="139">
        <f t="shared" si="34"/>
        <v>4</v>
      </c>
      <c r="AK22" s="453">
        <f t="shared" si="27"/>
        <v>2</v>
      </c>
      <c r="AL22" s="146" t="str">
        <f t="shared" si="28"/>
        <v/>
      </c>
      <c r="AM22" s="146" t="str">
        <f t="shared" si="35"/>
        <v/>
      </c>
      <c r="AN22" s="146" t="str">
        <f t="shared" si="5"/>
        <v/>
      </c>
      <c r="AO22" s="146" t="str">
        <f t="shared" si="6"/>
        <v/>
      </c>
      <c r="AP22" s="453" t="b">
        <f t="shared" si="7"/>
        <v>1</v>
      </c>
      <c r="AQ22" s="140">
        <f t="shared" si="29"/>
        <v>6</v>
      </c>
      <c r="AR22" s="141" t="str">
        <f t="shared" si="8"/>
        <v/>
      </c>
      <c r="AS22" s="142">
        <f t="shared" si="30"/>
        <v>0</v>
      </c>
      <c r="AT22" s="141" t="str">
        <f t="shared" si="9"/>
        <v/>
      </c>
      <c r="AU22" s="143">
        <f t="shared" si="10"/>
        <v>0</v>
      </c>
      <c r="AV22" s="144" t="str">
        <f t="shared" si="11"/>
        <v/>
      </c>
      <c r="AW22" s="143" t="b">
        <f t="shared" si="12"/>
        <v>0</v>
      </c>
      <c r="AX22" s="145" t="b">
        <f t="shared" si="13"/>
        <v>1</v>
      </c>
      <c r="AY22" s="143" t="b">
        <f t="shared" si="14"/>
        <v>0</v>
      </c>
      <c r="AZ22" s="145" t="b">
        <f t="shared" si="15"/>
        <v>0</v>
      </c>
      <c r="BA22" s="453" t="b">
        <f t="shared" si="16"/>
        <v>0</v>
      </c>
      <c r="BB22" s="453" t="b">
        <f t="shared" si="17"/>
        <v>0</v>
      </c>
      <c r="BC22" s="143" t="b">
        <f t="shared" si="18"/>
        <v>0</v>
      </c>
      <c r="BD22" s="146" t="b">
        <f t="shared" si="31"/>
        <v>0</v>
      </c>
      <c r="BE22" s="145" t="b">
        <f>IF(OR(ISNA($Z22),K22&lt;&gt;"D"),FALSE,IF(OR(AND(H22="NG",J22=0),AND(H22&lt;&gt;"NG",NOT(OR(J22="NA",J22=0)))),TRUE,FALSE))</f>
        <v>0</v>
      </c>
      <c r="BF22" s="147" t="b">
        <f t="shared" si="20"/>
        <v>0</v>
      </c>
      <c r="BG22" s="453" t="b">
        <f>IF(ISNA($Z22),"NA",IF(OR(AZ22,AY22,AX22,AW22,AP22,BA22,BB22),TRUE,FALSE))</f>
        <v>1</v>
      </c>
      <c r="BH22" s="453">
        <f t="shared" si="32"/>
        <v>1</v>
      </c>
      <c r="BI22" s="453">
        <f t="shared" si="22"/>
        <v>2</v>
      </c>
      <c r="BJ22" s="453" t="str">
        <f t="shared" si="23"/>
        <v>2</v>
      </c>
      <c r="BK22" s="453">
        <f t="shared" si="24"/>
        <v>3</v>
      </c>
      <c r="BL22" s="148">
        <f t="shared" si="33"/>
        <v>1</v>
      </c>
      <c r="BM22" s="453">
        <f t="shared" si="25"/>
        <v>2</v>
      </c>
      <c r="BN22" s="453">
        <f t="shared" si="26"/>
        <v>3</v>
      </c>
      <c r="BO22" s="936"/>
      <c r="BP22" s="300" t="s">
        <v>360</v>
      </c>
      <c r="BQ22" s="165">
        <f t="shared" si="36"/>
        <v>0.7</v>
      </c>
      <c r="BR22" s="166">
        <f t="shared" si="36"/>
        <v>0.8</v>
      </c>
      <c r="BS22" s="166">
        <f t="shared" si="36"/>
        <v>0.9</v>
      </c>
      <c r="BT22" s="166">
        <f t="shared" si="36"/>
        <v>0.95</v>
      </c>
      <c r="BU22" s="167">
        <f t="shared" si="36"/>
        <v>1</v>
      </c>
    </row>
    <row r="23" spans="2:73" s="94" customFormat="1" ht="12.95" customHeight="1" x14ac:dyDescent="0.2">
      <c r="B23" s="151">
        <f>IF(ISNA(Z23),"",IF(OR(Z23=1,Z23=2),"    ",MAX($B$8:B22)+1))</f>
        <v>11</v>
      </c>
      <c r="C23" s="904" t="str">
        <f t="shared" si="0"/>
        <v xml:space="preserve">      - Maneuver Execution (10.7%)</v>
      </c>
      <c r="D23" s="904"/>
      <c r="E23" s="904"/>
      <c r="F23" s="905"/>
      <c r="G23" s="133">
        <f t="shared" si="1"/>
        <v>1</v>
      </c>
      <c r="H23" s="134" t="str">
        <f t="shared" si="2"/>
        <v>2</v>
      </c>
      <c r="I23" s="152">
        <f t="shared" si="2"/>
        <v>3</v>
      </c>
      <c r="J23" s="153"/>
      <c r="K23" s="154"/>
      <c r="L23" s="1015"/>
      <c r="M23" s="1016"/>
      <c r="N23" s="1016"/>
      <c r="O23" s="1016"/>
      <c r="P23" s="1016"/>
      <c r="Q23" s="1016"/>
      <c r="R23" s="1017"/>
      <c r="T23" s="99">
        <v>16</v>
      </c>
      <c r="U23" s="88" t="s">
        <v>705</v>
      </c>
      <c r="V23" s="453">
        <v>1</v>
      </c>
      <c r="W23" s="453">
        <v>3</v>
      </c>
      <c r="X23" s="453" t="s">
        <v>340</v>
      </c>
      <c r="Y23" s="453" t="s">
        <v>340</v>
      </c>
      <c r="Z23" s="146" t="s">
        <v>340</v>
      </c>
      <c r="AA23" s="146">
        <v>2</v>
      </c>
      <c r="AB23" s="146">
        <v>1</v>
      </c>
      <c r="AC23" s="453">
        <v>3</v>
      </c>
      <c r="AD23" s="453">
        <v>2</v>
      </c>
      <c r="AE23" s="453">
        <v>0</v>
      </c>
      <c r="AF23" s="453" t="b">
        <v>1</v>
      </c>
      <c r="AG23" s="453">
        <f t="shared" si="3"/>
        <v>2</v>
      </c>
      <c r="AH23" s="453">
        <f t="shared" si="4"/>
        <v>1</v>
      </c>
      <c r="AI23" s="138">
        <f>IF(NOT(OR(Z23=1,Z23=2)),IF(AQ23&gt;0,$AR$44*AQ23/SUMIF($AQ$8:$AQ$39,"&gt;0"),IF(AU23&gt;0,$AV$44*AU23/SUMIF($AU$8:$AU$39,"&gt;0"),IF(AS23&gt;0,$AT$44*AS23/SUMIF($AS$8:$AS$39,"&gt;0"),""))),IF(SUMIF(AJ24:$AJ$39,"=" &amp; AJ23,AI24:$AI$39)=0,"",SUMIF(AJ24:$AJ$39,"=" &amp; AJ23,AI24:$AI$39)))</f>
        <v>0.10714285714285714</v>
      </c>
      <c r="AJ23" s="139">
        <f t="shared" si="34"/>
        <v>4</v>
      </c>
      <c r="AK23" s="453">
        <f t="shared" si="27"/>
        <v>2</v>
      </c>
      <c r="AL23" s="146" t="str">
        <f t="shared" si="28"/>
        <v/>
      </c>
      <c r="AM23" s="146" t="str">
        <f t="shared" si="35"/>
        <v/>
      </c>
      <c r="AN23" s="146" t="str">
        <f t="shared" si="5"/>
        <v/>
      </c>
      <c r="AO23" s="146" t="str">
        <f t="shared" si="6"/>
        <v/>
      </c>
      <c r="AP23" s="453" t="b">
        <f t="shared" si="7"/>
        <v>1</v>
      </c>
      <c r="AQ23" s="140">
        <f t="shared" si="29"/>
        <v>3</v>
      </c>
      <c r="AR23" s="141" t="str">
        <f t="shared" si="8"/>
        <v/>
      </c>
      <c r="AS23" s="142">
        <f t="shared" si="30"/>
        <v>0</v>
      </c>
      <c r="AT23" s="141" t="str">
        <f t="shared" si="9"/>
        <v/>
      </c>
      <c r="AU23" s="143">
        <f t="shared" si="10"/>
        <v>0</v>
      </c>
      <c r="AV23" s="144" t="str">
        <f t="shared" si="11"/>
        <v/>
      </c>
      <c r="AW23" s="143" t="b">
        <f t="shared" si="12"/>
        <v>0</v>
      </c>
      <c r="AX23" s="145" t="b">
        <f t="shared" si="13"/>
        <v>1</v>
      </c>
      <c r="AY23" s="143" t="b">
        <f t="shared" si="14"/>
        <v>0</v>
      </c>
      <c r="AZ23" s="145" t="b">
        <f t="shared" si="15"/>
        <v>0</v>
      </c>
      <c r="BA23" s="453" t="b">
        <f t="shared" si="16"/>
        <v>0</v>
      </c>
      <c r="BB23" s="453" t="b">
        <f t="shared" si="17"/>
        <v>0</v>
      </c>
      <c r="BC23" s="143" t="b">
        <f t="shared" si="18"/>
        <v>0</v>
      </c>
      <c r="BD23" s="146" t="b">
        <f t="shared" si="31"/>
        <v>0</v>
      </c>
      <c r="BE23" s="145" t="b">
        <f t="shared" ref="BE23:BE39" si="37">IF(OR(ISNA($Z23),K23&lt;&gt;"D"),FALSE,IF(OR(AND(H23="NG",J23=0),AND(H23&lt;&gt;"NG",NOT(OR(J23="NA",J23=0)))),TRUE,FALSE))</f>
        <v>0</v>
      </c>
      <c r="BF23" s="147" t="b">
        <f t="shared" si="20"/>
        <v>0</v>
      </c>
      <c r="BG23" s="453" t="b">
        <f t="shared" ref="BG23:BG39" si="38">IF(ISNA($Z23),"NA",IF(OR(AZ23,AY23,AX23,AW23,AP23,BA23,BB23),TRUE,FALSE))</f>
        <v>1</v>
      </c>
      <c r="BH23" s="453">
        <f t="shared" si="32"/>
        <v>1</v>
      </c>
      <c r="BI23" s="453">
        <f t="shared" si="22"/>
        <v>2</v>
      </c>
      <c r="BJ23" s="453" t="str">
        <f t="shared" si="23"/>
        <v>2</v>
      </c>
      <c r="BK23" s="453">
        <f t="shared" si="24"/>
        <v>3</v>
      </c>
      <c r="BL23" s="148">
        <f t="shared" si="33"/>
        <v>1</v>
      </c>
      <c r="BM23" s="453">
        <f t="shared" si="25"/>
        <v>2</v>
      </c>
      <c r="BN23" s="453">
        <f t="shared" si="26"/>
        <v>3</v>
      </c>
      <c r="BO23" s="936"/>
      <c r="BP23" s="300" t="s">
        <v>361</v>
      </c>
      <c r="BQ23" s="165">
        <f t="shared" si="36"/>
        <v>0.7</v>
      </c>
      <c r="BR23" s="166">
        <f t="shared" si="36"/>
        <v>0.76670000000000005</v>
      </c>
      <c r="BS23" s="166">
        <f t="shared" si="36"/>
        <v>0.83330000000000004</v>
      </c>
      <c r="BT23" s="166">
        <f t="shared" si="36"/>
        <v>0.9</v>
      </c>
      <c r="BU23" s="167">
        <f t="shared" si="36"/>
        <v>1</v>
      </c>
    </row>
    <row r="24" spans="2:73" s="94" customFormat="1" ht="12.95" customHeight="1" x14ac:dyDescent="0.2">
      <c r="B24" s="151">
        <f>IF(ISNA(Z24),"",IF(OR(Z24=1,Z24=2),"    ",MAX($B$8:B23)+1))</f>
        <v>12</v>
      </c>
      <c r="C24" s="904" t="str">
        <f t="shared" si="0"/>
        <v xml:space="preserve">      - Safety Calls (21.4%)</v>
      </c>
      <c r="D24" s="904"/>
      <c r="E24" s="904"/>
      <c r="F24" s="905"/>
      <c r="G24" s="133">
        <f t="shared" si="1"/>
        <v>1</v>
      </c>
      <c r="H24" s="134" t="str">
        <f t="shared" si="2"/>
        <v>2*</v>
      </c>
      <c r="I24" s="152">
        <f t="shared" si="2"/>
        <v>3</v>
      </c>
      <c r="J24" s="157"/>
      <c r="K24" s="154"/>
      <c r="L24" s="1015"/>
      <c r="M24" s="1016"/>
      <c r="N24" s="1016"/>
      <c r="O24" s="1016"/>
      <c r="P24" s="1016"/>
      <c r="Q24" s="1016"/>
      <c r="R24" s="1017"/>
      <c r="T24" s="99">
        <v>17</v>
      </c>
      <c r="U24" s="88" t="s">
        <v>706</v>
      </c>
      <c r="V24" s="453">
        <v>1</v>
      </c>
      <c r="W24" s="453">
        <v>6</v>
      </c>
      <c r="X24" s="453" t="s">
        <v>340</v>
      </c>
      <c r="Y24" s="453" t="s">
        <v>340</v>
      </c>
      <c r="Z24" s="146" t="s">
        <v>340</v>
      </c>
      <c r="AA24" s="146">
        <v>2</v>
      </c>
      <c r="AB24" s="146">
        <v>1</v>
      </c>
      <c r="AC24" s="453">
        <v>3</v>
      </c>
      <c r="AD24" s="453">
        <v>2</v>
      </c>
      <c r="AE24" s="453">
        <v>1</v>
      </c>
      <c r="AF24" s="453" t="b">
        <v>1</v>
      </c>
      <c r="AG24" s="453">
        <f t="shared" si="3"/>
        <v>2</v>
      </c>
      <c r="AH24" s="453">
        <f t="shared" si="4"/>
        <v>1</v>
      </c>
      <c r="AI24" s="138">
        <f>IF(NOT(OR(Z24=1,Z24=2)),IF(AQ24&gt;0,$AR$44*AQ24/SUMIF($AQ$8:$AQ$39,"&gt;0"),IF(AU24&gt;0,$AV$44*AU24/SUMIF($AU$8:$AU$39,"&gt;0"),IF(AS24&gt;0,$AT$44*AS24/SUMIF($AS$8:$AS$39,"&gt;0"),""))),IF(SUMIF(AJ25:$AJ$39,"=" &amp; AJ24,AI25:$AI$39)=0,"",SUMIF(AJ25:$AJ$39,"=" &amp; AJ24,AI25:$AI$39)))</f>
        <v>0.21428571428571427</v>
      </c>
      <c r="AJ24" s="139">
        <f t="shared" si="34"/>
        <v>4</v>
      </c>
      <c r="AK24" s="453">
        <f t="shared" si="27"/>
        <v>2</v>
      </c>
      <c r="AL24" s="146" t="str">
        <f t="shared" si="28"/>
        <v/>
      </c>
      <c r="AM24" s="146" t="str">
        <f t="shared" si="35"/>
        <v/>
      </c>
      <c r="AN24" s="146" t="str">
        <f t="shared" si="5"/>
        <v/>
      </c>
      <c r="AO24" s="146" t="str">
        <f t="shared" si="6"/>
        <v/>
      </c>
      <c r="AP24" s="453" t="b">
        <f t="shared" si="7"/>
        <v>1</v>
      </c>
      <c r="AQ24" s="140">
        <f t="shared" si="29"/>
        <v>6</v>
      </c>
      <c r="AR24" s="141" t="str">
        <f t="shared" si="8"/>
        <v/>
      </c>
      <c r="AS24" s="142">
        <f t="shared" si="30"/>
        <v>0</v>
      </c>
      <c r="AT24" s="141" t="str">
        <f t="shared" si="9"/>
        <v/>
      </c>
      <c r="AU24" s="143">
        <f t="shared" si="10"/>
        <v>0</v>
      </c>
      <c r="AV24" s="144" t="str">
        <f t="shared" si="11"/>
        <v/>
      </c>
      <c r="AW24" s="143" t="b">
        <f t="shared" si="12"/>
        <v>0</v>
      </c>
      <c r="AX24" s="145" t="b">
        <f t="shared" si="13"/>
        <v>1</v>
      </c>
      <c r="AY24" s="143" t="b">
        <f t="shared" si="14"/>
        <v>0</v>
      </c>
      <c r="AZ24" s="145" t="b">
        <f t="shared" si="15"/>
        <v>0</v>
      </c>
      <c r="BA24" s="453" t="b">
        <f t="shared" si="16"/>
        <v>0</v>
      </c>
      <c r="BB24" s="453" t="b">
        <f t="shared" si="17"/>
        <v>0</v>
      </c>
      <c r="BC24" s="143" t="b">
        <f t="shared" si="18"/>
        <v>0</v>
      </c>
      <c r="BD24" s="146" t="b">
        <f t="shared" si="31"/>
        <v>0</v>
      </c>
      <c r="BE24" s="145" t="b">
        <f t="shared" si="37"/>
        <v>0</v>
      </c>
      <c r="BF24" s="147" t="b">
        <f t="shared" si="20"/>
        <v>0</v>
      </c>
      <c r="BG24" s="453" t="b">
        <f t="shared" si="38"/>
        <v>1</v>
      </c>
      <c r="BH24" s="453">
        <f t="shared" si="32"/>
        <v>1</v>
      </c>
      <c r="BI24" s="453">
        <f t="shared" si="22"/>
        <v>2</v>
      </c>
      <c r="BJ24" s="453" t="str">
        <f t="shared" si="23"/>
        <v>2*</v>
      </c>
      <c r="BK24" s="453">
        <f t="shared" si="24"/>
        <v>3</v>
      </c>
      <c r="BL24" s="148">
        <f t="shared" si="33"/>
        <v>1</v>
      </c>
      <c r="BM24" s="453">
        <f t="shared" si="25"/>
        <v>2</v>
      </c>
      <c r="BN24" s="453">
        <f t="shared" si="26"/>
        <v>3</v>
      </c>
      <c r="BO24" s="936"/>
      <c r="BP24" s="300" t="s">
        <v>362</v>
      </c>
      <c r="BQ24" s="165">
        <f t="shared" si="36"/>
        <v>0.6</v>
      </c>
      <c r="BR24" s="166">
        <f t="shared" si="36"/>
        <v>0.9</v>
      </c>
      <c r="BS24" s="166">
        <f t="shared" si="36"/>
        <v>0.93330000000000002</v>
      </c>
      <c r="BT24" s="166">
        <f t="shared" si="36"/>
        <v>0.9667</v>
      </c>
      <c r="BU24" s="167">
        <f t="shared" si="36"/>
        <v>1</v>
      </c>
    </row>
    <row r="25" spans="2:73" s="94" customFormat="1" ht="12.95" customHeight="1" x14ac:dyDescent="0.2">
      <c r="B25" s="151">
        <f>IF(ISNA(Z25),"",IF(OR(Z25=1,Z25=2),"    ",MAX($B$8:B24)+1))</f>
        <v>13</v>
      </c>
      <c r="C25" s="904" t="str">
        <f t="shared" si="0"/>
        <v xml:space="preserve">      - Real Time Data Interpretation (10.7%)</v>
      </c>
      <c r="D25" s="904"/>
      <c r="E25" s="904"/>
      <c r="F25" s="905"/>
      <c r="G25" s="133">
        <f t="shared" si="1"/>
        <v>1</v>
      </c>
      <c r="H25" s="134" t="str">
        <f t="shared" si="2"/>
        <v>2</v>
      </c>
      <c r="I25" s="152">
        <f t="shared" si="2"/>
        <v>3</v>
      </c>
      <c r="J25" s="153"/>
      <c r="K25" s="154"/>
      <c r="L25" s="1015"/>
      <c r="M25" s="1016"/>
      <c r="N25" s="1016"/>
      <c r="O25" s="1016"/>
      <c r="P25" s="1016"/>
      <c r="Q25" s="1016"/>
      <c r="R25" s="1017"/>
      <c r="T25" s="99">
        <v>18</v>
      </c>
      <c r="U25" s="88" t="s">
        <v>707</v>
      </c>
      <c r="V25" s="453">
        <v>1</v>
      </c>
      <c r="W25" s="453">
        <v>3</v>
      </c>
      <c r="X25" s="453" t="s">
        <v>340</v>
      </c>
      <c r="Y25" s="453" t="s">
        <v>340</v>
      </c>
      <c r="Z25" s="146" t="s">
        <v>340</v>
      </c>
      <c r="AA25" s="146">
        <v>2</v>
      </c>
      <c r="AB25" s="146">
        <v>1</v>
      </c>
      <c r="AC25" s="453">
        <v>3</v>
      </c>
      <c r="AD25" s="453">
        <v>2</v>
      </c>
      <c r="AE25" s="453">
        <v>0</v>
      </c>
      <c r="AF25" s="453" t="b">
        <v>1</v>
      </c>
      <c r="AG25" s="453">
        <f t="shared" si="3"/>
        <v>2</v>
      </c>
      <c r="AH25" s="453">
        <f t="shared" si="4"/>
        <v>1</v>
      </c>
      <c r="AI25" s="138">
        <f>IF(NOT(OR(Z25=1,Z25=2)),IF(AQ25&gt;0,$AR$44*AQ25/SUMIF($AQ$8:$AQ$39,"&gt;0"),IF(AU25&gt;0,$AV$44*AU25/SUMIF($AU$8:$AU$39,"&gt;0"),IF(AS25&gt;0,$AT$44*AS25/SUMIF($AS$8:$AS$39,"&gt;0"),""))),IF(SUMIF(AJ26:$AJ$39,"=" &amp; AJ25,AI26:$AI$39)=0,"",SUMIF(AJ26:$AJ$39,"=" &amp; AJ25,AI26:$AI$39)))</f>
        <v>0.10714285714285714</v>
      </c>
      <c r="AJ25" s="139">
        <f t="shared" si="34"/>
        <v>4</v>
      </c>
      <c r="AK25" s="453">
        <f t="shared" si="27"/>
        <v>2</v>
      </c>
      <c r="AL25" s="146" t="str">
        <f t="shared" si="28"/>
        <v/>
      </c>
      <c r="AM25" s="146" t="str">
        <f t="shared" si="35"/>
        <v/>
      </c>
      <c r="AN25" s="146" t="str">
        <f t="shared" si="5"/>
        <v/>
      </c>
      <c r="AO25" s="146" t="str">
        <f t="shared" si="6"/>
        <v/>
      </c>
      <c r="AP25" s="453" t="b">
        <f t="shared" si="7"/>
        <v>1</v>
      </c>
      <c r="AQ25" s="140">
        <f t="shared" si="29"/>
        <v>3</v>
      </c>
      <c r="AR25" s="141" t="str">
        <f t="shared" si="8"/>
        <v/>
      </c>
      <c r="AS25" s="142">
        <f t="shared" si="30"/>
        <v>0</v>
      </c>
      <c r="AT25" s="141" t="str">
        <f t="shared" si="9"/>
        <v/>
      </c>
      <c r="AU25" s="143">
        <f t="shared" si="10"/>
        <v>0</v>
      </c>
      <c r="AV25" s="144" t="str">
        <f t="shared" si="11"/>
        <v/>
      </c>
      <c r="AW25" s="143" t="b">
        <f t="shared" si="12"/>
        <v>0</v>
      </c>
      <c r="AX25" s="145" t="b">
        <f t="shared" si="13"/>
        <v>1</v>
      </c>
      <c r="AY25" s="143" t="b">
        <f t="shared" si="14"/>
        <v>0</v>
      </c>
      <c r="AZ25" s="145" t="b">
        <f t="shared" si="15"/>
        <v>0</v>
      </c>
      <c r="BA25" s="453" t="b">
        <f t="shared" si="16"/>
        <v>0</v>
      </c>
      <c r="BB25" s="453" t="b">
        <f t="shared" si="17"/>
        <v>0</v>
      </c>
      <c r="BC25" s="143" t="b">
        <f t="shared" si="18"/>
        <v>0</v>
      </c>
      <c r="BD25" s="146" t="b">
        <f t="shared" si="31"/>
        <v>0</v>
      </c>
      <c r="BE25" s="145" t="b">
        <f t="shared" si="37"/>
        <v>0</v>
      </c>
      <c r="BF25" s="147" t="b">
        <f t="shared" si="20"/>
        <v>0</v>
      </c>
      <c r="BG25" s="453" t="b">
        <f t="shared" si="38"/>
        <v>1</v>
      </c>
      <c r="BH25" s="453">
        <f t="shared" si="32"/>
        <v>1</v>
      </c>
      <c r="BI25" s="453">
        <f t="shared" si="22"/>
        <v>2</v>
      </c>
      <c r="BJ25" s="453" t="str">
        <f t="shared" si="23"/>
        <v>2</v>
      </c>
      <c r="BK25" s="453">
        <f t="shared" si="24"/>
        <v>3</v>
      </c>
      <c r="BL25" s="148">
        <f t="shared" si="33"/>
        <v>1</v>
      </c>
      <c r="BM25" s="453">
        <f t="shared" si="25"/>
        <v>2</v>
      </c>
      <c r="BN25" s="453">
        <f t="shared" si="26"/>
        <v>3</v>
      </c>
      <c r="BO25" s="936"/>
      <c r="BP25" s="300" t="s">
        <v>363</v>
      </c>
      <c r="BQ25" s="165">
        <f t="shared" si="36"/>
        <v>0.6</v>
      </c>
      <c r="BR25" s="166">
        <f t="shared" si="36"/>
        <v>0.7</v>
      </c>
      <c r="BS25" s="166">
        <f t="shared" si="36"/>
        <v>0.9</v>
      </c>
      <c r="BT25" s="166">
        <f t="shared" si="36"/>
        <v>0.95</v>
      </c>
      <c r="BU25" s="167">
        <f t="shared" si="36"/>
        <v>1</v>
      </c>
    </row>
    <row r="26" spans="2:73" s="94" customFormat="1" ht="12.95" customHeight="1" x14ac:dyDescent="0.2">
      <c r="B26" s="151" t="str">
        <f>IF(ISNA(Z26),"",IF(OR(Z26=1,Z26=2),"    ",MAX($B$8:B25)+1))</f>
        <v/>
      </c>
      <c r="C26" s="904" t="str">
        <f t="shared" si="0"/>
        <v/>
      </c>
      <c r="D26" s="904"/>
      <c r="E26" s="904"/>
      <c r="F26" s="905"/>
      <c r="G26" s="133" t="str">
        <f t="shared" si="1"/>
        <v/>
      </c>
      <c r="H26" s="134" t="str">
        <f t="shared" si="2"/>
        <v/>
      </c>
      <c r="I26" s="152" t="str">
        <f t="shared" si="2"/>
        <v/>
      </c>
      <c r="J26" s="480"/>
      <c r="K26" s="159"/>
      <c r="L26" s="1015"/>
      <c r="M26" s="1016"/>
      <c r="N26" s="1016"/>
      <c r="O26" s="1016"/>
      <c r="P26" s="1016"/>
      <c r="Q26" s="1016"/>
      <c r="R26" s="1017"/>
      <c r="T26" s="99">
        <v>19</v>
      </c>
      <c r="U26" s="88" t="e">
        <v>#N/A</v>
      </c>
      <c r="V26" s="453" t="e">
        <v>#N/A</v>
      </c>
      <c r="W26" s="453" t="e">
        <v>#N/A</v>
      </c>
      <c r="X26" s="453" t="e">
        <v>#N/A</v>
      </c>
      <c r="Y26" s="453" t="e">
        <v>#N/A</v>
      </c>
      <c r="Z26" s="146" t="e">
        <v>#N/A</v>
      </c>
      <c r="AA26" s="146" t="e">
        <v>#N/A</v>
      </c>
      <c r="AB26" s="146" t="e">
        <v>#N/A</v>
      </c>
      <c r="AC26" s="453" t="e">
        <v>#N/A</v>
      </c>
      <c r="AD26" s="453" t="e">
        <v>#N/A</v>
      </c>
      <c r="AE26" s="453" t="e">
        <v>#N/A</v>
      </c>
      <c r="AF26" s="453" t="e">
        <v>#N/A</v>
      </c>
      <c r="AG26" s="453" t="e">
        <f t="shared" si="3"/>
        <v>#N/A</v>
      </c>
      <c r="AH26" s="453" t="str">
        <f t="shared" si="4"/>
        <v/>
      </c>
      <c r="AI26" s="138" t="e">
        <f>IF(NOT(OR(Z26=1,Z26=2)),IF(AQ26&gt;0,$AR$44*AQ26/SUMIF($AQ$8:$AQ$39,"&gt;0"),IF(AU26&gt;0,$AV$44*AU26/SUMIF($AU$8:$AU$39,"&gt;0"),IF(AS26&gt;0,$AT$44*AS26/SUMIF($AS$8:$AS$39,"&gt;0"),""))),IF(SUMIF(AJ27:$AJ$39,"=" &amp; AJ26,AI27:$AI$39)=0,"",SUMIF(AJ27:$AJ$39,"=" &amp; AJ26,AI27:$AI$39)))</f>
        <v>#N/A</v>
      </c>
      <c r="AJ26" s="139" t="e">
        <f t="shared" si="34"/>
        <v>#N/A</v>
      </c>
      <c r="AK26" s="453" t="str">
        <f t="shared" si="27"/>
        <v/>
      </c>
      <c r="AL26" s="146" t="str">
        <f t="shared" si="28"/>
        <v/>
      </c>
      <c r="AM26" s="146" t="str">
        <f t="shared" si="35"/>
        <v/>
      </c>
      <c r="AN26" s="146" t="str">
        <f t="shared" si="5"/>
        <v/>
      </c>
      <c r="AO26" s="146" t="e">
        <f t="shared" si="6"/>
        <v>#N/A</v>
      </c>
      <c r="AP26" s="453" t="str">
        <f t="shared" si="7"/>
        <v/>
      </c>
      <c r="AQ26" s="140">
        <f t="shared" si="29"/>
        <v>0</v>
      </c>
      <c r="AR26" s="141" t="str">
        <f t="shared" si="8"/>
        <v/>
      </c>
      <c r="AS26" s="142">
        <f t="shared" si="30"/>
        <v>0</v>
      </c>
      <c r="AT26" s="141" t="str">
        <f t="shared" si="9"/>
        <v/>
      </c>
      <c r="AU26" s="143">
        <f t="shared" si="10"/>
        <v>0</v>
      </c>
      <c r="AV26" s="144" t="str">
        <f t="shared" si="11"/>
        <v/>
      </c>
      <c r="AW26" s="143" t="b">
        <f t="shared" si="12"/>
        <v>0</v>
      </c>
      <c r="AX26" s="145" t="b">
        <f t="shared" si="13"/>
        <v>0</v>
      </c>
      <c r="AY26" s="143" t="b">
        <f t="shared" si="14"/>
        <v>0</v>
      </c>
      <c r="AZ26" s="145" t="b">
        <f t="shared" si="15"/>
        <v>0</v>
      </c>
      <c r="BA26" s="453" t="b">
        <f t="shared" si="16"/>
        <v>0</v>
      </c>
      <c r="BB26" s="453" t="b">
        <f t="shared" si="17"/>
        <v>0</v>
      </c>
      <c r="BC26" s="143" t="b">
        <f t="shared" si="18"/>
        <v>0</v>
      </c>
      <c r="BD26" s="146" t="b">
        <f t="shared" si="31"/>
        <v>0</v>
      </c>
      <c r="BE26" s="145" t="b">
        <f t="shared" si="37"/>
        <v>0</v>
      </c>
      <c r="BF26" s="147" t="b">
        <f t="shared" si="20"/>
        <v>0</v>
      </c>
      <c r="BG26" s="453" t="str">
        <f t="shared" si="38"/>
        <v>NA</v>
      </c>
      <c r="BH26" s="453" t="str">
        <f t="shared" si="32"/>
        <v/>
      </c>
      <c r="BI26" s="453" t="str">
        <f t="shared" si="22"/>
        <v/>
      </c>
      <c r="BJ26" s="453" t="str">
        <f t="shared" si="23"/>
        <v/>
      </c>
      <c r="BK26" s="453" t="str">
        <f t="shared" si="24"/>
        <v/>
      </c>
      <c r="BL26" s="148" t="str">
        <f t="shared" si="33"/>
        <v/>
      </c>
      <c r="BM26" s="453" t="str">
        <f t="shared" si="25"/>
        <v/>
      </c>
      <c r="BN26" s="453" t="str">
        <f t="shared" si="26"/>
        <v/>
      </c>
      <c r="BO26" s="936"/>
      <c r="BP26" s="300" t="s">
        <v>364</v>
      </c>
      <c r="BQ26" s="165">
        <f t="shared" si="36"/>
        <v>0.6</v>
      </c>
      <c r="BR26" s="166">
        <f t="shared" si="36"/>
        <v>0.7</v>
      </c>
      <c r="BS26" s="166">
        <f t="shared" si="36"/>
        <v>0.8</v>
      </c>
      <c r="BT26" s="166">
        <f t="shared" si="36"/>
        <v>0.9</v>
      </c>
      <c r="BU26" s="167">
        <f t="shared" si="36"/>
        <v>1</v>
      </c>
    </row>
    <row r="27" spans="2:73" s="94" customFormat="1" ht="12.95" customHeight="1" x14ac:dyDescent="0.2">
      <c r="B27" s="151" t="str">
        <f>IF(ISNA(Z27),"",IF(OR(Z27=1,Z27=2),"    ",MAX($B$8:B26)+1))</f>
        <v/>
      </c>
      <c r="C27" s="904" t="str">
        <f t="shared" si="0"/>
        <v/>
      </c>
      <c r="D27" s="904"/>
      <c r="E27" s="904"/>
      <c r="F27" s="905"/>
      <c r="G27" s="133" t="str">
        <f t="shared" si="1"/>
        <v/>
      </c>
      <c r="H27" s="134" t="str">
        <f t="shared" si="2"/>
        <v/>
      </c>
      <c r="I27" s="152" t="str">
        <f t="shared" si="2"/>
        <v/>
      </c>
      <c r="J27" s="480"/>
      <c r="K27" s="159"/>
      <c r="L27" s="1015"/>
      <c r="M27" s="1016"/>
      <c r="N27" s="1016"/>
      <c r="O27" s="1016"/>
      <c r="P27" s="1016"/>
      <c r="Q27" s="1016"/>
      <c r="R27" s="1017"/>
      <c r="T27" s="99">
        <v>20</v>
      </c>
      <c r="U27" s="88" t="e">
        <v>#N/A</v>
      </c>
      <c r="V27" s="453" t="e">
        <v>#N/A</v>
      </c>
      <c r="W27" s="453" t="e">
        <v>#N/A</v>
      </c>
      <c r="X27" s="453" t="e">
        <v>#N/A</v>
      </c>
      <c r="Y27" s="453" t="e">
        <v>#N/A</v>
      </c>
      <c r="Z27" s="146" t="e">
        <v>#N/A</v>
      </c>
      <c r="AA27" s="146" t="e">
        <v>#N/A</v>
      </c>
      <c r="AB27" s="146" t="e">
        <v>#N/A</v>
      </c>
      <c r="AC27" s="453" t="e">
        <v>#N/A</v>
      </c>
      <c r="AD27" s="453" t="e">
        <v>#N/A</v>
      </c>
      <c r="AE27" s="453" t="e">
        <v>#N/A</v>
      </c>
      <c r="AF27" s="453" t="e">
        <v>#N/A</v>
      </c>
      <c r="AG27" s="453" t="e">
        <f t="shared" si="3"/>
        <v>#N/A</v>
      </c>
      <c r="AH27" s="453" t="str">
        <f t="shared" si="4"/>
        <v/>
      </c>
      <c r="AI27" s="138" t="e">
        <f>IF(NOT(OR(Z27=1,Z27=2)),IF(AQ27&gt;0,$AR$44*AQ27/SUMIF($AQ$8:$AQ$39,"&gt;0"),IF(AU27&gt;0,$AV$44*AU27/SUMIF($AU$8:$AU$39,"&gt;0"),IF(AS27&gt;0,$AT$44*AS27/SUMIF($AS$8:$AS$39,"&gt;0"),""))),IF(SUMIF(AJ28:$AJ$39,"=" &amp; AJ27,AI28:$AI$39)=0,"",SUMIF(AJ28:$AJ$39,"=" &amp; AJ27,AI28:$AI$39)))</f>
        <v>#N/A</v>
      </c>
      <c r="AJ27" s="139" t="e">
        <f t="shared" si="34"/>
        <v>#N/A</v>
      </c>
      <c r="AK27" s="453" t="str">
        <f t="shared" si="27"/>
        <v/>
      </c>
      <c r="AL27" s="146" t="str">
        <f t="shared" si="28"/>
        <v/>
      </c>
      <c r="AM27" s="146" t="str">
        <f t="shared" si="35"/>
        <v/>
      </c>
      <c r="AN27" s="146" t="str">
        <f t="shared" si="5"/>
        <v/>
      </c>
      <c r="AO27" s="146" t="e">
        <f t="shared" si="6"/>
        <v>#N/A</v>
      </c>
      <c r="AP27" s="453" t="str">
        <f t="shared" si="7"/>
        <v/>
      </c>
      <c r="AQ27" s="140">
        <f t="shared" si="29"/>
        <v>0</v>
      </c>
      <c r="AR27" s="141" t="str">
        <f t="shared" si="8"/>
        <v/>
      </c>
      <c r="AS27" s="142">
        <f t="shared" si="30"/>
        <v>0</v>
      </c>
      <c r="AT27" s="141" t="str">
        <f t="shared" si="9"/>
        <v/>
      </c>
      <c r="AU27" s="143">
        <f t="shared" si="10"/>
        <v>0</v>
      </c>
      <c r="AV27" s="144" t="str">
        <f t="shared" si="11"/>
        <v/>
      </c>
      <c r="AW27" s="143" t="b">
        <f t="shared" si="12"/>
        <v>0</v>
      </c>
      <c r="AX27" s="145" t="b">
        <f t="shared" si="13"/>
        <v>0</v>
      </c>
      <c r="AY27" s="143" t="b">
        <f t="shared" si="14"/>
        <v>0</v>
      </c>
      <c r="AZ27" s="145" t="b">
        <f t="shared" si="15"/>
        <v>0</v>
      </c>
      <c r="BA27" s="453" t="b">
        <f t="shared" si="16"/>
        <v>0</v>
      </c>
      <c r="BB27" s="453" t="b">
        <f t="shared" si="17"/>
        <v>0</v>
      </c>
      <c r="BC27" s="143" t="b">
        <f t="shared" si="18"/>
        <v>0</v>
      </c>
      <c r="BD27" s="146" t="b">
        <f t="shared" si="31"/>
        <v>0</v>
      </c>
      <c r="BE27" s="145" t="b">
        <f t="shared" si="37"/>
        <v>0</v>
      </c>
      <c r="BF27" s="147" t="b">
        <f t="shared" si="20"/>
        <v>0</v>
      </c>
      <c r="BG27" s="453" t="str">
        <f t="shared" si="38"/>
        <v>NA</v>
      </c>
      <c r="BH27" s="453" t="str">
        <f t="shared" si="32"/>
        <v/>
      </c>
      <c r="BI27" s="453" t="str">
        <f t="shared" si="22"/>
        <v/>
      </c>
      <c r="BJ27" s="453" t="str">
        <f t="shared" si="23"/>
        <v/>
      </c>
      <c r="BK27" s="453" t="str">
        <f t="shared" si="24"/>
        <v/>
      </c>
      <c r="BL27" s="148" t="str">
        <f t="shared" si="33"/>
        <v/>
      </c>
      <c r="BM27" s="453" t="str">
        <f t="shared" si="25"/>
        <v/>
      </c>
      <c r="BN27" s="453" t="str">
        <f t="shared" si="26"/>
        <v/>
      </c>
      <c r="BO27" s="936"/>
      <c r="BP27" s="300" t="s">
        <v>365</v>
      </c>
      <c r="BQ27" s="165">
        <f t="shared" si="36"/>
        <v>0.3</v>
      </c>
      <c r="BR27" s="166">
        <f t="shared" si="36"/>
        <v>0.6</v>
      </c>
      <c r="BS27" s="166">
        <f t="shared" si="36"/>
        <v>0.9</v>
      </c>
      <c r="BT27" s="166">
        <f t="shared" si="36"/>
        <v>0.95</v>
      </c>
      <c r="BU27" s="167">
        <f t="shared" si="36"/>
        <v>1</v>
      </c>
    </row>
    <row r="28" spans="2:73" s="94" customFormat="1" ht="12.95" customHeight="1" x14ac:dyDescent="0.2">
      <c r="B28" s="151" t="str">
        <f>IF(ISNA(Z28),"",IF(OR(Z28=1,Z28=2),"    ",MAX($B$8:B27)+1))</f>
        <v/>
      </c>
      <c r="C28" s="904" t="str">
        <f t="shared" si="0"/>
        <v/>
      </c>
      <c r="D28" s="904"/>
      <c r="E28" s="904"/>
      <c r="F28" s="905"/>
      <c r="G28" s="133" t="str">
        <f t="shared" si="1"/>
        <v/>
      </c>
      <c r="H28" s="134" t="str">
        <f t="shared" si="2"/>
        <v/>
      </c>
      <c r="I28" s="152" t="str">
        <f t="shared" si="2"/>
        <v/>
      </c>
      <c r="J28" s="480"/>
      <c r="K28" s="159"/>
      <c r="L28" s="1015"/>
      <c r="M28" s="1016"/>
      <c r="N28" s="1016"/>
      <c r="O28" s="1016"/>
      <c r="P28" s="1016"/>
      <c r="Q28" s="1016"/>
      <c r="R28" s="1017"/>
      <c r="T28" s="99">
        <v>21</v>
      </c>
      <c r="U28" s="88" t="e">
        <v>#N/A</v>
      </c>
      <c r="V28" s="453" t="e">
        <v>#N/A</v>
      </c>
      <c r="W28" s="453" t="e">
        <v>#N/A</v>
      </c>
      <c r="X28" s="453" t="e">
        <v>#N/A</v>
      </c>
      <c r="Y28" s="453" t="e">
        <v>#N/A</v>
      </c>
      <c r="Z28" s="146" t="e">
        <v>#N/A</v>
      </c>
      <c r="AA28" s="146" t="e">
        <v>#N/A</v>
      </c>
      <c r="AB28" s="146" t="e">
        <v>#N/A</v>
      </c>
      <c r="AC28" s="453" t="e">
        <v>#N/A</v>
      </c>
      <c r="AD28" s="453" t="e">
        <v>#N/A</v>
      </c>
      <c r="AE28" s="453" t="e">
        <v>#N/A</v>
      </c>
      <c r="AF28" s="453" t="e">
        <v>#N/A</v>
      </c>
      <c r="AG28" s="453" t="e">
        <f t="shared" si="3"/>
        <v>#N/A</v>
      </c>
      <c r="AH28" s="453" t="str">
        <f t="shared" si="4"/>
        <v/>
      </c>
      <c r="AI28" s="138" t="e">
        <f>IF(NOT(OR(Z28=1,Z28=2)),IF(AQ28&gt;0,$AR$44*AQ28/SUMIF($AQ$8:$AQ$39,"&gt;0"),IF(AU28&gt;0,$AV$44*AU28/SUMIF($AU$8:$AU$39,"&gt;0"),IF(AS28&gt;0,$AT$44*AS28/SUMIF($AS$8:$AS$39,"&gt;0"),""))),IF(SUMIF(AJ29:$AJ$39,"=" &amp; AJ28,AI29:$AI$39)=0,"",SUMIF(AJ29:$AJ$39,"=" &amp; AJ28,AI29:$AI$39)))</f>
        <v>#N/A</v>
      </c>
      <c r="AJ28" s="139" t="e">
        <f t="shared" si="34"/>
        <v>#N/A</v>
      </c>
      <c r="AK28" s="453" t="str">
        <f t="shared" si="27"/>
        <v/>
      </c>
      <c r="AL28" s="146" t="str">
        <f t="shared" si="28"/>
        <v/>
      </c>
      <c r="AM28" s="146" t="str">
        <f t="shared" si="35"/>
        <v/>
      </c>
      <c r="AN28" s="146" t="str">
        <f t="shared" si="5"/>
        <v/>
      </c>
      <c r="AO28" s="146" t="e">
        <f t="shared" si="6"/>
        <v>#N/A</v>
      </c>
      <c r="AP28" s="453" t="str">
        <f t="shared" si="7"/>
        <v/>
      </c>
      <c r="AQ28" s="140">
        <f t="shared" si="29"/>
        <v>0</v>
      </c>
      <c r="AR28" s="141" t="str">
        <f t="shared" si="8"/>
        <v/>
      </c>
      <c r="AS28" s="142">
        <f t="shared" si="30"/>
        <v>0</v>
      </c>
      <c r="AT28" s="141" t="str">
        <f t="shared" si="9"/>
        <v/>
      </c>
      <c r="AU28" s="143">
        <f t="shared" si="10"/>
        <v>0</v>
      </c>
      <c r="AV28" s="144" t="str">
        <f t="shared" si="11"/>
        <v/>
      </c>
      <c r="AW28" s="143" t="b">
        <f t="shared" si="12"/>
        <v>0</v>
      </c>
      <c r="AX28" s="145" t="b">
        <f t="shared" si="13"/>
        <v>0</v>
      </c>
      <c r="AY28" s="143" t="b">
        <f t="shared" si="14"/>
        <v>0</v>
      </c>
      <c r="AZ28" s="145" t="b">
        <f t="shared" si="15"/>
        <v>0</v>
      </c>
      <c r="BA28" s="453" t="b">
        <f t="shared" si="16"/>
        <v>0</v>
      </c>
      <c r="BB28" s="453" t="b">
        <f t="shared" si="17"/>
        <v>0</v>
      </c>
      <c r="BC28" s="143" t="b">
        <f t="shared" si="18"/>
        <v>0</v>
      </c>
      <c r="BD28" s="146" t="b">
        <f t="shared" si="31"/>
        <v>0</v>
      </c>
      <c r="BE28" s="145" t="b">
        <f t="shared" si="37"/>
        <v>0</v>
      </c>
      <c r="BF28" s="147" t="b">
        <f t="shared" si="20"/>
        <v>0</v>
      </c>
      <c r="BG28" s="453" t="str">
        <f t="shared" si="38"/>
        <v>NA</v>
      </c>
      <c r="BH28" s="453" t="str">
        <f t="shared" si="32"/>
        <v/>
      </c>
      <c r="BI28" s="453" t="str">
        <f t="shared" si="22"/>
        <v/>
      </c>
      <c r="BJ28" s="453" t="str">
        <f t="shared" si="23"/>
        <v/>
      </c>
      <c r="BK28" s="453" t="str">
        <f t="shared" si="24"/>
        <v/>
      </c>
      <c r="BL28" s="148" t="str">
        <f t="shared" si="33"/>
        <v/>
      </c>
      <c r="BM28" s="453" t="str">
        <f t="shared" si="25"/>
        <v/>
      </c>
      <c r="BN28" s="453" t="str">
        <f t="shared" si="26"/>
        <v/>
      </c>
      <c r="BO28" s="936"/>
      <c r="BP28" s="300" t="s">
        <v>366</v>
      </c>
      <c r="BQ28" s="165">
        <f t="shared" si="36"/>
        <v>0.3</v>
      </c>
      <c r="BR28" s="166">
        <f t="shared" si="36"/>
        <v>0.6</v>
      </c>
      <c r="BS28" s="166">
        <f t="shared" si="36"/>
        <v>0.7</v>
      </c>
      <c r="BT28" s="166">
        <f t="shared" si="36"/>
        <v>0.9</v>
      </c>
      <c r="BU28" s="167">
        <f t="shared" si="36"/>
        <v>1</v>
      </c>
    </row>
    <row r="29" spans="2:73" s="94" customFormat="1" ht="12.95" customHeight="1" x14ac:dyDescent="0.2">
      <c r="B29" s="151" t="str">
        <f>IF(ISNA(Z29),"",IF(OR(Z29=1,Z29=2),"    ",MAX($B$8:B28)+1))</f>
        <v/>
      </c>
      <c r="C29" s="904" t="str">
        <f t="shared" si="0"/>
        <v/>
      </c>
      <c r="D29" s="904"/>
      <c r="E29" s="904"/>
      <c r="F29" s="905"/>
      <c r="G29" s="133" t="str">
        <f t="shared" si="1"/>
        <v/>
      </c>
      <c r="H29" s="134" t="str">
        <f t="shared" si="2"/>
        <v/>
      </c>
      <c r="I29" s="152" t="str">
        <f t="shared" si="2"/>
        <v/>
      </c>
      <c r="J29" s="480"/>
      <c r="K29" s="159"/>
      <c r="L29" s="1015"/>
      <c r="M29" s="1016"/>
      <c r="N29" s="1016"/>
      <c r="O29" s="1016"/>
      <c r="P29" s="1016"/>
      <c r="Q29" s="1016"/>
      <c r="R29" s="1017"/>
      <c r="T29" s="99">
        <v>22</v>
      </c>
      <c r="U29" s="88" t="e">
        <v>#N/A</v>
      </c>
      <c r="V29" s="453" t="e">
        <v>#N/A</v>
      </c>
      <c r="W29" s="453" t="e">
        <v>#N/A</v>
      </c>
      <c r="X29" s="453" t="e">
        <v>#N/A</v>
      </c>
      <c r="Y29" s="453" t="e">
        <v>#N/A</v>
      </c>
      <c r="Z29" s="146" t="e">
        <v>#N/A</v>
      </c>
      <c r="AA29" s="146" t="e">
        <v>#N/A</v>
      </c>
      <c r="AB29" s="146" t="e">
        <v>#N/A</v>
      </c>
      <c r="AC29" s="453" t="e">
        <v>#N/A</v>
      </c>
      <c r="AD29" s="453" t="e">
        <v>#N/A</v>
      </c>
      <c r="AE29" s="453" t="e">
        <v>#N/A</v>
      </c>
      <c r="AF29" s="453" t="e">
        <v>#N/A</v>
      </c>
      <c r="AG29" s="453" t="e">
        <f t="shared" si="3"/>
        <v>#N/A</v>
      </c>
      <c r="AH29" s="453" t="str">
        <f t="shared" si="4"/>
        <v/>
      </c>
      <c r="AI29" s="138" t="e">
        <f>IF(NOT(OR(Z29=1,Z29=2)),IF(AQ29&gt;0,$AR$44*AQ29/SUMIF($AQ$8:$AQ$39,"&gt;0"),IF(AU29&gt;0,$AV$44*AU29/SUMIF($AU$8:$AU$39,"&gt;0"),IF(AS29&gt;0,$AT$44*AS29/SUMIF($AS$8:$AS$39,"&gt;0"),""))),IF(SUMIF(AJ30:$AJ$39,"=" &amp; AJ29,AI30:$AI$39)=0,"",SUMIF(AJ30:$AJ$39,"=" &amp; AJ29,AI30:$AI$39)))</f>
        <v>#N/A</v>
      </c>
      <c r="AJ29" s="139" t="e">
        <f t="shared" si="34"/>
        <v>#N/A</v>
      </c>
      <c r="AK29" s="453" t="str">
        <f t="shared" si="27"/>
        <v/>
      </c>
      <c r="AL29" s="146" t="str">
        <f t="shared" si="28"/>
        <v/>
      </c>
      <c r="AM29" s="146" t="str">
        <f t="shared" si="35"/>
        <v/>
      </c>
      <c r="AN29" s="146" t="str">
        <f t="shared" si="5"/>
        <v/>
      </c>
      <c r="AO29" s="146" t="e">
        <f t="shared" si="6"/>
        <v>#N/A</v>
      </c>
      <c r="AP29" s="453" t="str">
        <f t="shared" si="7"/>
        <v/>
      </c>
      <c r="AQ29" s="140">
        <f t="shared" si="29"/>
        <v>0</v>
      </c>
      <c r="AR29" s="141" t="str">
        <f t="shared" si="8"/>
        <v/>
      </c>
      <c r="AS29" s="142">
        <f t="shared" si="30"/>
        <v>0</v>
      </c>
      <c r="AT29" s="141" t="str">
        <f t="shared" si="9"/>
        <v/>
      </c>
      <c r="AU29" s="143">
        <f t="shared" si="10"/>
        <v>0</v>
      </c>
      <c r="AV29" s="144" t="str">
        <f t="shared" si="11"/>
        <v/>
      </c>
      <c r="AW29" s="143" t="b">
        <f t="shared" si="12"/>
        <v>0</v>
      </c>
      <c r="AX29" s="145" t="b">
        <f t="shared" si="13"/>
        <v>0</v>
      </c>
      <c r="AY29" s="143" t="b">
        <f t="shared" si="14"/>
        <v>0</v>
      </c>
      <c r="AZ29" s="145" t="b">
        <f t="shared" si="15"/>
        <v>0</v>
      </c>
      <c r="BA29" s="453" t="b">
        <f t="shared" si="16"/>
        <v>0</v>
      </c>
      <c r="BB29" s="453" t="b">
        <f t="shared" si="17"/>
        <v>0</v>
      </c>
      <c r="BC29" s="143" t="b">
        <f t="shared" si="18"/>
        <v>0</v>
      </c>
      <c r="BD29" s="146" t="b">
        <f t="shared" si="31"/>
        <v>0</v>
      </c>
      <c r="BE29" s="145" t="b">
        <f t="shared" si="37"/>
        <v>0</v>
      </c>
      <c r="BF29" s="147" t="b">
        <f t="shared" si="20"/>
        <v>0</v>
      </c>
      <c r="BG29" s="453" t="str">
        <f t="shared" si="38"/>
        <v>NA</v>
      </c>
      <c r="BH29" s="453" t="str">
        <f t="shared" si="32"/>
        <v/>
      </c>
      <c r="BI29" s="453" t="str">
        <f t="shared" si="22"/>
        <v/>
      </c>
      <c r="BJ29" s="453" t="str">
        <f t="shared" si="23"/>
        <v/>
      </c>
      <c r="BK29" s="453" t="str">
        <f t="shared" si="24"/>
        <v/>
      </c>
      <c r="BL29" s="148" t="str">
        <f t="shared" si="33"/>
        <v/>
      </c>
      <c r="BM29" s="453" t="str">
        <f t="shared" si="25"/>
        <v/>
      </c>
      <c r="BN29" s="453" t="str">
        <f t="shared" si="26"/>
        <v/>
      </c>
      <c r="BO29" s="936"/>
      <c r="BP29" s="300" t="s">
        <v>367</v>
      </c>
      <c r="BQ29" s="168">
        <f t="shared" si="36"/>
        <v>0</v>
      </c>
      <c r="BR29" s="169">
        <f t="shared" si="36"/>
        <v>0.3</v>
      </c>
      <c r="BS29" s="169">
        <f t="shared" si="36"/>
        <v>0.6</v>
      </c>
      <c r="BT29" s="169">
        <f t="shared" si="36"/>
        <v>0.9</v>
      </c>
      <c r="BU29" s="170">
        <f t="shared" si="36"/>
        <v>1</v>
      </c>
    </row>
    <row r="30" spans="2:73" s="94" customFormat="1" ht="12.95" customHeight="1" x14ac:dyDescent="0.2">
      <c r="B30" s="151" t="str">
        <f>IF(ISNA(Z30),"",IF(OR(Z30=1,Z30=2),"    ",MAX($B$8:B29)+1))</f>
        <v/>
      </c>
      <c r="C30" s="904" t="str">
        <f t="shared" si="0"/>
        <v/>
      </c>
      <c r="D30" s="904"/>
      <c r="E30" s="904"/>
      <c r="F30" s="905"/>
      <c r="G30" s="133" t="str">
        <f t="shared" si="1"/>
        <v/>
      </c>
      <c r="H30" s="134" t="str">
        <f t="shared" si="2"/>
        <v/>
      </c>
      <c r="I30" s="152" t="str">
        <f t="shared" si="2"/>
        <v/>
      </c>
      <c r="J30" s="480"/>
      <c r="K30" s="159"/>
      <c r="L30" s="1015"/>
      <c r="M30" s="1016"/>
      <c r="N30" s="1016"/>
      <c r="O30" s="1016"/>
      <c r="P30" s="1016"/>
      <c r="Q30" s="1016"/>
      <c r="R30" s="1017"/>
      <c r="T30" s="99">
        <v>23</v>
      </c>
      <c r="U30" s="88" t="e">
        <v>#N/A</v>
      </c>
      <c r="V30" s="453" t="e">
        <v>#N/A</v>
      </c>
      <c r="W30" s="453" t="e">
        <v>#N/A</v>
      </c>
      <c r="X30" s="453" t="e">
        <v>#N/A</v>
      </c>
      <c r="Y30" s="453" t="e">
        <v>#N/A</v>
      </c>
      <c r="Z30" s="146" t="e">
        <v>#N/A</v>
      </c>
      <c r="AA30" s="146" t="e">
        <v>#N/A</v>
      </c>
      <c r="AB30" s="146" t="e">
        <v>#N/A</v>
      </c>
      <c r="AC30" s="453" t="e">
        <v>#N/A</v>
      </c>
      <c r="AD30" s="453" t="e">
        <v>#N/A</v>
      </c>
      <c r="AE30" s="453" t="e">
        <v>#N/A</v>
      </c>
      <c r="AF30" s="453" t="e">
        <v>#N/A</v>
      </c>
      <c r="AG30" s="453" t="e">
        <f t="shared" si="3"/>
        <v>#N/A</v>
      </c>
      <c r="AH30" s="453" t="str">
        <f t="shared" si="4"/>
        <v/>
      </c>
      <c r="AI30" s="138" t="e">
        <f>IF(NOT(OR(Z30=1,Z30=2)),IF(AQ30&gt;0,$AR$44*AQ30/SUMIF($AQ$8:$AQ$39,"&gt;0"),IF(AU30&gt;0,$AV$44*AU30/SUMIF($AU$8:$AU$39,"&gt;0"),IF(AS30&gt;0,$AT$44*AS30/SUMIF($AS$8:$AS$39,"&gt;0"),""))),IF(SUMIF(AJ31:$AJ$39,"=" &amp; AJ30,AI31:$AI$39)=0,"",SUMIF(AJ31:$AJ$39,"=" &amp; AJ30,AI31:$AI$39)))</f>
        <v>#N/A</v>
      </c>
      <c r="AJ30" s="139" t="e">
        <f t="shared" si="34"/>
        <v>#N/A</v>
      </c>
      <c r="AK30" s="453" t="str">
        <f t="shared" si="27"/>
        <v/>
      </c>
      <c r="AL30" s="146" t="str">
        <f t="shared" si="28"/>
        <v/>
      </c>
      <c r="AM30" s="146" t="str">
        <f t="shared" si="35"/>
        <v/>
      </c>
      <c r="AN30" s="146" t="str">
        <f t="shared" si="5"/>
        <v/>
      </c>
      <c r="AO30" s="146" t="e">
        <f t="shared" si="6"/>
        <v>#N/A</v>
      </c>
      <c r="AP30" s="453" t="str">
        <f t="shared" si="7"/>
        <v/>
      </c>
      <c r="AQ30" s="140">
        <f t="shared" si="29"/>
        <v>0</v>
      </c>
      <c r="AR30" s="141" t="str">
        <f t="shared" si="8"/>
        <v/>
      </c>
      <c r="AS30" s="142">
        <f t="shared" si="30"/>
        <v>0</v>
      </c>
      <c r="AT30" s="141" t="str">
        <f t="shared" si="9"/>
        <v/>
      </c>
      <c r="AU30" s="143">
        <f t="shared" si="10"/>
        <v>0</v>
      </c>
      <c r="AV30" s="144" t="str">
        <f t="shared" si="11"/>
        <v/>
      </c>
      <c r="AW30" s="143" t="b">
        <f t="shared" si="12"/>
        <v>0</v>
      </c>
      <c r="AX30" s="145" t="b">
        <f t="shared" si="13"/>
        <v>0</v>
      </c>
      <c r="AY30" s="143" t="b">
        <f t="shared" si="14"/>
        <v>0</v>
      </c>
      <c r="AZ30" s="145" t="b">
        <f t="shared" si="15"/>
        <v>0</v>
      </c>
      <c r="BA30" s="453" t="b">
        <f t="shared" si="16"/>
        <v>0</v>
      </c>
      <c r="BB30" s="453" t="b">
        <f t="shared" si="17"/>
        <v>0</v>
      </c>
      <c r="BC30" s="143" t="b">
        <f t="shared" si="18"/>
        <v>0</v>
      </c>
      <c r="BD30" s="146" t="b">
        <f t="shared" si="31"/>
        <v>0</v>
      </c>
      <c r="BE30" s="145" t="b">
        <f t="shared" si="37"/>
        <v>0</v>
      </c>
      <c r="BF30" s="147" t="b">
        <f t="shared" si="20"/>
        <v>0</v>
      </c>
      <c r="BG30" s="453" t="str">
        <f t="shared" si="38"/>
        <v>NA</v>
      </c>
      <c r="BH30" s="453" t="str">
        <f t="shared" si="32"/>
        <v/>
      </c>
      <c r="BI30" s="453" t="str">
        <f t="shared" si="22"/>
        <v/>
      </c>
      <c r="BJ30" s="453" t="str">
        <f t="shared" si="23"/>
        <v/>
      </c>
      <c r="BK30" s="453" t="str">
        <f t="shared" si="24"/>
        <v/>
      </c>
      <c r="BL30" s="148" t="str">
        <f t="shared" si="33"/>
        <v/>
      </c>
      <c r="BM30" s="453" t="str">
        <f t="shared" si="25"/>
        <v/>
      </c>
      <c r="BN30" s="453" t="str">
        <f t="shared" si="26"/>
        <v/>
      </c>
      <c r="BO30" s="90"/>
    </row>
    <row r="31" spans="2:73" s="94" customFormat="1" ht="12.95" customHeight="1" x14ac:dyDescent="0.2">
      <c r="B31" s="151" t="str">
        <f>IF(ISNA(Z31),"",IF(OR(Z31=1,Z31=2),"    ",MAX($B$8:B30)+1))</f>
        <v/>
      </c>
      <c r="C31" s="904" t="str">
        <f t="shared" si="0"/>
        <v/>
      </c>
      <c r="D31" s="904"/>
      <c r="E31" s="904"/>
      <c r="F31" s="905"/>
      <c r="G31" s="133" t="str">
        <f t="shared" si="1"/>
        <v/>
      </c>
      <c r="H31" s="134" t="str">
        <f t="shared" si="2"/>
        <v/>
      </c>
      <c r="I31" s="152" t="str">
        <f t="shared" si="2"/>
        <v/>
      </c>
      <c r="J31" s="158"/>
      <c r="K31" s="159"/>
      <c r="L31" s="1015"/>
      <c r="M31" s="1016"/>
      <c r="N31" s="1016"/>
      <c r="O31" s="1016"/>
      <c r="P31" s="1016"/>
      <c r="Q31" s="1016"/>
      <c r="R31" s="1017"/>
      <c r="T31" s="99">
        <v>24</v>
      </c>
      <c r="U31" s="88" t="e">
        <v>#N/A</v>
      </c>
      <c r="V31" s="453" t="e">
        <v>#N/A</v>
      </c>
      <c r="W31" s="453" t="e">
        <v>#N/A</v>
      </c>
      <c r="X31" s="453" t="e">
        <v>#N/A</v>
      </c>
      <c r="Y31" s="453" t="e">
        <v>#N/A</v>
      </c>
      <c r="Z31" s="146" t="e">
        <v>#N/A</v>
      </c>
      <c r="AA31" s="146" t="e">
        <v>#N/A</v>
      </c>
      <c r="AB31" s="146" t="e">
        <v>#N/A</v>
      </c>
      <c r="AC31" s="453" t="e">
        <v>#N/A</v>
      </c>
      <c r="AD31" s="453" t="e">
        <v>#N/A</v>
      </c>
      <c r="AE31" s="453" t="e">
        <v>#N/A</v>
      </c>
      <c r="AF31" s="453" t="e">
        <v>#N/A</v>
      </c>
      <c r="AG31" s="453" t="e">
        <f t="shared" si="3"/>
        <v>#N/A</v>
      </c>
      <c r="AH31" s="453" t="str">
        <f t="shared" si="4"/>
        <v/>
      </c>
      <c r="AI31" s="138" t="e">
        <f>IF(NOT(OR(Z31=1,Z31=2)),IF(AQ31&gt;0,$AR$44*AQ31/SUMIF($AQ$8:$AQ$39,"&gt;0"),IF(AU31&gt;0,$AV$44*AU31/SUMIF($AU$8:$AU$39,"&gt;0"),IF(AS31&gt;0,$AT$44*AS31/SUMIF($AS$8:$AS$39,"&gt;0"),""))),IF(SUMIF(AJ32:$AJ$39,"=" &amp; AJ31,AI32:$AI$39)=0,"",SUMIF(AJ32:$AJ$39,"=" &amp; AJ31,AI32:$AI$39)))</f>
        <v>#N/A</v>
      </c>
      <c r="AJ31" s="139" t="e">
        <f t="shared" si="34"/>
        <v>#N/A</v>
      </c>
      <c r="AK31" s="453" t="str">
        <f t="shared" si="27"/>
        <v/>
      </c>
      <c r="AL31" s="146" t="str">
        <f t="shared" si="28"/>
        <v/>
      </c>
      <c r="AM31" s="146" t="str">
        <f t="shared" si="35"/>
        <v/>
      </c>
      <c r="AN31" s="146" t="str">
        <f t="shared" si="5"/>
        <v/>
      </c>
      <c r="AO31" s="146" t="e">
        <f t="shared" si="6"/>
        <v>#N/A</v>
      </c>
      <c r="AP31" s="453" t="str">
        <f t="shared" si="7"/>
        <v/>
      </c>
      <c r="AQ31" s="140">
        <f t="shared" si="29"/>
        <v>0</v>
      </c>
      <c r="AR31" s="141" t="str">
        <f t="shared" si="8"/>
        <v/>
      </c>
      <c r="AS31" s="142">
        <f t="shared" si="30"/>
        <v>0</v>
      </c>
      <c r="AT31" s="141" t="str">
        <f t="shared" si="9"/>
        <v/>
      </c>
      <c r="AU31" s="143">
        <f t="shared" si="10"/>
        <v>0</v>
      </c>
      <c r="AV31" s="144" t="str">
        <f t="shared" si="11"/>
        <v/>
      </c>
      <c r="AW31" s="143" t="b">
        <f t="shared" si="12"/>
        <v>0</v>
      </c>
      <c r="AX31" s="145" t="b">
        <f t="shared" si="13"/>
        <v>0</v>
      </c>
      <c r="AY31" s="143" t="b">
        <f t="shared" si="14"/>
        <v>0</v>
      </c>
      <c r="AZ31" s="145" t="b">
        <f t="shared" si="15"/>
        <v>0</v>
      </c>
      <c r="BA31" s="453" t="b">
        <f t="shared" si="16"/>
        <v>0</v>
      </c>
      <c r="BB31" s="453" t="b">
        <f t="shared" si="17"/>
        <v>0</v>
      </c>
      <c r="BC31" s="143" t="b">
        <f t="shared" si="18"/>
        <v>0</v>
      </c>
      <c r="BD31" s="146" t="b">
        <f>IF(OR(ISNA($Z31),ISNUMBER($Z31),NOT(ISNUMBER(K31))),FALSE,OR(NOT(ISNUMBER(J31)),J31=0,AND(J31=0,K31&lt;&gt;0)))</f>
        <v>0</v>
      </c>
      <c r="BE31" s="145" t="b">
        <f t="shared" si="37"/>
        <v>0</v>
      </c>
      <c r="BF31" s="147" t="b">
        <f>IF(OR(ISNA($Z31),H31&lt;&gt;"NG"),FALSE,IF(AND(J31="NA",K31&lt;&gt;""),TRUE,FALSE))</f>
        <v>0</v>
      </c>
      <c r="BG31" s="453" t="str">
        <f t="shared" si="38"/>
        <v>NA</v>
      </c>
      <c r="BH31" s="453" t="str">
        <f t="shared" si="32"/>
        <v/>
      </c>
      <c r="BI31" s="453" t="str">
        <f t="shared" si="22"/>
        <v/>
      </c>
      <c r="BJ31" s="453" t="str">
        <f t="shared" si="23"/>
        <v/>
      </c>
      <c r="BK31" s="453" t="str">
        <f t="shared" si="24"/>
        <v/>
      </c>
      <c r="BL31" s="148" t="str">
        <f t="shared" si="33"/>
        <v/>
      </c>
      <c r="BM31" s="453" t="str">
        <f t="shared" si="25"/>
        <v/>
      </c>
      <c r="BN31" s="453" t="str">
        <f t="shared" si="26"/>
        <v/>
      </c>
      <c r="BO31" s="155" t="s">
        <v>368</v>
      </c>
      <c r="BP31" s="161" t="s">
        <v>369</v>
      </c>
    </row>
    <row r="32" spans="2:73" s="94" customFormat="1" ht="12.95" customHeight="1" x14ac:dyDescent="0.2">
      <c r="B32" s="151" t="str">
        <f>IF(ISNA(Z32),"",IF(OR(Z32=1,Z32=2),"    ",MAX($B$8:B31)+1))</f>
        <v/>
      </c>
      <c r="C32" s="904" t="str">
        <f t="shared" si="0"/>
        <v/>
      </c>
      <c r="D32" s="904"/>
      <c r="E32" s="904"/>
      <c r="F32" s="905"/>
      <c r="G32" s="133" t="str">
        <f t="shared" si="1"/>
        <v/>
      </c>
      <c r="H32" s="134" t="str">
        <f t="shared" si="2"/>
        <v/>
      </c>
      <c r="I32" s="152" t="str">
        <f t="shared" si="2"/>
        <v/>
      </c>
      <c r="J32" s="158"/>
      <c r="K32" s="159"/>
      <c r="L32" s="1015"/>
      <c r="M32" s="1016"/>
      <c r="N32" s="1016"/>
      <c r="O32" s="1016"/>
      <c r="P32" s="1016"/>
      <c r="Q32" s="1016"/>
      <c r="R32" s="1017"/>
      <c r="T32" s="99">
        <v>25</v>
      </c>
      <c r="U32" s="88" t="e">
        <v>#N/A</v>
      </c>
      <c r="V32" s="453" t="e">
        <v>#N/A</v>
      </c>
      <c r="W32" s="453" t="e">
        <v>#N/A</v>
      </c>
      <c r="X32" s="453" t="e">
        <v>#N/A</v>
      </c>
      <c r="Y32" s="453" t="e">
        <v>#N/A</v>
      </c>
      <c r="Z32" s="146" t="e">
        <v>#N/A</v>
      </c>
      <c r="AA32" s="146" t="e">
        <v>#N/A</v>
      </c>
      <c r="AB32" s="146" t="e">
        <v>#N/A</v>
      </c>
      <c r="AC32" s="453" t="e">
        <v>#N/A</v>
      </c>
      <c r="AD32" s="453" t="e">
        <v>#N/A</v>
      </c>
      <c r="AE32" s="453" t="e">
        <v>#N/A</v>
      </c>
      <c r="AF32" s="453" t="e">
        <v>#N/A</v>
      </c>
      <c r="AG32" s="453" t="e">
        <f t="shared" si="3"/>
        <v>#N/A</v>
      </c>
      <c r="AH32" s="453" t="str">
        <f t="shared" si="4"/>
        <v/>
      </c>
      <c r="AI32" s="138" t="e">
        <f>IF(NOT(OR(Z32=1,Z32=2)),IF(AQ32&gt;0,$AR$44*AQ32/SUMIF($AQ$8:$AQ$39,"&gt;0"),IF(AU32&gt;0,$AV$44*AU32/SUMIF($AU$8:$AU$39,"&gt;0"),IF(AS32&gt;0,$AT$44*AS32/SUMIF($AS$8:$AS$39,"&gt;0"),""))),IF(SUMIF(AJ33:$AJ$39,"=" &amp; AJ32,AI33:$AI$39)=0,"",SUMIF(AJ33:$AJ$39,"=" &amp; AJ32,AI33:$AI$39)))</f>
        <v>#N/A</v>
      </c>
      <c r="AJ32" s="139" t="e">
        <f t="shared" si="34"/>
        <v>#N/A</v>
      </c>
      <c r="AK32" s="453" t="str">
        <f t="shared" si="27"/>
        <v/>
      </c>
      <c r="AL32" s="146" t="str">
        <f t="shared" si="28"/>
        <v/>
      </c>
      <c r="AM32" s="146" t="str">
        <f t="shared" si="35"/>
        <v/>
      </c>
      <c r="AN32" s="146" t="str">
        <f t="shared" si="5"/>
        <v/>
      </c>
      <c r="AO32" s="146" t="e">
        <f t="shared" si="6"/>
        <v>#N/A</v>
      </c>
      <c r="AP32" s="453" t="str">
        <f t="shared" si="7"/>
        <v/>
      </c>
      <c r="AQ32" s="140">
        <f t="shared" si="29"/>
        <v>0</v>
      </c>
      <c r="AR32" s="141" t="str">
        <f t="shared" si="8"/>
        <v/>
      </c>
      <c r="AS32" s="142">
        <f t="shared" si="30"/>
        <v>0</v>
      </c>
      <c r="AT32" s="141" t="str">
        <f t="shared" si="9"/>
        <v/>
      </c>
      <c r="AU32" s="143">
        <f t="shared" si="10"/>
        <v>0</v>
      </c>
      <c r="AV32" s="144" t="str">
        <f t="shared" si="11"/>
        <v/>
      </c>
      <c r="AW32" s="143" t="b">
        <f t="shared" si="12"/>
        <v>0</v>
      </c>
      <c r="AX32" s="145" t="b">
        <f t="shared" si="13"/>
        <v>0</v>
      </c>
      <c r="AY32" s="143" t="b">
        <f t="shared" si="14"/>
        <v>0</v>
      </c>
      <c r="AZ32" s="145" t="b">
        <f t="shared" si="15"/>
        <v>0</v>
      </c>
      <c r="BA32" s="453" t="b">
        <f t="shared" si="16"/>
        <v>0</v>
      </c>
      <c r="BB32" s="453" t="b">
        <f t="shared" si="17"/>
        <v>0</v>
      </c>
      <c r="BC32" s="143" t="b">
        <f t="shared" si="18"/>
        <v>0</v>
      </c>
      <c r="BD32" s="146" t="b">
        <f t="shared" si="31"/>
        <v>0</v>
      </c>
      <c r="BE32" s="145" t="b">
        <f t="shared" si="37"/>
        <v>0</v>
      </c>
      <c r="BF32" s="147" t="b">
        <f t="shared" ref="BF32:BF39" si="39">IF(OR(ISNA($Z32),H32&lt;&gt;"NG"),FALSE,IF(AND(J32="NA",K32&lt;&gt;""),TRUE,FALSE))</f>
        <v>0</v>
      </c>
      <c r="BG32" s="453" t="str">
        <f t="shared" si="38"/>
        <v>NA</v>
      </c>
      <c r="BH32" s="453" t="str">
        <f t="shared" si="32"/>
        <v/>
      </c>
      <c r="BI32" s="453" t="str">
        <f t="shared" si="22"/>
        <v/>
      </c>
      <c r="BJ32" s="453" t="str">
        <f t="shared" si="23"/>
        <v/>
      </c>
      <c r="BK32" s="453" t="str">
        <f t="shared" si="24"/>
        <v/>
      </c>
      <c r="BL32" s="148" t="str">
        <f t="shared" si="33"/>
        <v/>
      </c>
      <c r="BM32" s="453" t="str">
        <f t="shared" si="25"/>
        <v/>
      </c>
      <c r="BN32" s="453" t="str">
        <f t="shared" si="26"/>
        <v/>
      </c>
      <c r="BO32" s="155" t="s">
        <v>370</v>
      </c>
      <c r="BP32" s="161" t="s">
        <v>371</v>
      </c>
    </row>
    <row r="33" spans="2:73" s="94" customFormat="1" ht="12.95" customHeight="1" x14ac:dyDescent="0.2">
      <c r="B33" s="151" t="str">
        <f>IF(ISNA(Z33),"",IF(OR(Z33=1,Z33=2),"    ",MAX($B$8:B32)+1))</f>
        <v/>
      </c>
      <c r="C33" s="904" t="str">
        <f t="shared" si="0"/>
        <v/>
      </c>
      <c r="D33" s="904"/>
      <c r="E33" s="904"/>
      <c r="F33" s="905"/>
      <c r="G33" s="133" t="str">
        <f t="shared" si="1"/>
        <v/>
      </c>
      <c r="H33" s="134" t="str">
        <f t="shared" si="2"/>
        <v/>
      </c>
      <c r="I33" s="152" t="str">
        <f t="shared" si="2"/>
        <v/>
      </c>
      <c r="J33" s="158"/>
      <c r="K33" s="159"/>
      <c r="L33" s="1015"/>
      <c r="M33" s="1016"/>
      <c r="N33" s="1016"/>
      <c r="O33" s="1016"/>
      <c r="P33" s="1016"/>
      <c r="Q33" s="1016"/>
      <c r="R33" s="1017"/>
      <c r="T33" s="99">
        <v>26</v>
      </c>
      <c r="U33" s="88" t="e">
        <v>#N/A</v>
      </c>
      <c r="V33" s="453" t="e">
        <v>#N/A</v>
      </c>
      <c r="W33" s="453" t="e">
        <v>#N/A</v>
      </c>
      <c r="X33" s="453" t="e">
        <v>#N/A</v>
      </c>
      <c r="Y33" s="453" t="e">
        <v>#N/A</v>
      </c>
      <c r="Z33" s="146" t="e">
        <v>#N/A</v>
      </c>
      <c r="AA33" s="146" t="e">
        <v>#N/A</v>
      </c>
      <c r="AB33" s="146" t="e">
        <v>#N/A</v>
      </c>
      <c r="AC33" s="453" t="e">
        <v>#N/A</v>
      </c>
      <c r="AD33" s="453" t="e">
        <v>#N/A</v>
      </c>
      <c r="AE33" s="453" t="e">
        <v>#N/A</v>
      </c>
      <c r="AF33" s="453" t="e">
        <v>#N/A</v>
      </c>
      <c r="AG33" s="453" t="e">
        <f t="shared" si="3"/>
        <v>#N/A</v>
      </c>
      <c r="AH33" s="453" t="str">
        <f t="shared" si="4"/>
        <v/>
      </c>
      <c r="AI33" s="138" t="e">
        <f>IF(NOT(OR(Z33=1,Z33=2)),IF(AQ33&gt;0,$AR$44*AQ33/SUMIF($AQ$8:$AQ$39,"&gt;0"),IF(AU33&gt;0,$AV$44*AU33/SUMIF($AU$8:$AU$39,"&gt;0"),IF(AS33&gt;0,$AT$44*AS33/SUMIF($AS$8:$AS$39,"&gt;0"),""))),IF(SUMIF(AJ34:$AJ$39,"=" &amp; AJ33,AI34:$AI$39)=0,"",SUMIF(AJ34:$AJ$39,"=" &amp; AJ33,AI34:$AI$39)))</f>
        <v>#N/A</v>
      </c>
      <c r="AJ33" s="139" t="e">
        <f t="shared" si="34"/>
        <v>#N/A</v>
      </c>
      <c r="AK33" s="453" t="str">
        <f t="shared" si="27"/>
        <v/>
      </c>
      <c r="AL33" s="146" t="str">
        <f t="shared" si="28"/>
        <v/>
      </c>
      <c r="AM33" s="146" t="str">
        <f t="shared" si="35"/>
        <v/>
      </c>
      <c r="AN33" s="146" t="str">
        <f t="shared" si="5"/>
        <v/>
      </c>
      <c r="AO33" s="146" t="e">
        <f t="shared" si="6"/>
        <v>#N/A</v>
      </c>
      <c r="AP33" s="453" t="str">
        <f t="shared" si="7"/>
        <v/>
      </c>
      <c r="AQ33" s="140">
        <f t="shared" si="29"/>
        <v>0</v>
      </c>
      <c r="AR33" s="141" t="str">
        <f t="shared" si="8"/>
        <v/>
      </c>
      <c r="AS33" s="142">
        <f t="shared" si="30"/>
        <v>0</v>
      </c>
      <c r="AT33" s="141" t="str">
        <f t="shared" si="9"/>
        <v/>
      </c>
      <c r="AU33" s="143">
        <f t="shared" si="10"/>
        <v>0</v>
      </c>
      <c r="AV33" s="144" t="str">
        <f t="shared" si="11"/>
        <v/>
      </c>
      <c r="AW33" s="143" t="b">
        <f t="shared" si="12"/>
        <v>0</v>
      </c>
      <c r="AX33" s="145" t="b">
        <f t="shared" si="13"/>
        <v>0</v>
      </c>
      <c r="AY33" s="143" t="b">
        <f t="shared" si="14"/>
        <v>0</v>
      </c>
      <c r="AZ33" s="145" t="b">
        <f t="shared" si="15"/>
        <v>0</v>
      </c>
      <c r="BA33" s="453" t="b">
        <f t="shared" si="16"/>
        <v>0</v>
      </c>
      <c r="BB33" s="453" t="b">
        <f t="shared" si="17"/>
        <v>0</v>
      </c>
      <c r="BC33" s="143" t="b">
        <f t="shared" si="18"/>
        <v>0</v>
      </c>
      <c r="BD33" s="146" t="b">
        <f t="shared" si="31"/>
        <v>0</v>
      </c>
      <c r="BE33" s="145" t="b">
        <f t="shared" si="37"/>
        <v>0</v>
      </c>
      <c r="BF33" s="147" t="b">
        <f t="shared" si="39"/>
        <v>0</v>
      </c>
      <c r="BG33" s="453" t="str">
        <f t="shared" si="38"/>
        <v>NA</v>
      </c>
      <c r="BH33" s="453" t="str">
        <f t="shared" si="32"/>
        <v/>
      </c>
      <c r="BI33" s="453" t="str">
        <f t="shared" si="22"/>
        <v/>
      </c>
      <c r="BJ33" s="453" t="str">
        <f t="shared" si="23"/>
        <v/>
      </c>
      <c r="BK33" s="453" t="str">
        <f t="shared" si="24"/>
        <v/>
      </c>
      <c r="BL33" s="148" t="str">
        <f t="shared" si="33"/>
        <v/>
      </c>
      <c r="BM33" s="453" t="str">
        <f t="shared" si="25"/>
        <v/>
      </c>
      <c r="BN33" s="453" t="str">
        <f t="shared" si="26"/>
        <v/>
      </c>
      <c r="BO33" s="150" t="s">
        <v>372</v>
      </c>
      <c r="BP33" s="161"/>
      <c r="BQ33" s="161"/>
      <c r="BR33" s="161"/>
      <c r="BS33" s="161"/>
      <c r="BT33" s="161"/>
      <c r="BU33" s="161"/>
    </row>
    <row r="34" spans="2:73" s="94" customFormat="1" ht="12.95" customHeight="1" x14ac:dyDescent="0.2">
      <c r="B34" s="151" t="str">
        <f>IF(ISNA(Z34),"",IF(OR(Z34=1,Z34=2),"    ",MAX($B$8:B33)+1))</f>
        <v/>
      </c>
      <c r="C34" s="904" t="str">
        <f t="shared" si="0"/>
        <v/>
      </c>
      <c r="D34" s="904"/>
      <c r="E34" s="904"/>
      <c r="F34" s="905"/>
      <c r="G34" s="133" t="str">
        <f t="shared" si="1"/>
        <v/>
      </c>
      <c r="H34" s="134" t="str">
        <f t="shared" si="2"/>
        <v/>
      </c>
      <c r="I34" s="152" t="str">
        <f t="shared" si="2"/>
        <v/>
      </c>
      <c r="J34" s="480"/>
      <c r="K34" s="159"/>
      <c r="L34" s="1015"/>
      <c r="M34" s="1016"/>
      <c r="N34" s="1016"/>
      <c r="O34" s="1016"/>
      <c r="P34" s="1016"/>
      <c r="Q34" s="1016"/>
      <c r="R34" s="1017"/>
      <c r="T34" s="99">
        <v>27</v>
      </c>
      <c r="U34" s="88" t="e">
        <v>#N/A</v>
      </c>
      <c r="V34" s="453" t="e">
        <v>#N/A</v>
      </c>
      <c r="W34" s="453" t="e">
        <v>#N/A</v>
      </c>
      <c r="X34" s="453" t="e">
        <v>#N/A</v>
      </c>
      <c r="Y34" s="453" t="e">
        <v>#N/A</v>
      </c>
      <c r="Z34" s="146" t="e">
        <v>#N/A</v>
      </c>
      <c r="AA34" s="146" t="e">
        <v>#N/A</v>
      </c>
      <c r="AB34" s="146" t="e">
        <v>#N/A</v>
      </c>
      <c r="AC34" s="453" t="e">
        <v>#N/A</v>
      </c>
      <c r="AD34" s="453" t="e">
        <v>#N/A</v>
      </c>
      <c r="AE34" s="453" t="e">
        <v>#N/A</v>
      </c>
      <c r="AF34" s="453" t="e">
        <v>#N/A</v>
      </c>
      <c r="AG34" s="453" t="e">
        <f t="shared" si="3"/>
        <v>#N/A</v>
      </c>
      <c r="AH34" s="453" t="str">
        <f t="shared" si="4"/>
        <v/>
      </c>
      <c r="AI34" s="138" t="e">
        <f>IF(NOT(OR(Z34=1,Z34=2)),IF(AQ34&gt;0,$AR$44*AQ34/SUMIF($AQ$8:$AQ$39,"&gt;0"),IF(AU34&gt;0,$AV$44*AU34/SUMIF($AU$8:$AU$39,"&gt;0"),IF(AS34&gt;0,$AT$44*AS34/SUMIF($AS$8:$AS$39,"&gt;0"),""))),IF(SUMIF(AJ35:$AJ$39,"=" &amp; AJ34,AI35:$AI$39)=0,"",SUMIF(AJ35:$AJ$39,"=" &amp; AJ34,AI35:$AI$39)))</f>
        <v>#N/A</v>
      </c>
      <c r="AJ34" s="139" t="e">
        <f t="shared" si="34"/>
        <v>#N/A</v>
      </c>
      <c r="AK34" s="453" t="str">
        <f t="shared" si="27"/>
        <v/>
      </c>
      <c r="AL34" s="146" t="str">
        <f t="shared" si="28"/>
        <v/>
      </c>
      <c r="AM34" s="146" t="str">
        <f t="shared" si="35"/>
        <v/>
      </c>
      <c r="AN34" s="146" t="str">
        <f t="shared" si="5"/>
        <v/>
      </c>
      <c r="AO34" s="146" t="e">
        <f t="shared" si="6"/>
        <v>#N/A</v>
      </c>
      <c r="AP34" s="453" t="str">
        <f t="shared" si="7"/>
        <v/>
      </c>
      <c r="AQ34" s="140">
        <f t="shared" si="29"/>
        <v>0</v>
      </c>
      <c r="AR34" s="141" t="str">
        <f t="shared" si="8"/>
        <v/>
      </c>
      <c r="AS34" s="142">
        <f t="shared" si="30"/>
        <v>0</v>
      </c>
      <c r="AT34" s="141" t="str">
        <f t="shared" si="9"/>
        <v/>
      </c>
      <c r="AU34" s="143">
        <f t="shared" si="10"/>
        <v>0</v>
      </c>
      <c r="AV34" s="144" t="str">
        <f t="shared" si="11"/>
        <v/>
      </c>
      <c r="AW34" s="143" t="b">
        <f t="shared" si="12"/>
        <v>0</v>
      </c>
      <c r="AX34" s="145" t="b">
        <f t="shared" si="13"/>
        <v>0</v>
      </c>
      <c r="AY34" s="143" t="b">
        <f t="shared" si="14"/>
        <v>0</v>
      </c>
      <c r="AZ34" s="145" t="b">
        <f t="shared" si="15"/>
        <v>0</v>
      </c>
      <c r="BA34" s="453" t="b">
        <f t="shared" si="16"/>
        <v>0</v>
      </c>
      <c r="BB34" s="453" t="b">
        <f t="shared" si="17"/>
        <v>0</v>
      </c>
      <c r="BC34" s="143" t="b">
        <f t="shared" si="18"/>
        <v>0</v>
      </c>
      <c r="BD34" s="146" t="b">
        <f t="shared" si="31"/>
        <v>0</v>
      </c>
      <c r="BE34" s="145" t="b">
        <f t="shared" si="37"/>
        <v>0</v>
      </c>
      <c r="BF34" s="147" t="b">
        <f t="shared" si="39"/>
        <v>0</v>
      </c>
      <c r="BG34" s="453" t="str">
        <f t="shared" si="38"/>
        <v>NA</v>
      </c>
      <c r="BH34" s="453" t="str">
        <f t="shared" si="32"/>
        <v/>
      </c>
      <c r="BI34" s="453" t="str">
        <f t="shared" si="22"/>
        <v/>
      </c>
      <c r="BJ34" s="453" t="str">
        <f t="shared" si="23"/>
        <v/>
      </c>
      <c r="BK34" s="453" t="str">
        <f t="shared" si="24"/>
        <v/>
      </c>
      <c r="BL34" s="148" t="str">
        <f t="shared" si="33"/>
        <v/>
      </c>
      <c r="BM34" s="453" t="str">
        <f t="shared" si="25"/>
        <v/>
      </c>
      <c r="BN34" s="453" t="str">
        <f t="shared" si="26"/>
        <v/>
      </c>
      <c r="BO34" s="1023"/>
      <c r="BP34" s="1024"/>
      <c r="BQ34" s="1024"/>
      <c r="BR34" s="1024"/>
      <c r="BS34" s="1024"/>
      <c r="BT34" s="1024"/>
      <c r="BU34" s="1025"/>
    </row>
    <row r="35" spans="2:73" s="94" customFormat="1" ht="12.95" customHeight="1" x14ac:dyDescent="0.2">
      <c r="B35" s="151" t="str">
        <f>IF(ISNA(Z35),"",IF(OR(Z35=1,Z35=2),"    ",MAX($B$8:B34)+1))</f>
        <v/>
      </c>
      <c r="C35" s="904" t="str">
        <f t="shared" si="0"/>
        <v/>
      </c>
      <c r="D35" s="904"/>
      <c r="E35" s="904"/>
      <c r="F35" s="905"/>
      <c r="G35" s="133" t="str">
        <f t="shared" si="1"/>
        <v/>
      </c>
      <c r="H35" s="134" t="str">
        <f t="shared" si="2"/>
        <v/>
      </c>
      <c r="I35" s="152" t="str">
        <f t="shared" si="2"/>
        <v/>
      </c>
      <c r="J35" s="480"/>
      <c r="K35" s="159"/>
      <c r="L35" s="1015"/>
      <c r="M35" s="1016"/>
      <c r="N35" s="1016"/>
      <c r="O35" s="1016"/>
      <c r="P35" s="1016"/>
      <c r="Q35" s="1016"/>
      <c r="R35" s="1017"/>
      <c r="T35" s="99">
        <v>28</v>
      </c>
      <c r="U35" s="88" t="e">
        <v>#N/A</v>
      </c>
      <c r="V35" s="453" t="e">
        <v>#N/A</v>
      </c>
      <c r="W35" s="453" t="e">
        <v>#N/A</v>
      </c>
      <c r="X35" s="453" t="e">
        <v>#N/A</v>
      </c>
      <c r="Y35" s="453" t="e">
        <v>#N/A</v>
      </c>
      <c r="Z35" s="146" t="e">
        <v>#N/A</v>
      </c>
      <c r="AA35" s="146" t="e">
        <v>#N/A</v>
      </c>
      <c r="AB35" s="146" t="e">
        <v>#N/A</v>
      </c>
      <c r="AC35" s="453" t="e">
        <v>#N/A</v>
      </c>
      <c r="AD35" s="453" t="e">
        <v>#N/A</v>
      </c>
      <c r="AE35" s="453" t="e">
        <v>#N/A</v>
      </c>
      <c r="AF35" s="453" t="e">
        <v>#N/A</v>
      </c>
      <c r="AG35" s="453" t="e">
        <f t="shared" si="3"/>
        <v>#N/A</v>
      </c>
      <c r="AH35" s="453" t="str">
        <f t="shared" si="4"/>
        <v/>
      </c>
      <c r="AI35" s="138" t="e">
        <f>IF(NOT(OR(Z35=1,Z35=2)),IF(AQ35&gt;0,$AR$44*AQ35/SUMIF($AQ$8:$AQ$39,"&gt;0"),IF(AU35&gt;0,$AV$44*AU35/SUMIF($AU$8:$AU$39,"&gt;0"),IF(AS35&gt;0,$AT$44*AS35/SUMIF($AS$8:$AS$39,"&gt;0"),""))),IF(SUMIF(AJ36:$AJ$39,"=" &amp; AJ35,AI36:$AI$39)=0,"",SUMIF(AJ36:$AJ$39,"=" &amp; AJ35,AI36:$AI$39)))</f>
        <v>#N/A</v>
      </c>
      <c r="AJ35" s="139" t="e">
        <f t="shared" si="34"/>
        <v>#N/A</v>
      </c>
      <c r="AK35" s="453" t="str">
        <f t="shared" si="27"/>
        <v/>
      </c>
      <c r="AL35" s="146" t="str">
        <f t="shared" si="28"/>
        <v/>
      </c>
      <c r="AM35" s="146" t="str">
        <f t="shared" si="35"/>
        <v/>
      </c>
      <c r="AN35" s="146" t="str">
        <f t="shared" si="5"/>
        <v/>
      </c>
      <c r="AO35" s="146" t="e">
        <f t="shared" si="6"/>
        <v>#N/A</v>
      </c>
      <c r="AP35" s="453" t="str">
        <f t="shared" si="7"/>
        <v/>
      </c>
      <c r="AQ35" s="140">
        <f t="shared" si="29"/>
        <v>0</v>
      </c>
      <c r="AR35" s="141" t="str">
        <f t="shared" si="8"/>
        <v/>
      </c>
      <c r="AS35" s="142">
        <f t="shared" si="30"/>
        <v>0</v>
      </c>
      <c r="AT35" s="141" t="str">
        <f t="shared" si="9"/>
        <v/>
      </c>
      <c r="AU35" s="143">
        <f t="shared" si="10"/>
        <v>0</v>
      </c>
      <c r="AV35" s="144" t="str">
        <f t="shared" si="11"/>
        <v/>
      </c>
      <c r="AW35" s="143" t="b">
        <f t="shared" si="12"/>
        <v>0</v>
      </c>
      <c r="AX35" s="145" t="b">
        <f t="shared" si="13"/>
        <v>0</v>
      </c>
      <c r="AY35" s="143" t="b">
        <f t="shared" si="14"/>
        <v>0</v>
      </c>
      <c r="AZ35" s="145" t="b">
        <f t="shared" si="15"/>
        <v>0</v>
      </c>
      <c r="BA35" s="453" t="b">
        <f t="shared" si="16"/>
        <v>0</v>
      </c>
      <c r="BB35" s="453" t="b">
        <f t="shared" si="17"/>
        <v>0</v>
      </c>
      <c r="BC35" s="143" t="b">
        <f t="shared" si="18"/>
        <v>0</v>
      </c>
      <c r="BD35" s="146" t="b">
        <f t="shared" si="31"/>
        <v>0</v>
      </c>
      <c r="BE35" s="145" t="b">
        <f t="shared" si="37"/>
        <v>0</v>
      </c>
      <c r="BF35" s="147" t="b">
        <f t="shared" si="39"/>
        <v>0</v>
      </c>
      <c r="BG35" s="453" t="str">
        <f t="shared" si="38"/>
        <v>NA</v>
      </c>
      <c r="BH35" s="453" t="str">
        <f t="shared" si="32"/>
        <v/>
      </c>
      <c r="BI35" s="453" t="str">
        <f t="shared" si="22"/>
        <v/>
      </c>
      <c r="BJ35" s="453" t="str">
        <f t="shared" si="23"/>
        <v/>
      </c>
      <c r="BK35" s="453" t="str">
        <f t="shared" si="24"/>
        <v/>
      </c>
      <c r="BL35" s="148" t="str">
        <f t="shared" si="33"/>
        <v/>
      </c>
      <c r="BM35" s="453" t="str">
        <f t="shared" si="25"/>
        <v/>
      </c>
      <c r="BN35" s="453" t="str">
        <f t="shared" si="26"/>
        <v/>
      </c>
      <c r="BO35" s="1026"/>
      <c r="BP35" s="1027"/>
      <c r="BQ35" s="1027"/>
      <c r="BR35" s="1027"/>
      <c r="BS35" s="1027"/>
      <c r="BT35" s="1027"/>
      <c r="BU35" s="1028"/>
    </row>
    <row r="36" spans="2:73" s="94" customFormat="1" ht="12.95" customHeight="1" x14ac:dyDescent="0.2">
      <c r="B36" s="151" t="str">
        <f>IF(ISNA(Z36),"",IF(OR(Z36=1,Z36=2),"    ",MAX($B$8:B35)+1))</f>
        <v/>
      </c>
      <c r="C36" s="904" t="str">
        <f t="shared" si="0"/>
        <v/>
      </c>
      <c r="D36" s="904"/>
      <c r="E36" s="904"/>
      <c r="F36" s="905"/>
      <c r="G36" s="133" t="str">
        <f t="shared" si="1"/>
        <v/>
      </c>
      <c r="H36" s="134" t="str">
        <f t="shared" si="2"/>
        <v/>
      </c>
      <c r="I36" s="152" t="str">
        <f t="shared" si="2"/>
        <v/>
      </c>
      <c r="J36" s="480"/>
      <c r="K36" s="159"/>
      <c r="L36" s="1015"/>
      <c r="M36" s="1016"/>
      <c r="N36" s="1016"/>
      <c r="O36" s="1016"/>
      <c r="P36" s="1016"/>
      <c r="Q36" s="1016"/>
      <c r="R36" s="1017"/>
      <c r="T36" s="99">
        <v>29</v>
      </c>
      <c r="U36" s="88" t="e">
        <v>#N/A</v>
      </c>
      <c r="V36" s="453" t="e">
        <v>#N/A</v>
      </c>
      <c r="W36" s="453" t="e">
        <v>#N/A</v>
      </c>
      <c r="X36" s="453" t="e">
        <v>#N/A</v>
      </c>
      <c r="Y36" s="453" t="e">
        <v>#N/A</v>
      </c>
      <c r="Z36" s="146" t="e">
        <v>#N/A</v>
      </c>
      <c r="AA36" s="146" t="e">
        <v>#N/A</v>
      </c>
      <c r="AB36" s="146" t="e">
        <v>#N/A</v>
      </c>
      <c r="AC36" s="453" t="e">
        <v>#N/A</v>
      </c>
      <c r="AD36" s="453" t="e">
        <v>#N/A</v>
      </c>
      <c r="AE36" s="453" t="e">
        <v>#N/A</v>
      </c>
      <c r="AF36" s="453" t="e">
        <v>#N/A</v>
      </c>
      <c r="AG36" s="453" t="e">
        <f t="shared" si="3"/>
        <v>#N/A</v>
      </c>
      <c r="AH36" s="453" t="str">
        <f t="shared" si="4"/>
        <v/>
      </c>
      <c r="AI36" s="138" t="e">
        <f>IF(NOT(OR(Z36=1,Z36=2)),IF(AQ36&gt;0,$AR$44*AQ36/SUMIF($AQ$8:$AQ$39,"&gt;0"),IF(AU36&gt;0,$AV$44*AU36/SUMIF($AU$8:$AU$39,"&gt;0"),IF(AS36&gt;0,$AT$44*AS36/SUMIF($AS$8:$AS$39,"&gt;0"),""))),IF(SUMIF(AJ37:$AJ$39,"=" &amp; AJ36,AI37:$AI$39)=0,"",SUMIF(AJ37:$AJ$39,"=" &amp; AJ36,AI37:$AI$39)))</f>
        <v>#N/A</v>
      </c>
      <c r="AJ36" s="139" t="e">
        <f t="shared" si="34"/>
        <v>#N/A</v>
      </c>
      <c r="AK36" s="453" t="str">
        <f t="shared" si="27"/>
        <v/>
      </c>
      <c r="AL36" s="146" t="str">
        <f t="shared" si="28"/>
        <v/>
      </c>
      <c r="AM36" s="146" t="str">
        <f t="shared" si="35"/>
        <v/>
      </c>
      <c r="AN36" s="146" t="str">
        <f t="shared" si="5"/>
        <v/>
      </c>
      <c r="AO36" s="146" t="e">
        <f t="shared" si="6"/>
        <v>#N/A</v>
      </c>
      <c r="AP36" s="453" t="str">
        <f t="shared" si="7"/>
        <v/>
      </c>
      <c r="AQ36" s="140">
        <f t="shared" si="29"/>
        <v>0</v>
      </c>
      <c r="AR36" s="141" t="str">
        <f t="shared" si="8"/>
        <v/>
      </c>
      <c r="AS36" s="142">
        <f t="shared" si="30"/>
        <v>0</v>
      </c>
      <c r="AT36" s="141" t="str">
        <f t="shared" si="9"/>
        <v/>
      </c>
      <c r="AU36" s="143">
        <f t="shared" si="10"/>
        <v>0</v>
      </c>
      <c r="AV36" s="144" t="str">
        <f t="shared" si="11"/>
        <v/>
      </c>
      <c r="AW36" s="143" t="b">
        <f t="shared" si="12"/>
        <v>0</v>
      </c>
      <c r="AX36" s="145" t="b">
        <f t="shared" si="13"/>
        <v>0</v>
      </c>
      <c r="AY36" s="143" t="b">
        <f t="shared" si="14"/>
        <v>0</v>
      </c>
      <c r="AZ36" s="145" t="b">
        <f t="shared" si="15"/>
        <v>0</v>
      </c>
      <c r="BA36" s="453" t="b">
        <f t="shared" si="16"/>
        <v>0</v>
      </c>
      <c r="BB36" s="453" t="b">
        <f t="shared" si="17"/>
        <v>0</v>
      </c>
      <c r="BC36" s="143" t="b">
        <f t="shared" si="18"/>
        <v>0</v>
      </c>
      <c r="BD36" s="146" t="b">
        <f t="shared" si="31"/>
        <v>0</v>
      </c>
      <c r="BE36" s="145" t="b">
        <f t="shared" si="37"/>
        <v>0</v>
      </c>
      <c r="BF36" s="147" t="b">
        <f t="shared" si="39"/>
        <v>0</v>
      </c>
      <c r="BG36" s="453" t="str">
        <f t="shared" si="38"/>
        <v>NA</v>
      </c>
      <c r="BH36" s="453" t="str">
        <f t="shared" si="32"/>
        <v/>
      </c>
      <c r="BI36" s="453" t="str">
        <f t="shared" si="22"/>
        <v/>
      </c>
      <c r="BJ36" s="453" t="str">
        <f t="shared" si="23"/>
        <v/>
      </c>
      <c r="BK36" s="453" t="str">
        <f t="shared" si="24"/>
        <v/>
      </c>
      <c r="BL36" s="148" t="str">
        <f t="shared" si="33"/>
        <v/>
      </c>
      <c r="BM36" s="453" t="str">
        <f t="shared" si="25"/>
        <v/>
      </c>
      <c r="BN36" s="453" t="str">
        <f t="shared" si="26"/>
        <v/>
      </c>
      <c r="BO36" s="1026"/>
      <c r="BP36" s="1027"/>
      <c r="BQ36" s="1027"/>
      <c r="BR36" s="1027"/>
      <c r="BS36" s="1027"/>
      <c r="BT36" s="1027"/>
      <c r="BU36" s="1028"/>
    </row>
    <row r="37" spans="2:73" s="94" customFormat="1" ht="12.95" customHeight="1" x14ac:dyDescent="0.2">
      <c r="B37" s="151" t="str">
        <f>IF(ISNA(Z37),"",IF(OR(Z37=1,Z37=2),"    ",MAX($B$8:B36)+1))</f>
        <v/>
      </c>
      <c r="C37" s="904" t="str">
        <f>IF(ISNA(Z37),"",CONCATENATE($U37,IF(ISNUMBER(AI37),TEXT(ROUND($AI37,3)," (0.0%)"),""),IF(AU37&gt;0," Bonus","")))</f>
        <v/>
      </c>
      <c r="D37" s="904"/>
      <c r="E37" s="904"/>
      <c r="F37" s="905"/>
      <c r="G37" s="133" t="str">
        <f t="shared" si="1"/>
        <v/>
      </c>
      <c r="H37" s="134" t="str">
        <f t="shared" si="2"/>
        <v/>
      </c>
      <c r="I37" s="152" t="str">
        <f t="shared" si="2"/>
        <v/>
      </c>
      <c r="J37" s="480"/>
      <c r="K37" s="159"/>
      <c r="L37" s="1015"/>
      <c r="M37" s="1016"/>
      <c r="N37" s="1016"/>
      <c r="O37" s="1016"/>
      <c r="P37" s="1016"/>
      <c r="Q37" s="1016"/>
      <c r="R37" s="1017"/>
      <c r="T37" s="99">
        <v>30</v>
      </c>
      <c r="U37" s="88" t="e">
        <v>#N/A</v>
      </c>
      <c r="V37" s="453" t="e">
        <v>#N/A</v>
      </c>
      <c r="W37" s="453" t="e">
        <v>#N/A</v>
      </c>
      <c r="X37" s="453" t="e">
        <v>#N/A</v>
      </c>
      <c r="Y37" s="453" t="e">
        <v>#N/A</v>
      </c>
      <c r="Z37" s="146" t="e">
        <v>#N/A</v>
      </c>
      <c r="AA37" s="146" t="e">
        <v>#N/A</v>
      </c>
      <c r="AB37" s="146" t="e">
        <v>#N/A</v>
      </c>
      <c r="AC37" s="453" t="e">
        <v>#N/A</v>
      </c>
      <c r="AD37" s="453" t="e">
        <v>#N/A</v>
      </c>
      <c r="AE37" s="453" t="e">
        <v>#N/A</v>
      </c>
      <c r="AF37" s="453" t="e">
        <v>#N/A</v>
      </c>
      <c r="AG37" s="453" t="e">
        <f t="shared" si="3"/>
        <v>#N/A</v>
      </c>
      <c r="AH37" s="453" t="str">
        <f t="shared" si="4"/>
        <v/>
      </c>
      <c r="AI37" s="138" t="e">
        <f>IF(NOT(OR(Z37=1,Z37=2)),IF(AQ37&gt;0,$AR$44*AQ37/SUMIF($AQ$8:$AQ$39,"&gt;0"),IF(AU37&gt;0,$AV$44*AU37/SUMIF($AU$8:$AU$39,"&gt;0"),IF(AS37&gt;0,$AT$44*AS37/SUMIF($AS$8:$AS$39,"&gt;0"),""))),IF(SUMIF(AJ38:$AJ$39,"=" &amp; AJ37,AI38:$AI$39)=0,"",SUMIF(AJ38:$AJ$39,"=" &amp; AJ37,AI38:$AI$39)))</f>
        <v>#N/A</v>
      </c>
      <c r="AJ37" s="139" t="e">
        <f t="shared" si="34"/>
        <v>#N/A</v>
      </c>
      <c r="AK37" s="453" t="str">
        <f t="shared" si="27"/>
        <v/>
      </c>
      <c r="AL37" s="146" t="str">
        <f t="shared" si="28"/>
        <v/>
      </c>
      <c r="AM37" s="146" t="str">
        <f t="shared" si="35"/>
        <v/>
      </c>
      <c r="AN37" s="146" t="str">
        <f>IF(ISNUMBER(AH37),IF(AND(AB37=0,ISNUMBER(AC37),ISNUMBER(AL37)),1,""),"")</f>
        <v/>
      </c>
      <c r="AO37" s="146" t="e">
        <f t="shared" si="6"/>
        <v>#N/A</v>
      </c>
      <c r="AP37" s="453" t="str">
        <f t="shared" si="7"/>
        <v/>
      </c>
      <c r="AQ37" s="140">
        <f t="shared" si="29"/>
        <v>0</v>
      </c>
      <c r="AR37" s="141" t="str">
        <f t="shared" si="8"/>
        <v/>
      </c>
      <c r="AS37" s="142">
        <f t="shared" si="30"/>
        <v>0</v>
      </c>
      <c r="AT37" s="141" t="str">
        <f t="shared" si="9"/>
        <v/>
      </c>
      <c r="AU37" s="143">
        <f t="shared" si="10"/>
        <v>0</v>
      </c>
      <c r="AV37" s="144" t="str">
        <f t="shared" si="11"/>
        <v/>
      </c>
      <c r="AW37" s="143" t="b">
        <f t="shared" si="12"/>
        <v>0</v>
      </c>
      <c r="AX37" s="145" t="b">
        <f t="shared" si="13"/>
        <v>0</v>
      </c>
      <c r="AY37" s="143" t="b">
        <f t="shared" si="14"/>
        <v>0</v>
      </c>
      <c r="AZ37" s="145" t="b">
        <f t="shared" si="15"/>
        <v>0</v>
      </c>
      <c r="BA37" s="453" t="b">
        <f t="shared" si="16"/>
        <v>0</v>
      </c>
      <c r="BB37" s="453" t="b">
        <f t="shared" si="17"/>
        <v>0</v>
      </c>
      <c r="BC37" s="143" t="b">
        <f t="shared" si="18"/>
        <v>0</v>
      </c>
      <c r="BD37" s="146" t="b">
        <f t="shared" si="31"/>
        <v>0</v>
      </c>
      <c r="BE37" s="145" t="b">
        <f t="shared" si="37"/>
        <v>0</v>
      </c>
      <c r="BF37" s="147" t="b">
        <f t="shared" si="39"/>
        <v>0</v>
      </c>
      <c r="BG37" s="453" t="str">
        <f t="shared" si="38"/>
        <v>NA</v>
      </c>
      <c r="BH37" s="453" t="str">
        <f t="shared" si="32"/>
        <v/>
      </c>
      <c r="BI37" s="453" t="str">
        <f t="shared" si="22"/>
        <v/>
      </c>
      <c r="BJ37" s="453" t="str">
        <f t="shared" si="23"/>
        <v/>
      </c>
      <c r="BK37" s="453" t="str">
        <f t="shared" si="24"/>
        <v/>
      </c>
      <c r="BL37" s="148" t="str">
        <f t="shared" si="33"/>
        <v/>
      </c>
      <c r="BM37" s="453" t="str">
        <f t="shared" si="25"/>
        <v/>
      </c>
      <c r="BN37" s="453" t="str">
        <f t="shared" si="26"/>
        <v/>
      </c>
      <c r="BO37" s="1029"/>
      <c r="BP37" s="1030"/>
      <c r="BQ37" s="1030"/>
      <c r="BR37" s="1030"/>
      <c r="BS37" s="1030"/>
      <c r="BT37" s="1030"/>
      <c r="BU37" s="1031"/>
    </row>
    <row r="38" spans="2:73" s="94" customFormat="1" ht="12.95" customHeight="1" x14ac:dyDescent="0.2">
      <c r="B38" s="151" t="str">
        <f>IF(ISNA(Z38),"",IF(OR(Z38=1,Z38=2),"    ",MAX($B$8:B37)+1))</f>
        <v/>
      </c>
      <c r="C38" s="904" t="str">
        <f t="shared" ref="C38:C39" si="40">IF(ISNA(Z38),"",CONCATENATE($U38,IF(ISNUMBER(AI38),TEXT(ROUND($AI38,3)," (0.0%)"),""),IF(AU38&gt;0," Bonus","")))</f>
        <v/>
      </c>
      <c r="D38" s="904"/>
      <c r="E38" s="904"/>
      <c r="F38" s="905"/>
      <c r="G38" s="133" t="str">
        <f t="shared" si="1"/>
        <v/>
      </c>
      <c r="H38" s="134" t="str">
        <f t="shared" si="2"/>
        <v/>
      </c>
      <c r="I38" s="152" t="str">
        <f t="shared" si="2"/>
        <v/>
      </c>
      <c r="J38" s="158"/>
      <c r="K38" s="159"/>
      <c r="L38" s="1015"/>
      <c r="M38" s="1016"/>
      <c r="N38" s="1016"/>
      <c r="O38" s="1016"/>
      <c r="P38" s="1016"/>
      <c r="Q38" s="1016"/>
      <c r="R38" s="1017"/>
      <c r="T38" s="99">
        <v>31</v>
      </c>
      <c r="U38" s="88" t="e">
        <v>#N/A</v>
      </c>
      <c r="V38" s="453" t="e">
        <v>#N/A</v>
      </c>
      <c r="W38" s="453" t="e">
        <v>#N/A</v>
      </c>
      <c r="X38" s="453" t="e">
        <v>#N/A</v>
      </c>
      <c r="Y38" s="453" t="e">
        <v>#N/A</v>
      </c>
      <c r="Z38" s="146" t="e">
        <v>#N/A</v>
      </c>
      <c r="AA38" s="146" t="e">
        <v>#N/A</v>
      </c>
      <c r="AB38" s="146" t="e">
        <v>#N/A</v>
      </c>
      <c r="AC38" s="453" t="e">
        <v>#N/A</v>
      </c>
      <c r="AD38" s="453" t="e">
        <v>#N/A</v>
      </c>
      <c r="AE38" s="453" t="e">
        <v>#N/A</v>
      </c>
      <c r="AF38" s="453" t="e">
        <v>#N/A</v>
      </c>
      <c r="AG38" s="453" t="e">
        <f t="shared" si="3"/>
        <v>#N/A</v>
      </c>
      <c r="AH38" s="453" t="str">
        <f t="shared" si="4"/>
        <v/>
      </c>
      <c r="AI38" s="138" t="e">
        <f>IF(NOT(OR(Z38=1,Z38=2)),IF(AQ38&gt;0,$AR$44*AQ38/SUMIF($AQ$8:$AQ$39,"&gt;0"),IF(AU38&gt;0,$AV$44*AU38/SUMIF($AU$8:$AU$39,"&gt;0"),IF(AS38&gt;0,$AT$44*AS38/SUMIF($AS$8:$AS$39,"&gt;0"),""))),IF(SUMIF(AJ39:$AJ$39,"=" &amp; AJ38,AI39:$AI$39)=0,"",SUMIF(AJ39:$AJ$39,"=" &amp; AJ38,AI39:$AI$39)))</f>
        <v>#N/A</v>
      </c>
      <c r="AJ38" s="139" t="e">
        <f t="shared" si="34"/>
        <v>#N/A</v>
      </c>
      <c r="AK38" s="453" t="str">
        <f t="shared" si="27"/>
        <v/>
      </c>
      <c r="AL38" s="146" t="str">
        <f t="shared" si="28"/>
        <v/>
      </c>
      <c r="AM38" s="146" t="str">
        <f t="shared" si="35"/>
        <v/>
      </c>
      <c r="AN38" s="146" t="str">
        <f>IF(ISNUMBER(AH38),IF(AND(AB38=0,ISNUMBER(AC38),ISNUMBER(AL38)),1,""),"")</f>
        <v/>
      </c>
      <c r="AO38" s="146" t="e">
        <f t="shared" si="6"/>
        <v>#N/A</v>
      </c>
      <c r="AP38" s="453" t="str">
        <f t="shared" si="7"/>
        <v/>
      </c>
      <c r="AQ38" s="140">
        <f t="shared" si="29"/>
        <v>0</v>
      </c>
      <c r="AR38" s="141" t="str">
        <f t="shared" si="8"/>
        <v/>
      </c>
      <c r="AS38" s="142">
        <f t="shared" si="30"/>
        <v>0</v>
      </c>
      <c r="AT38" s="141" t="str">
        <f t="shared" si="9"/>
        <v/>
      </c>
      <c r="AU38" s="143">
        <f t="shared" si="10"/>
        <v>0</v>
      </c>
      <c r="AV38" s="144" t="str">
        <f t="shared" si="11"/>
        <v/>
      </c>
      <c r="AW38" s="143" t="b">
        <f t="shared" si="12"/>
        <v>0</v>
      </c>
      <c r="AX38" s="145" t="b">
        <f t="shared" si="13"/>
        <v>0</v>
      </c>
      <c r="AY38" s="143" t="b">
        <f t="shared" si="14"/>
        <v>0</v>
      </c>
      <c r="AZ38" s="145" t="b">
        <f t="shared" si="15"/>
        <v>0</v>
      </c>
      <c r="BA38" s="453" t="b">
        <f t="shared" si="16"/>
        <v>0</v>
      </c>
      <c r="BB38" s="453" t="b">
        <f t="shared" si="17"/>
        <v>0</v>
      </c>
      <c r="BC38" s="143" t="b">
        <f t="shared" si="18"/>
        <v>0</v>
      </c>
      <c r="BD38" s="146" t="b">
        <f t="shared" si="31"/>
        <v>0</v>
      </c>
      <c r="BE38" s="145" t="b">
        <f t="shared" si="37"/>
        <v>0</v>
      </c>
      <c r="BF38" s="147" t="b">
        <f t="shared" si="39"/>
        <v>0</v>
      </c>
      <c r="BG38" s="453" t="str">
        <f t="shared" si="38"/>
        <v>NA</v>
      </c>
      <c r="BH38" s="453" t="str">
        <f t="shared" si="32"/>
        <v/>
      </c>
      <c r="BI38" s="453" t="str">
        <f t="shared" si="22"/>
        <v/>
      </c>
      <c r="BJ38" s="453" t="str">
        <f t="shared" si="23"/>
        <v/>
      </c>
      <c r="BK38" s="453" t="str">
        <f t="shared" si="24"/>
        <v/>
      </c>
      <c r="BL38" s="148" t="str">
        <f t="shared" si="33"/>
        <v/>
      </c>
      <c r="BM38" s="453" t="str">
        <f t="shared" si="25"/>
        <v/>
      </c>
      <c r="BN38" s="453" t="str">
        <f t="shared" si="26"/>
        <v/>
      </c>
      <c r="BO38" s="150" t="s">
        <v>373</v>
      </c>
      <c r="BP38" s="150"/>
      <c r="BQ38" s="150"/>
      <c r="BR38" s="150"/>
      <c r="BS38" s="150"/>
      <c r="BT38" s="150"/>
      <c r="BU38" s="150"/>
    </row>
    <row r="39" spans="2:73" s="94" customFormat="1" ht="12.95" customHeight="1" thickBot="1" x14ac:dyDescent="0.25">
      <c r="B39" s="151" t="str">
        <f>IF(ISNA(Z39),"",IF(OR(Z39=1,Z39=2),"    ",MAX($B$8:B38)+1))</f>
        <v/>
      </c>
      <c r="C39" s="904" t="str">
        <f t="shared" si="40"/>
        <v/>
      </c>
      <c r="D39" s="904"/>
      <c r="E39" s="904"/>
      <c r="F39" s="905"/>
      <c r="G39" s="171" t="str">
        <f t="shared" si="1"/>
        <v/>
      </c>
      <c r="H39" s="134" t="str">
        <f t="shared" si="2"/>
        <v/>
      </c>
      <c r="I39" s="172" t="str">
        <f t="shared" si="2"/>
        <v/>
      </c>
      <c r="J39" s="173"/>
      <c r="K39" s="174"/>
      <c r="L39" s="1018"/>
      <c r="M39" s="1019"/>
      <c r="N39" s="1019"/>
      <c r="O39" s="1019"/>
      <c r="P39" s="1019"/>
      <c r="Q39" s="1019"/>
      <c r="R39" s="1020"/>
      <c r="T39" s="99">
        <v>32</v>
      </c>
      <c r="U39" s="88" t="e">
        <v>#N/A</v>
      </c>
      <c r="V39" s="453" t="e">
        <v>#N/A</v>
      </c>
      <c r="W39" s="453" t="e">
        <v>#N/A</v>
      </c>
      <c r="X39" s="453" t="e">
        <v>#N/A</v>
      </c>
      <c r="Y39" s="453" t="e">
        <v>#N/A</v>
      </c>
      <c r="Z39" s="146" t="e">
        <v>#N/A</v>
      </c>
      <c r="AA39" s="146" t="e">
        <v>#N/A</v>
      </c>
      <c r="AB39" s="146" t="e">
        <v>#N/A</v>
      </c>
      <c r="AC39" s="453" t="e">
        <v>#N/A</v>
      </c>
      <c r="AD39" s="453" t="e">
        <v>#N/A</v>
      </c>
      <c r="AE39" s="453" t="e">
        <v>#N/A</v>
      </c>
      <c r="AF39" s="453" t="e">
        <v>#N/A</v>
      </c>
      <c r="AG39" s="453" t="e">
        <f t="shared" si="3"/>
        <v>#N/A</v>
      </c>
      <c r="AH39" s="453" t="str">
        <f t="shared" si="4"/>
        <v/>
      </c>
      <c r="AI39" s="138" t="e">
        <f>IF(NOT(OR(Z39=1,Z39=2)),IF(AQ39&gt;0,$AR$44*AQ39/SUMIF($AQ$8:$AQ$39,"&gt;0"),IF(AU39&gt;0,$AV$44*AU39/SUMIF($AU$8:$AU$39,"&gt;0"),IF(AS39&gt;0,$AT$44*AS39/SUMIF($AS$8:$AS$39,"&gt;0"),""))),IF(SUMIF(AJ$39:$AJ40,"=" &amp; AJ39,AI$39:$AI40)=0,"",SUMIF(AJ$39:$AJ40,"=" &amp; AJ39,AI$39:$AI40)))</f>
        <v>#N/A</v>
      </c>
      <c r="AJ39" s="139" t="e">
        <f t="shared" si="34"/>
        <v>#N/A</v>
      </c>
      <c r="AK39" s="453" t="str">
        <f t="shared" si="27"/>
        <v/>
      </c>
      <c r="AL39" s="146" t="str">
        <f t="shared" si="28"/>
        <v/>
      </c>
      <c r="AM39" s="146" t="str">
        <f t="shared" si="35"/>
        <v/>
      </c>
      <c r="AN39" s="146" t="str">
        <f>IF(ISNUMBER(AH39),IF(AND(AB39=0,ISNUMBER(AC39),ISNUMBER(AL39)),1,""),"")</f>
        <v/>
      </c>
      <c r="AO39" s="146" t="e">
        <f t="shared" si="6"/>
        <v>#N/A</v>
      </c>
      <c r="AP39" s="453" t="str">
        <f t="shared" si="7"/>
        <v/>
      </c>
      <c r="AQ39" s="140">
        <f t="shared" si="29"/>
        <v>0</v>
      </c>
      <c r="AR39" s="141" t="str">
        <f t="shared" si="8"/>
        <v/>
      </c>
      <c r="AS39" s="142">
        <f t="shared" si="30"/>
        <v>0</v>
      </c>
      <c r="AT39" s="141" t="str">
        <f t="shared" si="9"/>
        <v/>
      </c>
      <c r="AU39" s="143">
        <f t="shared" si="10"/>
        <v>0</v>
      </c>
      <c r="AV39" s="144" t="str">
        <f t="shared" si="11"/>
        <v/>
      </c>
      <c r="AW39" s="143" t="b">
        <f t="shared" si="12"/>
        <v>0</v>
      </c>
      <c r="AX39" s="145" t="b">
        <f t="shared" si="13"/>
        <v>0</v>
      </c>
      <c r="AY39" s="143" t="b">
        <f t="shared" si="14"/>
        <v>0</v>
      </c>
      <c r="AZ39" s="145" t="b">
        <f t="shared" si="15"/>
        <v>0</v>
      </c>
      <c r="BA39" s="453" t="b">
        <f t="shared" si="16"/>
        <v>0</v>
      </c>
      <c r="BB39" s="453" t="b">
        <f t="shared" si="17"/>
        <v>0</v>
      </c>
      <c r="BC39" s="143" t="b">
        <f t="shared" si="18"/>
        <v>0</v>
      </c>
      <c r="BD39" s="146" t="b">
        <f t="shared" si="31"/>
        <v>0</v>
      </c>
      <c r="BE39" s="145" t="b">
        <f t="shared" si="37"/>
        <v>0</v>
      </c>
      <c r="BF39" s="147" t="b">
        <f t="shared" si="39"/>
        <v>0</v>
      </c>
      <c r="BG39" s="453" t="str">
        <f t="shared" si="38"/>
        <v>NA</v>
      </c>
      <c r="BH39" s="453" t="str">
        <f t="shared" si="32"/>
        <v/>
      </c>
      <c r="BI39" s="453" t="str">
        <f t="shared" si="22"/>
        <v/>
      </c>
      <c r="BJ39" s="453" t="str">
        <f t="shared" si="23"/>
        <v/>
      </c>
      <c r="BK39" s="453" t="str">
        <f t="shared" si="24"/>
        <v/>
      </c>
      <c r="BL39" s="453" t="str">
        <f t="shared" si="33"/>
        <v/>
      </c>
      <c r="BM39" s="453" t="str">
        <f t="shared" si="25"/>
        <v/>
      </c>
      <c r="BN39" s="453" t="str">
        <f t="shared" si="26"/>
        <v/>
      </c>
      <c r="BO39" s="1023"/>
      <c r="BP39" s="1024"/>
      <c r="BQ39" s="1024"/>
      <c r="BR39" s="1024"/>
      <c r="BS39" s="1024"/>
      <c r="BT39" s="1024"/>
      <c r="BU39" s="1025"/>
    </row>
    <row r="40" spans="2:73" s="91" customFormat="1" ht="8.25" customHeight="1" x14ac:dyDescent="0.2">
      <c r="B40" s="915" t="s">
        <v>374</v>
      </c>
      <c r="C40" s="916"/>
      <c r="D40" s="917"/>
      <c r="E40" s="452" t="s">
        <v>375</v>
      </c>
      <c r="F40" s="918" t="s">
        <v>376</v>
      </c>
      <c r="G40" s="919"/>
      <c r="H40" s="919" t="s">
        <v>377</v>
      </c>
      <c r="I40" s="919"/>
      <c r="J40" s="920" t="s">
        <v>378</v>
      </c>
      <c r="K40" s="921"/>
      <c r="L40" s="175" t="s">
        <v>379</v>
      </c>
      <c r="M40" s="922" t="s">
        <v>380</v>
      </c>
      <c r="N40" s="922"/>
      <c r="O40" s="923" t="str">
        <f>IF(U44,"DO REVIEW","DO REV N/A")</f>
        <v>DO REVIEW</v>
      </c>
      <c r="P40" s="924"/>
      <c r="Q40" s="176" t="str">
        <f>IF(U45,"ED REVIEW","ED REV N/A")</f>
        <v>ED REVIEW</v>
      </c>
      <c r="R40" s="177"/>
      <c r="S40" s="178">
        <v>0</v>
      </c>
      <c r="AI40" s="179"/>
      <c r="AJ40" s="92"/>
      <c r="AK40" s="92"/>
      <c r="AL40" s="92"/>
      <c r="AM40" s="92"/>
      <c r="AN40" s="92"/>
      <c r="AO40" s="88"/>
      <c r="AP40" s="92"/>
      <c r="AQ40" s="180"/>
      <c r="AR40" s="92"/>
      <c r="AS40" s="180"/>
      <c r="AT40" s="92"/>
      <c r="AU40" s="180"/>
      <c r="AV40" s="181"/>
      <c r="AW40" s="92"/>
      <c r="AX40" s="92"/>
      <c r="AY40" s="92"/>
      <c r="AZ40" s="92"/>
      <c r="BA40" s="92"/>
      <c r="BB40" s="92"/>
      <c r="BC40" s="92"/>
      <c r="BD40" s="92"/>
      <c r="BE40" s="92"/>
      <c r="BF40" s="92"/>
      <c r="BG40" s="92"/>
      <c r="BH40" s="88"/>
      <c r="BI40" s="88"/>
      <c r="BJ40" s="88"/>
      <c r="BK40" s="88"/>
      <c r="BL40" s="88"/>
      <c r="BM40" s="88"/>
      <c r="BN40" s="88"/>
      <c r="BO40" s="1026"/>
      <c r="BP40" s="1027"/>
      <c r="BQ40" s="1027"/>
      <c r="BR40" s="1027"/>
      <c r="BS40" s="1027"/>
      <c r="BT40" s="1027"/>
      <c r="BU40" s="1028"/>
    </row>
    <row r="41" spans="2:73" ht="18.75" customHeight="1" thickBot="1" x14ac:dyDescent="0.25">
      <c r="B41" s="925" t="str">
        <f>IF(ISERROR(AR46),"",TEXT(AR45,"0.0%"))</f>
        <v>0.0%</v>
      </c>
      <c r="C41" s="926"/>
      <c r="D41" s="927"/>
      <c r="E41" s="182" t="str">
        <f>IF(AU41=0,"N/A",CONCATENATE(TEXT(AV45,"0.0%")," of ",TEXT(AV44,"0.0%")))</f>
        <v>N/A</v>
      </c>
      <c r="F41" s="929" t="str">
        <f>IF((graded_aca_events+graded_amn_events)&lt;1,"---",IF(AND(AW4,AX4),"INCOMPLETE",IF(AND(NOT(AW4),AX4),"ACA INC",IF(AND(AW4,NOT(AX4)),"AMN INC","COMPLETE"))))</f>
        <v>---</v>
      </c>
      <c r="G41" s="929"/>
      <c r="H41" s="929" t="str">
        <f>IF(AU4,IF(OR(AY4="UNK",NOT(AN6)),"---",IF(AY4,"UNSAT",IF(AVERAGEIFS(AT8:AT39,AS8:AS39,"&gt;0")&lt;0.9,"MARG","SAT"))),"N/A")</f>
        <v>---</v>
      </c>
      <c r="I41" s="929"/>
      <c r="J41" s="930" t="str">
        <f>IF(OR(AZ4="UNK",NOT(AM6)),"---",IF(OR(AZ4,AR45&lt;0.7),"FAIL","PASS"))</f>
        <v>---</v>
      </c>
      <c r="K41" s="931"/>
      <c r="L41" s="430"/>
      <c r="M41" s="932"/>
      <c r="N41" s="932"/>
      <c r="O41" s="1021" t="s">
        <v>265</v>
      </c>
      <c r="P41" s="1021"/>
      <c r="Q41" s="1021" t="s">
        <v>265</v>
      </c>
      <c r="R41" s="1022"/>
      <c r="S41" s="183"/>
      <c r="T41" s="99" t="s">
        <v>381</v>
      </c>
      <c r="U41" s="146" t="s">
        <v>382</v>
      </c>
      <c r="V41" s="184"/>
      <c r="W41" s="184"/>
      <c r="X41" s="184"/>
      <c r="Y41" s="184"/>
      <c r="Z41" s="184"/>
      <c r="AA41" s="184"/>
      <c r="AB41" s="184"/>
      <c r="AC41" s="184"/>
      <c r="AD41" s="184"/>
      <c r="AE41" s="184"/>
      <c r="AF41" s="184"/>
      <c r="AG41" s="184"/>
      <c r="AH41" s="184"/>
      <c r="AI41" s="86"/>
      <c r="AJ41" s="85"/>
      <c r="AK41" s="184"/>
      <c r="AL41" s="184"/>
      <c r="AM41" s="184">
        <f>SUM(AM8:AM39)</f>
        <v>0</v>
      </c>
      <c r="AN41" s="184">
        <f>SUM(AN8:AN39)</f>
        <v>0</v>
      </c>
      <c r="AO41" s="99"/>
      <c r="AP41" s="85"/>
      <c r="AQ41" s="185">
        <f>SUMIF(AQ8:AQ39,"&gt;0")</f>
        <v>28</v>
      </c>
      <c r="AR41" s="186">
        <f>IF(AQ41=0,0,SUMPRODUCT($AQ$8:$AQ$39,AR8:AR39)/SUM($AQ$8:$AQ$39))</f>
        <v>0</v>
      </c>
      <c r="AS41" s="187">
        <f>SUMIF(AS8:AS39,"&gt;0")</f>
        <v>5</v>
      </c>
      <c r="AT41" s="186">
        <f>IF(AS41=0,0,SUMPRODUCT($AS$8:$AS$39,AT8:AT39)/SUM($AS$8:$AS$39))</f>
        <v>0</v>
      </c>
      <c r="AU41" s="187">
        <f>SUM(AU9:AU39)</f>
        <v>0</v>
      </c>
      <c r="AV41" s="186">
        <f>IF(AU41=0,0,SUMPRODUCT($AU$8:$AU$39,AV8:AV39)/SUM($AU$8:$AU$39))</f>
        <v>0</v>
      </c>
      <c r="AW41" s="188"/>
      <c r="AX41" s="188"/>
      <c r="AY41" s="188"/>
      <c r="AZ41" s="188"/>
      <c r="BA41" s="188"/>
      <c r="BB41" s="188"/>
      <c r="BC41" s="88" t="s">
        <v>383</v>
      </c>
      <c r="BD41" s="88" t="s">
        <v>384</v>
      </c>
      <c r="BE41" s="88" t="s">
        <v>385</v>
      </c>
      <c r="BO41" s="1026"/>
      <c r="BP41" s="1027"/>
      <c r="BQ41" s="1027"/>
      <c r="BR41" s="1027"/>
      <c r="BS41" s="1027"/>
      <c r="BT41" s="1027"/>
      <c r="BU41" s="1028"/>
    </row>
    <row r="42" spans="2:73" ht="7.5" customHeight="1" thickTop="1" x14ac:dyDescent="0.2">
      <c r="L42" s="928" t="s">
        <v>708</v>
      </c>
      <c r="M42" s="928"/>
      <c r="N42" s="928"/>
      <c r="O42" s="928"/>
      <c r="P42" s="928"/>
      <c r="Q42" s="928"/>
      <c r="R42" s="928"/>
      <c r="AP42" s="184"/>
      <c r="AQ42" s="85"/>
      <c r="AR42" s="85"/>
      <c r="AT42" s="186"/>
      <c r="AU42" s="186"/>
      <c r="AV42" s="186"/>
      <c r="AW42" s="85"/>
      <c r="AX42" s="186"/>
      <c r="BO42" s="1029"/>
      <c r="BP42" s="1030"/>
      <c r="BQ42" s="1030"/>
      <c r="BR42" s="1030"/>
      <c r="BS42" s="1030"/>
      <c r="BT42" s="1030"/>
      <c r="BU42" s="1031"/>
    </row>
    <row r="43" spans="2:73" ht="30.75" customHeight="1" x14ac:dyDescent="0.2">
      <c r="T43" s="189" t="s">
        <v>386</v>
      </c>
      <c r="U43" s="146" t="b">
        <v>0</v>
      </c>
      <c r="AI43" s="89">
        <f ca="1">SUMIF(AJ8:$AJ$39,"=" &amp; AJ8,AI9:$AI$39)</f>
        <v>0</v>
      </c>
      <c r="AO43" s="190"/>
      <c r="AS43" s="118" t="s">
        <v>387</v>
      </c>
      <c r="AT43" s="191">
        <f>SUMIF(X8:X39,"&gt;0")/SUMIF(W8:W39,"&gt;0")</f>
        <v>0.17857142857142858</v>
      </c>
      <c r="AU43" s="118" t="s">
        <v>388</v>
      </c>
      <c r="AV43" s="192">
        <f>SUMIF(AU8:AU39,"&gt;0")/SUMIF(AQ8:AQ39,"&gt;0")</f>
        <v>0</v>
      </c>
      <c r="AW43" s="193"/>
      <c r="BE43" s="88" t="b">
        <f>AND(ISBLANK($K30),J30&gt;0)</f>
        <v>0</v>
      </c>
      <c r="BO43" s="88"/>
      <c r="BP43" s="88"/>
      <c r="BQ43" s="90"/>
    </row>
    <row r="44" spans="2:73" ht="30.75" customHeight="1" x14ac:dyDescent="0.2">
      <c r="J44" s="194"/>
      <c r="T44" s="195" t="s">
        <v>389</v>
      </c>
      <c r="U44" s="88" t="b">
        <f>IF(AND(Flight?,OR(AW4,AY4,BA4,AZ4,AR45&lt;0.7,H41="MARG")),TRUE,FALSE)</f>
        <v>1</v>
      </c>
      <c r="AO44" s="196"/>
      <c r="AQ44" s="118" t="s">
        <v>390</v>
      </c>
      <c r="AR44" s="191">
        <f>1-AT44</f>
        <v>1</v>
      </c>
      <c r="AS44" s="118" t="s">
        <v>391</v>
      </c>
      <c r="AT44" s="191">
        <f>MIN(AT43,AT6)</f>
        <v>0</v>
      </c>
      <c r="AU44" s="118" t="s">
        <v>392</v>
      </c>
      <c r="AV44" s="89">
        <f>MIN(AV43,AV6)</f>
        <v>0</v>
      </c>
      <c r="BO44" s="88"/>
      <c r="BP44" s="88"/>
      <c r="BQ44" s="90"/>
    </row>
    <row r="45" spans="2:73" ht="25.5" x14ac:dyDescent="0.2">
      <c r="T45" s="195" t="s">
        <v>393</v>
      </c>
      <c r="U45" s="88" t="b">
        <f>IF(OR(AX4,AY4,AZ4,BB4,AR45&lt;0.7),TRUE,FALSE)</f>
        <v>1</v>
      </c>
      <c r="AO45" s="197"/>
      <c r="AQ45" s="118" t="s">
        <v>394</v>
      </c>
      <c r="AR45" s="89">
        <f>AR41*(1-AT44)+(AT41*AT44)</f>
        <v>0</v>
      </c>
      <c r="AU45" s="88" t="s">
        <v>324</v>
      </c>
      <c r="AV45" s="89">
        <f>AV41*AV44</f>
        <v>0</v>
      </c>
      <c r="BO45" s="88"/>
      <c r="BP45" s="88"/>
      <c r="BQ45" s="90"/>
    </row>
    <row r="46" spans="2:73" ht="25.5" x14ac:dyDescent="0.2">
      <c r="T46" s="195" t="s">
        <v>395</v>
      </c>
      <c r="U46" s="88" t="b">
        <v>0</v>
      </c>
      <c r="AO46" s="197"/>
      <c r="AQ46" s="118" t="s">
        <v>396</v>
      </c>
      <c r="AR46" s="89">
        <f>MIN(1,IF(NOT(OR(AY4,AZ4)),AR45+AV45,MIN(0.69,AR45+AV45)))</f>
        <v>0</v>
      </c>
      <c r="BO46" s="88"/>
      <c r="BP46" s="88"/>
      <c r="BQ46" s="90"/>
    </row>
    <row r="47" spans="2:73" x14ac:dyDescent="0.2">
      <c r="T47" s="195" t="s">
        <v>397</v>
      </c>
      <c r="U47" s="88" t="b">
        <f>IF(NOT(Flight?),TRUE,NOT(OR(ISBLANK(comments),ISBLANK(hdr_class),ISBLANK(hdr_date),ISBLANK(hdr_stud),ISBLANK(hdr_instr),ISBLANK(hdr_acft),ISBLANK(hdr_time),F41="---")))</f>
        <v>0</v>
      </c>
      <c r="AO47" s="197"/>
      <c r="AR47" s="118"/>
      <c r="AS47" s="89"/>
    </row>
    <row r="48" spans="2:73" x14ac:dyDescent="0.2">
      <c r="T48" s="195" t="s">
        <v>398</v>
      </c>
      <c r="U48" s="88" t="b">
        <f>IF(Flight?,TRUE,NOT(OR(ISBLANK(comments),ISBLANK(hdr_class),ISBLANK(hdr_date),ISBLANK(hdr_stud),ISBLANK(hdr_instr),F41="---")))</f>
        <v>1</v>
      </c>
      <c r="AO48" s="196"/>
      <c r="AP48" s="85" t="s">
        <v>399</v>
      </c>
      <c r="AQ48" s="85"/>
      <c r="AR48" s="85"/>
      <c r="AS48" s="85"/>
      <c r="AT48" s="85"/>
    </row>
    <row r="49" spans="20:50" x14ac:dyDescent="0.2">
      <c r="T49" s="195" t="s">
        <v>400</v>
      </c>
      <c r="U49" s="88" t="b">
        <f>AND(U47:U48)</f>
        <v>0</v>
      </c>
      <c r="AO49" s="196"/>
      <c r="AP49" s="85"/>
      <c r="AQ49" s="85"/>
      <c r="AR49" s="85">
        <v>0</v>
      </c>
      <c r="AS49" s="85">
        <v>1</v>
      </c>
      <c r="AT49" s="85">
        <v>2</v>
      </c>
      <c r="AU49" s="85">
        <v>3</v>
      </c>
      <c r="AV49" s="85">
        <v>4</v>
      </c>
    </row>
    <row r="50" spans="20:50" x14ac:dyDescent="0.2">
      <c r="AO50" s="196"/>
      <c r="AP50" s="85" t="s">
        <v>359</v>
      </c>
      <c r="AQ50" s="85">
        <v>1</v>
      </c>
      <c r="AR50" s="198">
        <v>0.7</v>
      </c>
      <c r="AS50" s="198">
        <v>0.9</v>
      </c>
      <c r="AT50" s="198">
        <v>0.93330000000000002</v>
      </c>
      <c r="AU50" s="198">
        <v>0.9667</v>
      </c>
      <c r="AV50" s="198">
        <v>1</v>
      </c>
    </row>
    <row r="51" spans="20:50" x14ac:dyDescent="0.2">
      <c r="AO51" s="196"/>
      <c r="AP51" s="85" t="s">
        <v>360</v>
      </c>
      <c r="AQ51" s="85">
        <v>2</v>
      </c>
      <c r="AR51" s="198">
        <v>0.7</v>
      </c>
      <c r="AS51" s="198">
        <v>0.8</v>
      </c>
      <c r="AT51" s="198">
        <v>0.9</v>
      </c>
      <c r="AU51" s="198">
        <v>0.95</v>
      </c>
      <c r="AV51" s="198">
        <v>1</v>
      </c>
    </row>
    <row r="52" spans="20:50" x14ac:dyDescent="0.2">
      <c r="AO52" s="196"/>
      <c r="AP52" s="85" t="s">
        <v>361</v>
      </c>
      <c r="AQ52" s="85">
        <v>3</v>
      </c>
      <c r="AR52" s="198">
        <v>0.7</v>
      </c>
      <c r="AS52" s="198">
        <v>0.76670000000000005</v>
      </c>
      <c r="AT52" s="198">
        <v>0.83330000000000004</v>
      </c>
      <c r="AU52" s="198">
        <v>0.9</v>
      </c>
      <c r="AV52" s="198">
        <v>1</v>
      </c>
    </row>
    <row r="53" spans="20:50" x14ac:dyDescent="0.2">
      <c r="AP53" s="199" t="s">
        <v>362</v>
      </c>
      <c r="AQ53" s="85">
        <v>11</v>
      </c>
      <c r="AR53" s="198">
        <v>0.6</v>
      </c>
      <c r="AS53" s="198">
        <v>0.9</v>
      </c>
      <c r="AT53" s="198">
        <v>0.93330000000000002</v>
      </c>
      <c r="AU53" s="198">
        <v>0.9667</v>
      </c>
      <c r="AV53" s="198">
        <v>1</v>
      </c>
    </row>
    <row r="54" spans="20:50" x14ac:dyDescent="0.2">
      <c r="AP54" s="199" t="s">
        <v>363</v>
      </c>
      <c r="AQ54" s="85">
        <v>12</v>
      </c>
      <c r="AR54" s="198">
        <v>0.6</v>
      </c>
      <c r="AS54" s="198">
        <v>0.7</v>
      </c>
      <c r="AT54" s="198">
        <v>0.9</v>
      </c>
      <c r="AU54" s="198">
        <v>0.95</v>
      </c>
      <c r="AV54" s="198">
        <v>1</v>
      </c>
    </row>
    <row r="55" spans="20:50" x14ac:dyDescent="0.2">
      <c r="AP55" s="199" t="s">
        <v>364</v>
      </c>
      <c r="AQ55" s="85">
        <v>13</v>
      </c>
      <c r="AR55" s="198">
        <v>0.6</v>
      </c>
      <c r="AS55" s="198">
        <v>0.7</v>
      </c>
      <c r="AT55" s="198">
        <v>0.8</v>
      </c>
      <c r="AU55" s="198">
        <v>0.9</v>
      </c>
      <c r="AV55" s="198">
        <v>1</v>
      </c>
    </row>
    <row r="56" spans="20:50" x14ac:dyDescent="0.2">
      <c r="AP56" s="199" t="s">
        <v>365</v>
      </c>
      <c r="AQ56" s="85">
        <v>22</v>
      </c>
      <c r="AR56" s="198">
        <v>0.3</v>
      </c>
      <c r="AS56" s="198">
        <v>0.6</v>
      </c>
      <c r="AT56" s="198">
        <v>0.9</v>
      </c>
      <c r="AU56" s="198">
        <v>0.95</v>
      </c>
      <c r="AV56" s="198">
        <v>1</v>
      </c>
    </row>
    <row r="57" spans="20:50" x14ac:dyDescent="0.2">
      <c r="AP57" s="199" t="s">
        <v>366</v>
      </c>
      <c r="AQ57" s="85">
        <v>23</v>
      </c>
      <c r="AR57" s="198">
        <v>0.3</v>
      </c>
      <c r="AS57" s="198">
        <v>0.6</v>
      </c>
      <c r="AT57" s="198">
        <v>0.7</v>
      </c>
      <c r="AU57" s="198">
        <v>0.9</v>
      </c>
      <c r="AV57" s="198">
        <v>1</v>
      </c>
    </row>
    <row r="58" spans="20:50" x14ac:dyDescent="0.2">
      <c r="AP58" s="199" t="s">
        <v>367</v>
      </c>
      <c r="AQ58" s="85">
        <v>33</v>
      </c>
      <c r="AR58" s="198">
        <v>0</v>
      </c>
      <c r="AS58" s="198">
        <v>0.3</v>
      </c>
      <c r="AT58" s="198">
        <v>0.6</v>
      </c>
      <c r="AU58" s="198">
        <v>0.9</v>
      </c>
      <c r="AV58" s="198">
        <v>1</v>
      </c>
      <c r="AW58" s="85"/>
    </row>
    <row r="60" spans="20:50" x14ac:dyDescent="0.2">
      <c r="AQ60" s="85"/>
      <c r="AW60" s="85"/>
      <c r="AX60" s="85"/>
    </row>
    <row r="61" spans="20:50" x14ac:dyDescent="0.2">
      <c r="AP61" s="200"/>
      <c r="AQ61" s="85"/>
      <c r="AW61" s="85"/>
      <c r="AX61" s="85"/>
    </row>
    <row r="62" spans="20:50" x14ac:dyDescent="0.2">
      <c r="AP62" s="85"/>
      <c r="AQ62" s="85"/>
      <c r="AW62" s="85"/>
      <c r="AX62" s="85"/>
    </row>
    <row r="63" spans="20:50" x14ac:dyDescent="0.2">
      <c r="AP63" s="85"/>
      <c r="AQ63" s="85"/>
      <c r="AW63" s="85"/>
    </row>
    <row r="64" spans="20:50" x14ac:dyDescent="0.2">
      <c r="AP64" s="85"/>
      <c r="AQ64" s="85"/>
      <c r="AW64" s="85"/>
    </row>
    <row r="65" spans="42:43" x14ac:dyDescent="0.2">
      <c r="AP65" s="85"/>
      <c r="AQ65" s="85"/>
    </row>
    <row r="66" spans="42:43" x14ac:dyDescent="0.2">
      <c r="AP66" s="85"/>
      <c r="AQ66" s="85"/>
    </row>
  </sheetData>
  <sheetProtection algorithmName="SHA-512" hashValue="ZRobrgic4eS6GVHhAv2P/etULsdJYc8k+o0hYZfO0vzbfH7n0gdSXPOKWqUEA9Ncp8ttOX5Dr/oCTr5WZfAwfg==" saltValue="KZhqwrkywzdeCcUdLwgdrg==" spinCount="100000" sheet="1" selectLockedCells="1"/>
  <mergeCells count="76">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 ref="BO34:BU37"/>
    <mergeCell ref="C35:F35"/>
    <mergeCell ref="C36:F36"/>
    <mergeCell ref="C37:F37"/>
    <mergeCell ref="C38:F38"/>
    <mergeCell ref="BQ19:BU19"/>
    <mergeCell ref="C20:F20"/>
    <mergeCell ref="C21:F21"/>
    <mergeCell ref="BO21:BO29"/>
    <mergeCell ref="C22:F22"/>
    <mergeCell ref="C23:F23"/>
    <mergeCell ref="C24:F24"/>
    <mergeCell ref="C25:F25"/>
    <mergeCell ref="C26:F26"/>
    <mergeCell ref="C27:F27"/>
    <mergeCell ref="C28:F28"/>
    <mergeCell ref="C29:F29"/>
    <mergeCell ref="C32:F32"/>
    <mergeCell ref="C33:F33"/>
    <mergeCell ref="C34:F34"/>
    <mergeCell ref="C13:F13"/>
    <mergeCell ref="C14:F14"/>
    <mergeCell ref="C15:F15"/>
    <mergeCell ref="C16:F16"/>
    <mergeCell ref="C31:F31"/>
    <mergeCell ref="C18:F18"/>
    <mergeCell ref="C19:F19"/>
    <mergeCell ref="C30:F30"/>
    <mergeCell ref="Q5:R5"/>
    <mergeCell ref="B6:E6"/>
    <mergeCell ref="F6:G6"/>
    <mergeCell ref="H6:L6"/>
    <mergeCell ref="C17:F17"/>
    <mergeCell ref="M6:N6"/>
    <mergeCell ref="O6:P6"/>
    <mergeCell ref="Q6:R6"/>
    <mergeCell ref="B7:F7"/>
    <mergeCell ref="L7:R7"/>
    <mergeCell ref="C8:F8"/>
    <mergeCell ref="L8:R39"/>
    <mergeCell ref="C9:F9"/>
    <mergeCell ref="C10:F10"/>
    <mergeCell ref="C11:F11"/>
    <mergeCell ref="C12:F12"/>
    <mergeCell ref="B3:G3"/>
    <mergeCell ref="H3:N3"/>
    <mergeCell ref="O3:P3"/>
    <mergeCell ref="Q3:R3"/>
    <mergeCell ref="BP3:BU4"/>
    <mergeCell ref="B4:G4"/>
    <mergeCell ref="H4:N4"/>
    <mergeCell ref="O4:P4"/>
    <mergeCell ref="Q4:R4"/>
    <mergeCell ref="BH4:BK6"/>
    <mergeCell ref="BL4:BN6"/>
    <mergeCell ref="B5:E5"/>
    <mergeCell ref="F5:G5"/>
    <mergeCell ref="H5:L5"/>
    <mergeCell ref="M5:N5"/>
    <mergeCell ref="O5:P5"/>
  </mergeCells>
  <conditionalFormatting sqref="B8:F39">
    <cfRule type="expression" dxfId="202" priority="8" stopIfTrue="1">
      <formula>IF($Z8=1,TRUE,FALSE)</formula>
    </cfRule>
    <cfRule type="expression" dxfId="201" priority="9">
      <formula>IF($Z8=2,TRUE,FALSE)</formula>
    </cfRule>
  </conditionalFormatting>
  <conditionalFormatting sqref="C8:F39">
    <cfRule type="expression" dxfId="200" priority="1" stopIfTrue="1">
      <formula>IF($AF8=FALSE,TRUE,FALSE)</formula>
    </cfRule>
  </conditionalFormatting>
  <conditionalFormatting sqref="F5:G6 M5:P6">
    <cfRule type="expression" dxfId="199" priority="4" stopIfTrue="1">
      <formula>NOT($AU$4)</formula>
    </cfRule>
  </conditionalFormatting>
  <conditionalFormatting sqref="F6:G6">
    <cfRule type="cellIs" dxfId="198" priority="3" operator="equal">
      <formula>""</formula>
    </cfRule>
  </conditionalFormatting>
  <conditionalFormatting sqref="G8:K39">
    <cfRule type="expression" dxfId="197" priority="6" stopIfTrue="1">
      <formula>IF($Z8=1,TRUE,FALSE)</formula>
    </cfRule>
    <cfRule type="expression" dxfId="196" priority="7" stopIfTrue="1">
      <formula>IF($Z8=2,TRUE,FALSE)</formula>
    </cfRule>
  </conditionalFormatting>
  <conditionalFormatting sqref="H8:H39">
    <cfRule type="expression" dxfId="195" priority="10" stopIfTrue="1">
      <formula>IF($AB8=0,TRUE,FALSE)</formula>
    </cfRule>
  </conditionalFormatting>
  <conditionalFormatting sqref="H40:I41">
    <cfRule type="expression" dxfId="194" priority="2" stopIfTrue="1">
      <formula>IF($H$41="N/A",TRUE,FALSE)</formula>
    </cfRule>
  </conditionalFormatting>
  <conditionalFormatting sqref="H6:P6 O4:R4 B6 L8 L41 O41:R41">
    <cfRule type="containsBlanks" dxfId="193" priority="5">
      <formula>LEN(TRIM(B4))=0</formula>
    </cfRule>
  </conditionalFormatting>
  <conditionalFormatting sqref="J8:J39">
    <cfRule type="expression" dxfId="192" priority="14">
      <formula>IF($Z8=1,FALSE,OR($BE8,$BD8))</formula>
    </cfRule>
  </conditionalFormatting>
  <conditionalFormatting sqref="J8:K39 C8:F39">
    <cfRule type="expression" dxfId="191" priority="13">
      <formula>IF($Z8=1,FALSE,OR($AW8,$AX8,$AY8,$AZ8))</formula>
    </cfRule>
  </conditionalFormatting>
  <conditionalFormatting sqref="J8:K39">
    <cfRule type="expression" dxfId="190" priority="11" stopIfTrue="1">
      <formula>IF(ISNA($Z8),TRUE,FALSE)</formula>
    </cfRule>
  </conditionalFormatting>
  <conditionalFormatting sqref="K8:K39">
    <cfRule type="expression" dxfId="189" priority="12">
      <formula>IF(OR($Z8=1,$Z8=2),FALSE,OR($BC8,$BE8,$BF8))</formula>
    </cfRule>
  </conditionalFormatting>
  <dataValidations count="6">
    <dataValidation type="date" allowBlank="1" showInputMessage="1" showErrorMessage="1" sqref="Q4:R4" xr:uid="{F3F3E489-6062-40A7-A898-CA55E93FCDC9}">
      <formula1>41151</formula1>
      <formula2>77433</formula2>
    </dataValidation>
    <dataValidation type="decimal" allowBlank="1" showInputMessage="1" showErrorMessage="1" sqref="O6:P6" xr:uid="{7D566BBF-9D02-47DC-B608-10BC7D0B51FE}">
      <formula1>0</formula1>
      <formula2>10</formula2>
    </dataValidation>
    <dataValidation showInputMessage="1" showErrorMessage="1" sqref="O41:R41" xr:uid="{D712948E-B988-4791-8607-435A4B5FC6BE}"/>
    <dataValidation type="list" allowBlank="1" showInputMessage="1" showErrorMessage="1" sqref="K8:K39" xr:uid="{A7E9F28D-0816-4D29-99CC-25AC94D08C2F}">
      <formula1>"D,0,1,2,3,4"</formula1>
    </dataValidation>
    <dataValidation type="list" allowBlank="1" showInputMessage="1" showErrorMessage="1" sqref="J8:J39" xr:uid="{DFC84987-81AE-44F3-BF67-46F74C52B1AC}">
      <formula1>"NA,0,1,2,3,4,5,6,7,8,9,10,11,12,13,14,15"</formula1>
    </dataValidation>
    <dataValidation type="list" allowBlank="1" showInputMessage="1" showErrorMessage="1" sqref="F6:G6" xr:uid="{50D6E4E5-E27A-429B-80C6-6A06848D5E48}">
      <formula1>"No,Yes"</formula1>
    </dataValidation>
  </dataValidations>
  <hyperlinks>
    <hyperlink ref="BP3" location="PF!A1" display="PF phase Summary Page" xr:uid="{9E60D393-CFDC-4BAC-88E2-A66F1BE87DDB}"/>
    <hyperlink ref="BP3:BU4" location="FQ!A1" display="FQ Summary Page" xr:uid="{EB224578-2325-4973-9685-C8E8E8B7AF1B}"/>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4914"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294915"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294916"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294917"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294918"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633FB5-CB7E-4E9C-A613-D8D52A48D497}">
  <sheetPr>
    <tabColor rgb="FF00B050"/>
  </sheetPr>
  <dimension ref="A1:N31"/>
  <sheetViews>
    <sheetView workbookViewId="0">
      <selection activeCell="B17" sqref="B17"/>
    </sheetView>
  </sheetViews>
  <sheetFormatPr defaultColWidth="9.140625" defaultRowHeight="15" x14ac:dyDescent="0.25"/>
  <cols>
    <col min="1" max="1" width="35" style="848" bestFit="1" customWidth="1"/>
    <col min="2" max="2" width="11" style="848" bestFit="1" customWidth="1"/>
    <col min="3" max="3" width="13" style="848" customWidth="1"/>
    <col min="4" max="4" width="8.7109375" style="848" customWidth="1"/>
    <col min="5" max="5" width="12.5703125" style="848" customWidth="1"/>
    <col min="6" max="6" width="13.7109375" style="848" customWidth="1"/>
    <col min="7" max="7" width="16.28515625" style="848" customWidth="1"/>
    <col min="8" max="16384" width="9.140625" style="848"/>
  </cols>
  <sheetData>
    <row r="1" spans="1:14" ht="15.75" thickBot="1" x14ac:dyDescent="0.3">
      <c r="A1" s="1293" t="s">
        <v>1008</v>
      </c>
      <c r="B1" s="843" t="s">
        <v>566</v>
      </c>
      <c r="C1" s="844"/>
      <c r="D1" s="843" t="s">
        <v>404</v>
      </c>
      <c r="E1" s="845"/>
      <c r="F1" s="846"/>
      <c r="G1" s="847"/>
    </row>
    <row r="2" spans="1:14" ht="19.5" thickBot="1" x14ac:dyDescent="0.35">
      <c r="A2" s="1294"/>
      <c r="B2" s="849" t="s">
        <v>567</v>
      </c>
      <c r="C2" s="1296"/>
      <c r="D2" s="1297"/>
      <c r="E2" s="1298"/>
      <c r="F2" s="850"/>
      <c r="G2" s="851"/>
      <c r="I2" s="445"/>
      <c r="J2" s="445"/>
      <c r="K2" s="445"/>
    </row>
    <row r="3" spans="1:14" ht="27" thickBot="1" x14ac:dyDescent="0.3">
      <c r="A3" s="1295"/>
      <c r="B3" s="852" t="s">
        <v>568</v>
      </c>
      <c r="C3" s="1299"/>
      <c r="D3" s="1300"/>
      <c r="E3" s="1301"/>
      <c r="F3" s="853" t="s">
        <v>569</v>
      </c>
      <c r="G3" s="854"/>
      <c r="I3" s="1033" t="s">
        <v>843</v>
      </c>
      <c r="J3" s="1033"/>
      <c r="K3" s="1033"/>
      <c r="L3" s="1033"/>
      <c r="M3" s="1033"/>
      <c r="N3" s="1033"/>
    </row>
    <row r="4" spans="1:14" ht="15.75" thickBot="1" x14ac:dyDescent="0.3">
      <c r="A4" s="855" t="s">
        <v>464</v>
      </c>
      <c r="B4" s="856"/>
      <c r="C4" s="857" t="s">
        <v>570</v>
      </c>
      <c r="D4" s="857"/>
      <c r="E4" s="857"/>
      <c r="F4" s="857"/>
      <c r="G4" s="858"/>
      <c r="I4" s="1033"/>
      <c r="J4" s="1033"/>
      <c r="K4" s="1033"/>
      <c r="L4" s="1033"/>
      <c r="M4" s="1033"/>
      <c r="N4" s="1033"/>
    </row>
    <row r="5" spans="1:14" x14ac:dyDescent="0.25">
      <c r="A5" s="859" t="s">
        <v>1009</v>
      </c>
      <c r="B5" s="860"/>
      <c r="C5" s="1287"/>
      <c r="D5" s="1288"/>
      <c r="E5" s="1288"/>
      <c r="F5" s="1288"/>
      <c r="G5" s="1289"/>
    </row>
    <row r="6" spans="1:14" x14ac:dyDescent="0.25">
      <c r="A6" s="859" t="s">
        <v>1010</v>
      </c>
      <c r="B6" s="860"/>
      <c r="C6" s="1302"/>
      <c r="D6" s="1303"/>
      <c r="E6" s="1303"/>
      <c r="F6" s="1303"/>
      <c r="G6" s="1304"/>
    </row>
    <row r="7" spans="1:14" x14ac:dyDescent="0.25">
      <c r="A7" s="859" t="s">
        <v>1011</v>
      </c>
      <c r="B7" s="860"/>
      <c r="C7" s="1302"/>
      <c r="D7" s="1303"/>
      <c r="E7" s="1303"/>
      <c r="F7" s="1303"/>
      <c r="G7" s="1304"/>
    </row>
    <row r="8" spans="1:14" x14ac:dyDescent="0.25">
      <c r="A8" s="859" t="s">
        <v>574</v>
      </c>
      <c r="B8" s="860"/>
      <c r="C8" s="1302"/>
      <c r="D8" s="1303"/>
      <c r="E8" s="1303"/>
      <c r="F8" s="1303"/>
      <c r="G8" s="1304"/>
    </row>
    <row r="9" spans="1:14" x14ac:dyDescent="0.25">
      <c r="A9" s="861" t="s">
        <v>466</v>
      </c>
      <c r="B9" s="860"/>
      <c r="C9" s="1302"/>
      <c r="D9" s="1303"/>
      <c r="E9" s="1303"/>
      <c r="F9" s="1303"/>
      <c r="G9" s="1304"/>
    </row>
    <row r="10" spans="1:14" x14ac:dyDescent="0.25">
      <c r="A10" s="859" t="s">
        <v>576</v>
      </c>
      <c r="B10" s="860"/>
      <c r="C10" s="1302"/>
      <c r="D10" s="1303"/>
      <c r="E10" s="1303"/>
      <c r="F10" s="1303"/>
      <c r="G10" s="1304"/>
    </row>
    <row r="11" spans="1:14" x14ac:dyDescent="0.25">
      <c r="A11" s="859" t="s">
        <v>1012</v>
      </c>
      <c r="B11" s="860"/>
      <c r="C11" s="1302"/>
      <c r="D11" s="1303"/>
      <c r="E11" s="1303"/>
      <c r="F11" s="1303"/>
      <c r="G11" s="1304"/>
    </row>
    <row r="12" spans="1:14" x14ac:dyDescent="0.25">
      <c r="A12" s="859" t="s">
        <v>1013</v>
      </c>
      <c r="B12" s="860"/>
      <c r="C12" s="1302"/>
      <c r="D12" s="1303"/>
      <c r="E12" s="1303"/>
      <c r="F12" s="1303"/>
      <c r="G12" s="1304"/>
    </row>
    <row r="13" spans="1:14" x14ac:dyDescent="0.25">
      <c r="A13" s="861" t="s">
        <v>468</v>
      </c>
      <c r="B13" s="860"/>
      <c r="C13" s="1302"/>
      <c r="D13" s="1303"/>
      <c r="E13" s="1303"/>
      <c r="F13" s="1303"/>
      <c r="G13" s="1304"/>
    </row>
    <row r="14" spans="1:14" x14ac:dyDescent="0.25">
      <c r="A14" s="859" t="s">
        <v>1014</v>
      </c>
      <c r="B14" s="860"/>
      <c r="C14" s="1302"/>
      <c r="D14" s="1303"/>
      <c r="E14" s="1303"/>
      <c r="F14" s="1303"/>
      <c r="G14" s="1304"/>
    </row>
    <row r="15" spans="1:14" x14ac:dyDescent="0.25">
      <c r="A15" s="859" t="s">
        <v>1015</v>
      </c>
      <c r="B15" s="860"/>
      <c r="C15" s="1302"/>
      <c r="D15" s="1303"/>
      <c r="E15" s="1303"/>
      <c r="F15" s="1303"/>
      <c r="G15" s="1304"/>
    </row>
    <row r="16" spans="1:14" x14ac:dyDescent="0.25">
      <c r="A16" s="859" t="s">
        <v>1016</v>
      </c>
      <c r="B16" s="860"/>
      <c r="C16" s="1302"/>
      <c r="D16" s="1303"/>
      <c r="E16" s="1303"/>
      <c r="F16" s="1303"/>
      <c r="G16" s="1304"/>
    </row>
    <row r="17" spans="1:7" x14ac:dyDescent="0.25">
      <c r="A17" s="861" t="s">
        <v>1017</v>
      </c>
      <c r="B17" s="860"/>
      <c r="C17" s="1302"/>
      <c r="D17" s="1303"/>
      <c r="E17" s="1303"/>
      <c r="F17" s="1303"/>
      <c r="G17" s="1304"/>
    </row>
    <row r="18" spans="1:7" ht="15.75" thickBot="1" x14ac:dyDescent="0.3">
      <c r="A18" s="859" t="s">
        <v>1018</v>
      </c>
      <c r="B18" s="860"/>
      <c r="C18" s="1290"/>
      <c r="D18" s="1291"/>
      <c r="E18" s="1291"/>
      <c r="F18" s="1291"/>
      <c r="G18" s="1292"/>
    </row>
    <row r="19" spans="1:7" x14ac:dyDescent="0.25">
      <c r="A19" s="859" t="s">
        <v>1019</v>
      </c>
      <c r="B19" s="860"/>
      <c r="C19" s="862"/>
      <c r="D19" s="857"/>
      <c r="E19" s="857"/>
      <c r="F19" s="857"/>
      <c r="G19" s="858"/>
    </row>
    <row r="20" spans="1:7" ht="15.75" thickBot="1" x14ac:dyDescent="0.3">
      <c r="A20" s="859" t="s">
        <v>1020</v>
      </c>
      <c r="B20" s="860"/>
      <c r="C20" s="862"/>
      <c r="D20" s="1305" t="s">
        <v>428</v>
      </c>
      <c r="E20" s="1305"/>
      <c r="F20" s="1305"/>
      <c r="G20" s="858"/>
    </row>
    <row r="21" spans="1:7" x14ac:dyDescent="0.25">
      <c r="A21" s="861" t="s">
        <v>1021</v>
      </c>
      <c r="B21" s="860"/>
      <c r="C21" s="862"/>
      <c r="D21" s="1287"/>
      <c r="E21" s="1288"/>
      <c r="F21" s="1289"/>
      <c r="G21" s="858"/>
    </row>
    <row r="22" spans="1:7" ht="15.75" thickBot="1" x14ac:dyDescent="0.3">
      <c r="A22" s="859" t="s">
        <v>1022</v>
      </c>
      <c r="B22" s="860"/>
      <c r="C22" s="862"/>
      <c r="D22" s="1290"/>
      <c r="E22" s="1291"/>
      <c r="F22" s="1292"/>
      <c r="G22" s="858"/>
    </row>
    <row r="23" spans="1:7" x14ac:dyDescent="0.25">
      <c r="A23" s="859" t="s">
        <v>1023</v>
      </c>
      <c r="B23" s="860"/>
      <c r="C23" s="862"/>
      <c r="D23" s="857"/>
      <c r="E23" s="857"/>
      <c r="F23" s="857"/>
      <c r="G23" s="858"/>
    </row>
    <row r="24" spans="1:7" x14ac:dyDescent="0.25">
      <c r="A24" s="859" t="s">
        <v>1024</v>
      </c>
      <c r="B24" s="860"/>
      <c r="C24" s="862"/>
      <c r="G24" s="858"/>
    </row>
    <row r="25" spans="1:7" x14ac:dyDescent="0.25">
      <c r="A25" s="859"/>
      <c r="B25" s="863"/>
      <c r="C25" s="862"/>
      <c r="G25" s="858"/>
    </row>
    <row r="26" spans="1:7" x14ac:dyDescent="0.25">
      <c r="A26" s="861"/>
      <c r="B26" s="863"/>
      <c r="C26" s="862"/>
      <c r="D26" s="857"/>
      <c r="E26" s="857"/>
      <c r="F26" s="857"/>
      <c r="G26" s="858"/>
    </row>
    <row r="27" spans="1:7" x14ac:dyDescent="0.25">
      <c r="A27" s="859"/>
      <c r="B27" s="863"/>
      <c r="C27" s="862"/>
      <c r="D27" s="857"/>
      <c r="E27" s="857"/>
      <c r="F27" s="857"/>
      <c r="G27" s="858"/>
    </row>
    <row r="28" spans="1:7" x14ac:dyDescent="0.25">
      <c r="A28" s="859"/>
      <c r="B28" s="863"/>
      <c r="C28" s="862"/>
      <c r="D28" s="857"/>
      <c r="E28" s="857"/>
      <c r="F28" s="857"/>
      <c r="G28" s="858"/>
    </row>
    <row r="29" spans="1:7" x14ac:dyDescent="0.25">
      <c r="A29" s="859"/>
      <c r="B29" s="863"/>
      <c r="C29" s="862"/>
      <c r="D29" s="857"/>
      <c r="E29" s="857"/>
      <c r="F29" s="857"/>
      <c r="G29" s="858"/>
    </row>
    <row r="30" spans="1:7" x14ac:dyDescent="0.25">
      <c r="A30" s="859"/>
      <c r="B30" s="863"/>
      <c r="C30" s="862"/>
      <c r="D30" s="857"/>
      <c r="E30" s="857"/>
      <c r="F30" s="857"/>
      <c r="G30" s="858"/>
    </row>
    <row r="31" spans="1:7" ht="15.75" thickBot="1" x14ac:dyDescent="0.3">
      <c r="A31" s="864"/>
      <c r="B31" s="865"/>
      <c r="C31" s="866"/>
      <c r="D31" s="866"/>
      <c r="E31" s="866"/>
      <c r="F31" s="866"/>
      <c r="G31" s="867"/>
    </row>
  </sheetData>
  <sheetProtection algorithmName="SHA-512" hashValue="rzi6XGLqzIvRuKJtkK7fEynvR66ZlGcuITS5p1z7sLDxYG3VP5Mgtv7Z0r6/b3bHmhNYj3wojIKA5wsPMv6edg==" saltValue="EFI4DlTGzJgODO8LJqHtpA==" spinCount="100000" sheet="1"/>
  <mergeCells count="7">
    <mergeCell ref="D21:F22"/>
    <mergeCell ref="A1:A3"/>
    <mergeCell ref="C2:E2"/>
    <mergeCell ref="C3:E3"/>
    <mergeCell ref="I3:N4"/>
    <mergeCell ref="C5:G18"/>
    <mergeCell ref="D20:F20"/>
  </mergeCells>
  <conditionalFormatting sqref="E1 C1:C3 G3 C5 D21">
    <cfRule type="containsBlanks" dxfId="188" priority="1">
      <formula>LEN(TRIM(C1))=0</formula>
    </cfRule>
  </conditionalFormatting>
  <hyperlinks>
    <hyperlink ref="I3" location="PF!A1" display="PF phase Summary Page" xr:uid="{E3B107A0-7CCD-4677-A241-AE4C9A6B9E2A}"/>
    <hyperlink ref="I3:N4" location="FQ!A1" display="FQ Summary Page" xr:uid="{A36FB647-7102-4AD1-B8D9-69744D4176C2}"/>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4850" r:id="rId4" name="IP_Signature">
              <controlPr defaultSize="0" print="0" autoFill="0" autoPict="0" macro="[0]!IP_signature">
                <anchor moveWithCells="1" sizeWithCells="1">
                  <from>
                    <xdr:col>3</xdr:col>
                    <xdr:colOff>0</xdr:colOff>
                    <xdr:row>20</xdr:row>
                    <xdr:rowOff>0</xdr:rowOff>
                  </from>
                  <to>
                    <xdr:col>6</xdr:col>
                    <xdr:colOff>0</xdr:colOff>
                    <xdr:row>22</xdr:row>
                    <xdr:rowOff>0</xdr:rowOff>
                  </to>
                </anchor>
              </controlPr>
            </control>
          </mc:Choice>
        </mc:AlternateContent>
        <mc:AlternateContent xmlns:mc="http://schemas.openxmlformats.org/markup-compatibility/2006">
          <mc:Choice Requires="x14">
            <control shapeId="334851" r:id="rId5" name="CCG_Click">
              <controlPr defaultSize="0" print="0" autoFill="0" autoPict="0" macro="[0]!CCG_Click">
                <anchor moveWithCells="1" sizeWithCells="1">
                  <from>
                    <xdr:col>4</xdr:col>
                    <xdr:colOff>0</xdr:colOff>
                    <xdr:row>42</xdr:row>
                    <xdr:rowOff>38100</xdr:rowOff>
                  </from>
                  <to>
                    <xdr:col>5</xdr:col>
                    <xdr:colOff>742950</xdr:colOff>
                    <xdr:row>43</xdr:row>
                    <xdr:rowOff>95250</xdr:rowOff>
                  </to>
                </anchor>
              </controlPr>
            </control>
          </mc:Choice>
        </mc:AlternateContent>
        <mc:AlternateContent xmlns:mc="http://schemas.openxmlformats.org/markup-compatibility/2006">
          <mc:Choice Requires="x14">
            <control shapeId="334852" r:id="rId6" name="MCG_Click">
              <controlPr defaultSize="0" print="0" autoFill="0" autoPict="0" macro="[0]!MCG_Click">
                <anchor moveWithCells="1" sizeWithCells="1">
                  <from>
                    <xdr:col>5</xdr:col>
                    <xdr:colOff>809625</xdr:colOff>
                    <xdr:row>42</xdr:row>
                    <xdr:rowOff>38100</xdr:rowOff>
                  </from>
                  <to>
                    <xdr:col>7</xdr:col>
                    <xdr:colOff>400050</xdr:colOff>
                    <xdr:row>43</xdr:row>
                    <xdr:rowOff>95250</xdr:rowOff>
                  </to>
                </anchor>
              </controlPr>
            </control>
          </mc:Choice>
        </mc:AlternateContent>
        <mc:AlternateContent xmlns:mc="http://schemas.openxmlformats.org/markup-compatibility/2006">
          <mc:Choice Requires="x14">
            <control shapeId="334853" r:id="rId7" name="DCG_Click">
              <controlPr defaultSize="0" print="0" autoFill="0" autoPict="0" macro="[0]!DCG_Click">
                <anchor moveWithCells="1" sizeWithCells="1">
                  <from>
                    <xdr:col>7</xdr:col>
                    <xdr:colOff>457200</xdr:colOff>
                    <xdr:row>42</xdr:row>
                    <xdr:rowOff>38100</xdr:rowOff>
                  </from>
                  <to>
                    <xdr:col>10</xdr:col>
                    <xdr:colOff>219075</xdr:colOff>
                    <xdr:row>43</xdr:row>
                    <xdr:rowOff>95250</xdr:rowOff>
                  </to>
                </anchor>
              </controlPr>
            </control>
          </mc:Choice>
        </mc:AlternateContent>
        <mc:AlternateContent xmlns:mc="http://schemas.openxmlformats.org/markup-compatibility/2006">
          <mc:Choice Requires="x14">
            <control shapeId="334854" r:id="rId8" name="PMC_Click">
              <controlPr defaultSize="0" print="0" autoFill="0" autoPict="0" macro="[0]!PMC_Click">
                <anchor moveWithCells="1" sizeWithCells="1">
                  <from>
                    <xdr:col>10</xdr:col>
                    <xdr:colOff>285750</xdr:colOff>
                    <xdr:row>42</xdr:row>
                    <xdr:rowOff>38100</xdr:rowOff>
                  </from>
                  <to>
                    <xdr:col>14</xdr:col>
                    <xdr:colOff>66675</xdr:colOff>
                    <xdr:row>43</xdr:row>
                    <xdr:rowOff>95250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FDF07-7D22-47AC-95D4-A14AF20FDF3B}">
  <sheetPr codeName="Sheet29">
    <tabColor rgb="FF00B050"/>
    <pageSetUpPr autoPageBreaks="0"/>
  </sheetPr>
  <dimension ref="B1:BU66"/>
  <sheetViews>
    <sheetView showGridLines="0" showRowColHeaders="0" topLeftCell="A2" zoomScaleNormal="100" zoomScaleSheetLayoutView="100" workbookViewId="0">
      <selection activeCell="BP3" sqref="BP3:BU4"/>
    </sheetView>
  </sheetViews>
  <sheetFormatPr defaultColWidth="9.140625" defaultRowHeight="12.75" x14ac:dyDescent="0.2"/>
  <cols>
    <col min="1" max="1" width="1.5703125" style="87" customWidth="1"/>
    <col min="2" max="2" width="3.5703125" style="87" customWidth="1"/>
    <col min="3" max="3" width="5.5703125" style="87" customWidth="1"/>
    <col min="4" max="4" width="9.140625" style="87" customWidth="1"/>
    <col min="5" max="5" width="14" style="87" customWidth="1"/>
    <col min="6" max="6" width="7.85546875" style="87" customWidth="1"/>
    <col min="7" max="11" width="5.140625" style="87" customWidth="1"/>
    <col min="12" max="12" width="21.5703125" style="87" customWidth="1"/>
    <col min="13" max="13" width="6.5703125" style="87" customWidth="1"/>
    <col min="14" max="14" width="12.5703125" style="87" customWidth="1"/>
    <col min="15" max="15" width="7.85546875" style="87" customWidth="1"/>
    <col min="16" max="16" width="2.7109375" style="87" customWidth="1"/>
    <col min="17" max="17" width="4.85546875" style="87" customWidth="1"/>
    <col min="18" max="18" width="7.28515625" style="87" customWidth="1"/>
    <col min="19" max="19" width="1.7109375" style="87" customWidth="1"/>
    <col min="20" max="20" width="19.140625" style="88" hidden="1" customWidth="1"/>
    <col min="21" max="21" width="31.140625" style="88" hidden="1" customWidth="1"/>
    <col min="22" max="22" width="5.140625" style="88" hidden="1" customWidth="1"/>
    <col min="23" max="24" width="6.28515625" style="88" hidden="1" customWidth="1"/>
    <col min="25" max="25" width="8.42578125" style="88" hidden="1" customWidth="1"/>
    <col min="26" max="26" width="7.85546875" style="88" hidden="1" customWidth="1"/>
    <col min="27" max="27" width="10.7109375" style="88" hidden="1" customWidth="1"/>
    <col min="28" max="28" width="8" style="88" hidden="1" customWidth="1"/>
    <col min="29" max="31" width="5.140625" style="88" hidden="1" customWidth="1"/>
    <col min="32" max="34" width="5.85546875" style="88" hidden="1" customWidth="1"/>
    <col min="35" max="35" width="8.5703125" style="89" hidden="1" customWidth="1"/>
    <col min="36" max="36" width="7" style="88" hidden="1" customWidth="1"/>
    <col min="37" max="38" width="5.28515625" style="88" hidden="1" customWidth="1"/>
    <col min="39" max="40" width="7" style="88" hidden="1" customWidth="1"/>
    <col min="41" max="41" width="5.140625" style="88" hidden="1" customWidth="1"/>
    <col min="42" max="42" width="11.28515625" style="88" hidden="1" customWidth="1"/>
    <col min="43" max="43" width="6.42578125" style="88" hidden="1" customWidth="1"/>
    <col min="44" max="44" width="7.28515625" style="88" hidden="1" customWidth="1"/>
    <col min="45" max="45" width="8.85546875" style="88" hidden="1" customWidth="1"/>
    <col min="46" max="46" width="10.7109375" style="88" hidden="1" customWidth="1"/>
    <col min="47" max="47" width="8.85546875" style="88" hidden="1" customWidth="1"/>
    <col min="48" max="48" width="6.28515625" style="88" hidden="1" customWidth="1"/>
    <col min="49" max="49" width="10" style="88" hidden="1" customWidth="1"/>
    <col min="50" max="50" width="7.5703125" style="88" hidden="1" customWidth="1"/>
    <col min="51" max="51" width="7" style="88" hidden="1" customWidth="1"/>
    <col min="52" max="52" width="8.140625" style="88" hidden="1" customWidth="1"/>
    <col min="53" max="53" width="12.5703125" style="88" hidden="1" customWidth="1"/>
    <col min="54" max="54" width="7.7109375" style="88" hidden="1" customWidth="1"/>
    <col min="55" max="55" width="12.7109375" style="88" hidden="1" customWidth="1"/>
    <col min="56" max="56" width="7" style="88" hidden="1" customWidth="1"/>
    <col min="57" max="57" width="15.5703125" style="88" hidden="1" customWidth="1"/>
    <col min="58" max="58" width="9.140625" style="88" hidden="1" customWidth="1"/>
    <col min="59" max="59" width="10" style="88" hidden="1" customWidth="1"/>
    <col min="60" max="60" width="5.28515625" style="88" hidden="1" customWidth="1"/>
    <col min="61" max="61" width="4" style="88" hidden="1" customWidth="1"/>
    <col min="62" max="62" width="4.7109375" style="88" hidden="1" customWidth="1"/>
    <col min="63" max="63" width="5.5703125" style="88" hidden="1" customWidth="1"/>
    <col min="64" max="64" width="5.28515625" style="88" hidden="1" customWidth="1"/>
    <col min="65" max="65" width="4" style="88" hidden="1" customWidth="1"/>
    <col min="66" max="66" width="5.5703125" style="88" hidden="1" customWidth="1"/>
    <col min="67" max="67" width="5.140625" style="90" customWidth="1"/>
    <col min="68" max="73" width="5.140625" style="87" customWidth="1"/>
    <col min="74" max="16384" width="9.140625" style="87"/>
  </cols>
  <sheetData>
    <row r="1" spans="2:73" s="84" customFormat="1" ht="12" hidden="1" x14ac:dyDescent="0.2">
      <c r="T1" s="85"/>
      <c r="U1" s="85"/>
      <c r="V1" s="85"/>
      <c r="W1" s="85"/>
      <c r="X1" s="85"/>
      <c r="Y1" s="85"/>
      <c r="Z1" s="85"/>
      <c r="AA1" s="85"/>
      <c r="AB1" s="85"/>
      <c r="AC1" s="85"/>
      <c r="AD1" s="85"/>
      <c r="AE1" s="85"/>
      <c r="AF1" s="85"/>
      <c r="AG1" s="85"/>
      <c r="AH1" s="85"/>
      <c r="AI1" s="86"/>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row>
    <row r="2" spans="2:73" ht="13.5" thickBot="1" x14ac:dyDescent="0.25"/>
    <row r="3" spans="2:73" ht="13.5" customHeight="1" thickTop="1" x14ac:dyDescent="0.3">
      <c r="B3" s="967" t="s">
        <v>267</v>
      </c>
      <c r="C3" s="968"/>
      <c r="D3" s="968"/>
      <c r="E3" s="968"/>
      <c r="F3" s="968"/>
      <c r="G3" s="969"/>
      <c r="H3" s="970" t="s">
        <v>804</v>
      </c>
      <c r="I3" s="971"/>
      <c r="J3" s="971"/>
      <c r="K3" s="971"/>
      <c r="L3" s="971"/>
      <c r="M3" s="971"/>
      <c r="N3" s="972"/>
      <c r="O3" s="973" t="s">
        <v>269</v>
      </c>
      <c r="P3" s="974"/>
      <c r="Q3" s="973" t="s">
        <v>270</v>
      </c>
      <c r="R3" s="975"/>
      <c r="S3" s="91"/>
      <c r="T3" s="92"/>
      <c r="U3" s="92"/>
      <c r="V3" s="92"/>
      <c r="W3" s="92"/>
      <c r="X3" s="92"/>
      <c r="Y3" s="92"/>
      <c r="Z3" s="92"/>
      <c r="AA3" s="92"/>
      <c r="AB3" s="92"/>
      <c r="AC3" s="92"/>
      <c r="AD3" s="92"/>
      <c r="AE3" s="92"/>
      <c r="AF3" s="92"/>
      <c r="AG3" s="92"/>
      <c r="AH3" s="92"/>
      <c r="AI3" s="93"/>
      <c r="AJ3" s="92"/>
      <c r="AK3" s="92"/>
      <c r="AL3" s="92"/>
      <c r="AM3" s="92"/>
      <c r="AN3" s="92"/>
      <c r="AO3" s="92"/>
      <c r="AP3" s="92"/>
      <c r="AQ3" s="85"/>
      <c r="AR3" s="85"/>
      <c r="AW3" s="88" t="s">
        <v>271</v>
      </c>
      <c r="AX3" s="88" t="s">
        <v>272</v>
      </c>
      <c r="AY3" s="88" t="s">
        <v>273</v>
      </c>
      <c r="AZ3" s="88" t="s">
        <v>274</v>
      </c>
      <c r="BA3" s="88" t="s">
        <v>275</v>
      </c>
      <c r="BB3" s="88" t="s">
        <v>276</v>
      </c>
      <c r="BO3" s="483"/>
      <c r="BP3" s="1032" t="s">
        <v>843</v>
      </c>
      <c r="BQ3" s="1032"/>
      <c r="BR3" s="1032"/>
      <c r="BS3" s="1032"/>
      <c r="BT3" s="1032"/>
      <c r="BU3" s="1032"/>
    </row>
    <row r="4" spans="2:73" s="94" customFormat="1" ht="15.75" customHeight="1" x14ac:dyDescent="0.2">
      <c r="B4" s="994" t="s">
        <v>277</v>
      </c>
      <c r="C4" s="995"/>
      <c r="D4" s="995"/>
      <c r="E4" s="995"/>
      <c r="F4" s="995"/>
      <c r="G4" s="996"/>
      <c r="H4" s="937" t="s">
        <v>722</v>
      </c>
      <c r="I4" s="938"/>
      <c r="J4" s="938"/>
      <c r="K4" s="938"/>
      <c r="L4" s="938"/>
      <c r="M4" s="938"/>
      <c r="N4" s="939"/>
      <c r="O4" s="997"/>
      <c r="P4" s="998"/>
      <c r="Q4" s="999"/>
      <c r="R4" s="1000"/>
      <c r="S4" s="95"/>
      <c r="T4" s="96"/>
      <c r="U4" s="96"/>
      <c r="V4" s="96"/>
      <c r="W4" s="96"/>
      <c r="X4" s="96"/>
      <c r="Y4" s="96"/>
      <c r="Z4" s="96"/>
      <c r="AA4" s="96"/>
      <c r="AB4" s="96"/>
      <c r="AC4" s="96"/>
      <c r="AD4" s="96"/>
      <c r="AE4" s="96"/>
      <c r="AF4" s="96"/>
      <c r="AG4" s="96"/>
      <c r="AH4" s="96"/>
      <c r="AI4" s="97"/>
      <c r="AJ4" s="96"/>
      <c r="AK4" s="96"/>
      <c r="AL4" s="96"/>
      <c r="AM4" s="96"/>
      <c r="AN4" s="96"/>
      <c r="AO4" s="96"/>
      <c r="AP4" s="96"/>
      <c r="AQ4" s="98"/>
      <c r="AR4" s="98"/>
      <c r="AS4" s="99"/>
      <c r="AT4" s="100" t="s">
        <v>278</v>
      </c>
      <c r="AU4" s="101" t="b">
        <v>1</v>
      </c>
      <c r="AV4" s="99">
        <v>5</v>
      </c>
      <c r="AW4" s="99" t="b">
        <f>IF(ISERR(OR(AW8:AW39)),"UNK",IF(AND(graded_aca_events&gt;=1,input_test),FALSE,OR(AW8:AW39)))</f>
        <v>1</v>
      </c>
      <c r="AX4" s="99" t="b">
        <f>IF(ISERR(OR(AX8:AX39)),"UNK",IF(AND(graded_aca_events&gt;=1,input_test),FALSE,OR(AX8:AX39)))</f>
        <v>1</v>
      </c>
      <c r="AY4" s="99" t="b">
        <f>IF(ISERR(OR(AY8:AY39)),"UNK",OR(AY8:AY39))</f>
        <v>0</v>
      </c>
      <c r="AZ4" s="99" t="b">
        <f>IF(ISERR(OR(AZ8:AZ39)),"UNK",OR(AZ8:AZ39))</f>
        <v>0</v>
      </c>
      <c r="BA4" s="99" t="b">
        <f>IF(ISERR(OR(BA8:BA39)),"UNK",OR(BA8:BA39))</f>
        <v>0</v>
      </c>
      <c r="BB4" s="99" t="b">
        <f>IF(ISERR(OR(BB8:BB39)),"UNK",OR(BB8:BB39))</f>
        <v>0</v>
      </c>
      <c r="BC4" s="102" t="b">
        <f>OR(BC8:BC39)</f>
        <v>0</v>
      </c>
      <c r="BD4" s="102" t="b">
        <f>OR(BD8:BD39)</f>
        <v>0</v>
      </c>
      <c r="BE4" s="102" t="b">
        <f>OR(BE8:BE39)</f>
        <v>0</v>
      </c>
      <c r="BF4" s="102"/>
      <c r="BG4" s="99"/>
      <c r="BH4" s="944" t="s">
        <v>279</v>
      </c>
      <c r="BI4" s="944"/>
      <c r="BJ4" s="944"/>
      <c r="BK4" s="944"/>
      <c r="BL4" s="977" t="s">
        <v>280</v>
      </c>
      <c r="BM4" s="977"/>
      <c r="BN4" s="977"/>
      <c r="BO4" s="90"/>
      <c r="BP4" s="1032"/>
      <c r="BQ4" s="1032"/>
      <c r="BR4" s="1032"/>
      <c r="BS4" s="1032"/>
      <c r="BT4" s="1032"/>
      <c r="BU4" s="1032"/>
    </row>
    <row r="5" spans="2:73" s="91" customFormat="1" ht="7.5" customHeight="1" x14ac:dyDescent="0.25">
      <c r="B5" s="978" t="s">
        <v>281</v>
      </c>
      <c r="C5" s="979"/>
      <c r="D5" s="979"/>
      <c r="E5" s="980"/>
      <c r="F5" s="981" t="s">
        <v>282</v>
      </c>
      <c r="G5" s="980"/>
      <c r="H5" s="981" t="s">
        <v>283</v>
      </c>
      <c r="I5" s="979"/>
      <c r="J5" s="979"/>
      <c r="K5" s="979"/>
      <c r="L5" s="980"/>
      <c r="M5" s="982" t="s">
        <v>284</v>
      </c>
      <c r="N5" s="983"/>
      <c r="O5" s="984" t="s">
        <v>285</v>
      </c>
      <c r="P5" s="985"/>
      <c r="Q5" s="981" t="str">
        <f>IF(AU41=0,"GRADE","GRADE (inc. bonus)")</f>
        <v>GRADE</v>
      </c>
      <c r="R5" s="986"/>
      <c r="T5" s="92"/>
      <c r="U5" s="92"/>
      <c r="V5" s="92"/>
      <c r="W5" s="92"/>
      <c r="X5" s="92"/>
      <c r="Y5" s="92"/>
      <c r="Z5" s="92"/>
      <c r="AA5" s="92"/>
      <c r="AB5" s="92"/>
      <c r="AC5" s="92"/>
      <c r="AD5" s="92"/>
      <c r="AE5" s="92"/>
      <c r="AF5" s="92"/>
      <c r="AG5" s="92"/>
      <c r="AH5" s="92"/>
      <c r="AI5" s="93"/>
      <c r="AJ5" s="92"/>
      <c r="AK5" s="92"/>
      <c r="AL5" s="92"/>
      <c r="AM5" s="92"/>
      <c r="AN5" s="92"/>
      <c r="AO5" s="92"/>
      <c r="AP5" s="92"/>
      <c r="AQ5" s="92"/>
      <c r="AR5" s="92"/>
      <c r="AS5" s="92"/>
      <c r="AT5" s="92"/>
      <c r="AU5" s="92"/>
      <c r="AV5" s="92"/>
      <c r="AW5" s="92"/>
      <c r="AX5" s="92"/>
      <c r="AY5" s="92"/>
      <c r="AZ5" s="92"/>
      <c r="BA5" s="92"/>
      <c r="BB5" s="92"/>
      <c r="BC5" s="92"/>
      <c r="BD5" s="92"/>
      <c r="BE5" s="92"/>
      <c r="BF5" s="92"/>
      <c r="BG5" s="92"/>
      <c r="BH5" s="944"/>
      <c r="BI5" s="944"/>
      <c r="BJ5" s="944"/>
      <c r="BK5" s="944"/>
      <c r="BL5" s="977"/>
      <c r="BM5" s="977"/>
      <c r="BN5" s="977"/>
      <c r="BO5" s="103"/>
    </row>
    <row r="6" spans="2:73" s="94" customFormat="1" ht="15.75" customHeight="1" thickBot="1" x14ac:dyDescent="0.25">
      <c r="B6" s="1001"/>
      <c r="C6" s="1002"/>
      <c r="D6" s="1002"/>
      <c r="E6" s="1003"/>
      <c r="F6" s="1004" t="s">
        <v>286</v>
      </c>
      <c r="G6" s="1005"/>
      <c r="H6" s="1006"/>
      <c r="I6" s="1007"/>
      <c r="J6" s="1007"/>
      <c r="K6" s="1007"/>
      <c r="L6" s="1005"/>
      <c r="M6" s="1008" t="s">
        <v>805</v>
      </c>
      <c r="N6" s="1009"/>
      <c r="O6" s="1010"/>
      <c r="P6" s="1011"/>
      <c r="Q6" s="949" t="str">
        <f>IF((graded_aca_events+graded_amn_events)&lt;1,"0",IF(ISERROR(AR46),"",IF(F41&lt;&gt;"COMPLETE","INCOMPLETE",AR46)))</f>
        <v>0</v>
      </c>
      <c r="R6" s="950"/>
      <c r="S6" s="87"/>
      <c r="T6" s="99"/>
      <c r="U6" s="99">
        <v>2</v>
      </c>
      <c r="V6" s="99">
        <v>3</v>
      </c>
      <c r="W6" s="99">
        <v>6</v>
      </c>
      <c r="X6" s="99">
        <v>7</v>
      </c>
      <c r="Y6" s="99">
        <v>11</v>
      </c>
      <c r="Z6" s="99">
        <v>8</v>
      </c>
      <c r="AA6" s="99">
        <v>9</v>
      </c>
      <c r="AB6" s="99">
        <v>10</v>
      </c>
      <c r="AC6" s="99">
        <v>5</v>
      </c>
      <c r="AD6" s="99">
        <v>4</v>
      </c>
      <c r="AE6" s="99">
        <v>12</v>
      </c>
      <c r="AF6" s="99">
        <v>13</v>
      </c>
      <c r="AG6" s="99"/>
      <c r="AH6" s="99"/>
      <c r="AI6" s="104"/>
      <c r="AJ6" s="105"/>
      <c r="AK6" s="105"/>
      <c r="AL6" s="105"/>
      <c r="AM6" s="105" t="b">
        <f>IF(COUNT(AM8:AM39)&gt;0,TRUE,FALSE)</f>
        <v>0</v>
      </c>
      <c r="AN6" s="105" t="b">
        <f>IF(COUNT(AN8:AN39)&gt;0,TRUE,FALSE)</f>
        <v>0</v>
      </c>
      <c r="AO6" s="99"/>
      <c r="AP6" s="99"/>
      <c r="AQ6" s="98"/>
      <c r="AR6" s="98"/>
      <c r="AS6" s="99"/>
      <c r="AT6" s="106">
        <v>0.2</v>
      </c>
      <c r="AU6" s="99"/>
      <c r="AV6" s="107">
        <f>0.01*input_maxb</f>
        <v>0.05</v>
      </c>
      <c r="AW6" s="108" t="s">
        <v>287</v>
      </c>
      <c r="AX6" s="109"/>
      <c r="AY6" s="108" t="s">
        <v>288</v>
      </c>
      <c r="AZ6" s="109"/>
      <c r="BA6" s="110" t="s">
        <v>289</v>
      </c>
      <c r="BB6" s="110"/>
      <c r="BC6" s="108" t="s">
        <v>290</v>
      </c>
      <c r="BD6" s="110"/>
      <c r="BE6" s="111"/>
      <c r="BF6" s="112"/>
      <c r="BG6" s="99" t="s">
        <v>291</v>
      </c>
      <c r="BH6" s="944"/>
      <c r="BI6" s="944"/>
      <c r="BJ6" s="944"/>
      <c r="BK6" s="944"/>
      <c r="BL6" s="977"/>
      <c r="BM6" s="977"/>
      <c r="BN6" s="977"/>
      <c r="BO6" s="90"/>
    </row>
    <row r="7" spans="2:73" ht="27" customHeight="1" thickBot="1" x14ac:dyDescent="0.25">
      <c r="B7" s="951" t="s">
        <v>292</v>
      </c>
      <c r="C7" s="952"/>
      <c r="D7" s="952"/>
      <c r="E7" s="952"/>
      <c r="F7" s="953"/>
      <c r="G7" s="113" t="s">
        <v>293</v>
      </c>
      <c r="H7" s="114" t="s">
        <v>294</v>
      </c>
      <c r="I7" s="115" t="s">
        <v>295</v>
      </c>
      <c r="J7" s="116" t="s">
        <v>296</v>
      </c>
      <c r="K7" s="117" t="s">
        <v>297</v>
      </c>
      <c r="L7" s="954" t="s">
        <v>298</v>
      </c>
      <c r="M7" s="952"/>
      <c r="N7" s="952"/>
      <c r="O7" s="952"/>
      <c r="P7" s="952"/>
      <c r="Q7" s="952"/>
      <c r="R7" s="955"/>
      <c r="T7" s="118" t="s">
        <v>299</v>
      </c>
      <c r="U7" s="118"/>
      <c r="V7" s="118" t="s">
        <v>300</v>
      </c>
      <c r="W7" s="118" t="s">
        <v>301</v>
      </c>
      <c r="X7" s="118" t="s">
        <v>302</v>
      </c>
      <c r="Y7" s="118" t="s">
        <v>303</v>
      </c>
      <c r="Z7" s="118" t="s">
        <v>304</v>
      </c>
      <c r="AA7" s="118" t="s">
        <v>305</v>
      </c>
      <c r="AB7" s="118" t="s">
        <v>306</v>
      </c>
      <c r="AC7" s="118" t="s">
        <v>307</v>
      </c>
      <c r="AD7" s="118" t="s">
        <v>308</v>
      </c>
      <c r="AE7" s="118" t="s">
        <v>309</v>
      </c>
      <c r="AF7" s="118" t="s">
        <v>310</v>
      </c>
      <c r="AG7" s="118" t="s">
        <v>311</v>
      </c>
      <c r="AH7" s="118" t="s">
        <v>312</v>
      </c>
      <c r="AI7" s="119" t="s">
        <v>313</v>
      </c>
      <c r="AJ7" s="120" t="s">
        <v>314</v>
      </c>
      <c r="AK7" s="121" t="s">
        <v>315</v>
      </c>
      <c r="AL7" s="121" t="s">
        <v>316</v>
      </c>
      <c r="AM7" s="121" t="s">
        <v>317</v>
      </c>
      <c r="AN7" s="121" t="s">
        <v>318</v>
      </c>
      <c r="AO7" s="120" t="s">
        <v>319</v>
      </c>
      <c r="AP7" s="120" t="s">
        <v>320</v>
      </c>
      <c r="AQ7" s="122" t="s">
        <v>321</v>
      </c>
      <c r="AR7" s="123" t="s">
        <v>1</v>
      </c>
      <c r="AS7" s="122" t="s">
        <v>322</v>
      </c>
      <c r="AT7" s="123" t="s">
        <v>1</v>
      </c>
      <c r="AU7" s="122" t="s">
        <v>323</v>
      </c>
      <c r="AV7" s="124" t="s">
        <v>324</v>
      </c>
      <c r="AW7" s="125" t="s">
        <v>325</v>
      </c>
      <c r="AX7" s="126" t="s">
        <v>326</v>
      </c>
      <c r="AY7" s="125" t="s">
        <v>327</v>
      </c>
      <c r="AZ7" s="126" t="s">
        <v>328</v>
      </c>
      <c r="BA7" s="127" t="s">
        <v>329</v>
      </c>
      <c r="BB7" s="127" t="s">
        <v>330</v>
      </c>
      <c r="BC7" s="128" t="s">
        <v>331</v>
      </c>
      <c r="BD7" s="129" t="s">
        <v>332</v>
      </c>
      <c r="BE7" s="130" t="s">
        <v>333</v>
      </c>
      <c r="BF7" s="131" t="s">
        <v>334</v>
      </c>
      <c r="BH7" s="88" t="s">
        <v>335</v>
      </c>
      <c r="BI7" s="88" t="s">
        <v>336</v>
      </c>
      <c r="BJ7" s="118" t="s">
        <v>337</v>
      </c>
      <c r="BK7" s="88" t="s">
        <v>338</v>
      </c>
      <c r="BL7" s="88" t="s">
        <v>335</v>
      </c>
      <c r="BM7" s="88" t="s">
        <v>336</v>
      </c>
      <c r="BN7" s="88" t="s">
        <v>338</v>
      </c>
    </row>
    <row r="8" spans="2:73" ht="12.95" customHeight="1" x14ac:dyDescent="0.2">
      <c r="B8" s="132" t="str">
        <f>IF(ISNA(Z8),"",IF(OR(Z8=1,Z8=2),"",1))</f>
        <v/>
      </c>
      <c r="C8" s="956" t="str">
        <f t="shared" ref="C8:C36" si="0">IF(ISNA(Z8),"",CONCATENATE($U8,IF(ISNUMBER(AI8),TEXT(ROUND($AI8,3)," (0.0%)"),""),IF(AU8&gt;0," Bonus","")))</f>
        <v>Airmanship Tasks (20.0%)</v>
      </c>
      <c r="D8" s="956"/>
      <c r="E8" s="956"/>
      <c r="F8" s="957"/>
      <c r="G8" s="133" t="str">
        <f t="shared" ref="G8:G39" si="1">BH8</f>
        <v/>
      </c>
      <c r="H8" s="134" t="str">
        <f t="shared" ref="H8:I39" si="2">BJ8</f>
        <v/>
      </c>
      <c r="I8" s="135" t="str">
        <f t="shared" si="2"/>
        <v/>
      </c>
      <c r="J8" s="136"/>
      <c r="K8" s="137"/>
      <c r="L8" s="1012"/>
      <c r="M8" s="1013"/>
      <c r="N8" s="1013"/>
      <c r="O8" s="1013"/>
      <c r="P8" s="1013"/>
      <c r="Q8" s="1013"/>
      <c r="R8" s="1014"/>
      <c r="T8" s="88">
        <v>1</v>
      </c>
      <c r="U8" s="88" t="s">
        <v>339</v>
      </c>
      <c r="V8" s="453" t="s">
        <v>340</v>
      </c>
      <c r="W8" s="453" t="s">
        <v>340</v>
      </c>
      <c r="X8" s="453" t="s">
        <v>340</v>
      </c>
      <c r="Y8" s="453" t="s">
        <v>340</v>
      </c>
      <c r="Z8" s="453">
        <v>1</v>
      </c>
      <c r="AA8" s="453">
        <v>0</v>
      </c>
      <c r="AB8" s="453">
        <v>0</v>
      </c>
      <c r="AC8" s="453" t="s">
        <v>340</v>
      </c>
      <c r="AD8" s="453" t="s">
        <v>340</v>
      </c>
      <c r="AE8" s="453">
        <v>0</v>
      </c>
      <c r="AF8" s="453" t="s">
        <v>340</v>
      </c>
      <c r="AG8" s="453" t="str">
        <f t="shared" ref="AG8:AG39" si="3">IF(CrewSoloQual="Yes",$AC8,$AD8)</f>
        <v/>
      </c>
      <c r="AH8" s="453" t="str">
        <f t="shared" ref="AH8:AH39" si="4">IF(ISNUMBER(AC8),IF(CrewSoloQual="Yes",$AC8-1,$AD8-1),"")</f>
        <v/>
      </c>
      <c r="AI8" s="138">
        <f>IF(NOT(OR(Z8=1,Z8=2)),IF(AQ8&gt;0,$AR$44*AQ8/SUMIF($AQ$8:$AQ$39,"&gt;0"),IF(AU8&gt;0,$AV$44*AU8/SUMIF($AU$8:$AU$39,"&gt;0"),IF(AS8&gt;0,$AT$44*AS8/SUMIF($AS$8:$AS$39,"&gt;0"),""))),IF(SUMIF(AJ9:$AJ$39,"=" &amp; AJ8,AI9:$AI$39)=0,"",SUMIF(AJ9:$AJ$39,"=" &amp; AJ8,AI9:$AI$39)))</f>
        <v>0.2</v>
      </c>
      <c r="AJ8" s="139">
        <f>0</f>
        <v>0</v>
      </c>
      <c r="AK8" s="453" t="str">
        <f>BI8</f>
        <v/>
      </c>
      <c r="AL8" s="453" t="str">
        <f>IF(ISBLANK(K8),"",K8)</f>
        <v/>
      </c>
      <c r="AM8" s="453" t="str">
        <f>IF(ISNUMBER(AK8),IF(ISNUMBER(AL8),1,""),"")</f>
        <v/>
      </c>
      <c r="AN8" s="453" t="str">
        <f t="shared" ref="AN8:AN36" si="5">IF(ISNUMBER(AH8),IF(AND(AB8=0,ISNUMBER(AC8),ISNUMBER(AL8)),1,""),"")</f>
        <v/>
      </c>
      <c r="AO8" s="453" t="str">
        <f t="shared" ref="AO8:AO39" si="6">IF(AB8=0,IF(CrewSoloQual="No",BI8,BK8),"")</f>
        <v/>
      </c>
      <c r="AP8" s="453" t="str">
        <f t="shared" ref="AP8:AP39" si="7">IF(ISNA(Z8),"",IF(AND(ISNUMBER(B8),G8&gt;=1,H8&lt;&gt;"NG"),IF(K8&lt;BK8,TRUE,FALSE),IF(AND(G8&gt;=1,J8="NA"),TRUE,IF(AND(AM8=1,G8=0,AL8&lt;BI8),TRUE,""))))</f>
        <v/>
      </c>
      <c r="AQ8" s="140">
        <f>IF(ISNA(Z8),0,IF(OR(J8="NA",W8="",AB8=0),0,W8))</f>
        <v>0</v>
      </c>
      <c r="AR8" s="141" t="str">
        <f t="shared" ref="AR8:AR39" si="8">IF(ISNA(Z8),"",IF(AND(NOT(OR(Z8=1,Z8=2,AK8="NG",AB8=0)),IF(ISNUMBER(AL8),AL8&gt;=0,FALSE)),VLOOKUP((10*AD8+AC8),$AQ$50:$AV$58,2+AL8,FALSE),IF(AND(input_test=TRUE,ISNUMBER(AD8),V8&lt;&gt;0),VLOOKUP((10*AD8+AC8),$AQ$50:$AV$58,2,FALSE),"")))</f>
        <v/>
      </c>
      <c r="AS8" s="142">
        <f>IF(ISNA(Z8),0,IF(OR(J8="NA",X8="",AB8=1),0,X8))</f>
        <v>0</v>
      </c>
      <c r="AT8" s="141" t="str">
        <f t="shared" ref="AT8:AT39" si="9">IF(ISNA(Z8),"",IF(AND(NOT(OR(Z8=1,Z8=2,AK8="NG",AB8=1)),IF(ISNUMBER(AL8),AL8&gt;=0,FALSE)),VLOOKUP((10*AH8+AG8),$AQ$50:$AV$58,2+AL8,FALSE),IF(AND(input_test=TRUE,ISNUMBER(AD8),V8&lt;&gt;0),VLOOKUP((10*AH8+AG8),$AQ$50:$AV$58,2,FALSE),"")))</f>
        <v/>
      </c>
      <c r="AU8" s="143">
        <f t="shared" ref="AU8:AU39" si="10">IF(ISNA(Z8),0,IF(OR(J8="NA",Y8=""),0,Y8))</f>
        <v>0</v>
      </c>
      <c r="AV8" s="144" t="str">
        <f t="shared" ref="AV8:AV39" si="11">AR8</f>
        <v/>
      </c>
      <c r="AW8" s="143" t="b">
        <f t="shared" ref="AW8:AW39" si="12">IF(ISNA(Z8),FALSE,IF(OR(AB8=1,G8=0,Z8=1,Z8=2),FALSE,IF(OR(J8="NA",J8&gt;=G8),FALSE,TRUE)))</f>
        <v>0</v>
      </c>
      <c r="AX8" s="145" t="b">
        <f t="shared" ref="AX8:AX39" si="13">IF(ISNA(Z8),FALSE,IF(OR(AB8=0,G8=0,Z8=1,Z8=2,J8="NA"),FALSE,IF(AK8="NG",IF(NOT(ISBLANK(K8)),FALSE,TRUE),IF(J8&gt;=G8,FALSE,TRUE))))</f>
        <v>0</v>
      </c>
      <c r="AY8" s="143" t="b">
        <f t="shared" ref="AY8:AY39" si="14">IF(ISNA(Z8),FALSE,IF(OR(AB8=1,G8&lt;1,Z8=1,Z8=2,AE8=0,ISBLANK(K8)),FALSE,IF(OR(J8="NA",K8&gt;=BI8),FALSE,TRUE)))</f>
        <v>0</v>
      </c>
      <c r="AZ8" s="145" t="b">
        <f t="shared" ref="AZ8:AZ39" si="15">IF(ISNA(Z8),FALSE,IF(OR(AB8=0,G8=0,Z8=1,Z8=2,AE8=0,BI8="NG",K8="",ISBLANK(K8)),FALSE,IF(OR(J8="NA",K8&gt;=AK8),FALSE,TRUE)))</f>
        <v>0</v>
      </c>
      <c r="BA8" s="453" t="b">
        <f t="shared" ref="BA8:BA39" si="16">IF(ISNA(Z8),FALSE,IF(OR(AB8=1,G8&lt;1,Z8=1,Z8=2,AE8=0),FALSE,IF(J8="NA",TRUE,FALSE)))</f>
        <v>0</v>
      </c>
      <c r="BB8" s="453" t="b">
        <f t="shared" ref="BB8:BB39" si="17">IF(ISNA(Z8),FALSE,IF(OR(AB8=0,G8=0,Z8=1,Z8=2),FALSE,IF(J8="NA",TRUE,FALSE)))</f>
        <v>0</v>
      </c>
      <c r="BC8" s="143" t="b">
        <f t="shared" ref="BC8:BC39" si="18">IF(OR(ISNA($Z8),ISNUMBER($Z8),NOT(ISNUMBER($J8)),K8="D"),FALSE,IF(AND(NOT(ISNUMBER($K8)),J8&gt;0),TRUE,FALSE))</f>
        <v>0</v>
      </c>
      <c r="BD8" s="146" t="b">
        <f>IF(OR(ISNA($Z8),ISNUMBER($Z8),NOT(ISNUMBER(K8))),FALSE,OR(NOT(ISNUMBER(J8)),J8=0,AND(J8=0,K8&lt;&gt;0)))</f>
        <v>0</v>
      </c>
      <c r="BE8" s="145" t="b">
        <f t="shared" ref="BE8:BE21" si="19">IF(OR(ISNA($Z8),K8&lt;&gt;"D"),FALSE,IF(OR(AND(H8="NG",J8=0),AND(H8&lt;&gt;"NG",NOT(OR(J8="NA",J8=0)))),TRUE,FALSE))</f>
        <v>0</v>
      </c>
      <c r="BF8" s="147" t="b">
        <f t="shared" ref="BF8:BF30" si="20">IF(OR(ISNA($Z8),H8&lt;&gt;"NG"),FALSE,IF(AND(J8="NA",K8&lt;&gt;""),TRUE,FALSE))</f>
        <v>0</v>
      </c>
      <c r="BG8" s="453" t="b">
        <f t="shared" ref="BG8:BG21" si="21">IF(ISNA($Z8),"NA",IF(OR(AZ8,AY8,AX8,AW8,AP8,BA8,BB8),TRUE,FALSE))</f>
        <v>0</v>
      </c>
      <c r="BH8" s="148" t="str">
        <f>IF(ISNA($Z8),"",IF(OR($Z8=1,$Z8=2),"",$V8))</f>
        <v/>
      </c>
      <c r="BI8" s="453" t="str">
        <f t="shared" ref="BI8:BI39" si="22">IF(ISNA($Z8),"",IF(OR($Z8=1,$Z8=2,$G8=""),"",IF(AB8=0,AH8,$AD8)))</f>
        <v/>
      </c>
      <c r="BJ8" s="453" t="str">
        <f t="shared" ref="BJ8:BJ39" si="23">IF(ISNA(AE8),"",IF(OR(Z8=1,Z8=2),"",IF(OR(AE8=0,AD8="NG"),TEXT(BI8,"0"),CONCATENATE(TEXT(BI8,"0"),"*"))))</f>
        <v/>
      </c>
      <c r="BK8" s="453" t="str">
        <f t="shared" ref="BK8:BK39" si="24">IF(ISNA($Z8),"",IF(OR($Z8=1,$Z8=2,$G8=""),"",IF(AB8=0,AG8,$AC8)))</f>
        <v/>
      </c>
      <c r="BL8" s="148" t="str">
        <f>IF(ISBLANK(BH8),"",IF(BH8=0,"",BH8))</f>
        <v/>
      </c>
      <c r="BM8" s="453" t="str">
        <f t="shared" ref="BM8:BM39" si="25">IF($BH8=0,"",IF($BI8="NG","D",$BI8))</f>
        <v/>
      </c>
      <c r="BN8" s="453" t="str">
        <f t="shared" ref="BN8:BN39" si="26">IF(ISNA(U8),"",IF($BH8=0,"",IF($BI8="NG","D",BK8)))</f>
        <v/>
      </c>
      <c r="BO8" s="149" t="s">
        <v>341</v>
      </c>
      <c r="BP8" s="150"/>
    </row>
    <row r="9" spans="2:73" s="94" customFormat="1" ht="12.95" customHeight="1" x14ac:dyDescent="0.2">
      <c r="B9" s="151">
        <f>IF(ISNA(Z9),"",IF(OR(Z9=1,Z9=2),"    ",MAX($B$8:B8)+1))</f>
        <v>1</v>
      </c>
      <c r="C9" s="904" t="str">
        <f t="shared" si="0"/>
        <v>Basic Aircraft Procedures (4.0%)</v>
      </c>
      <c r="D9" s="904"/>
      <c r="E9" s="904"/>
      <c r="F9" s="905"/>
      <c r="G9" s="133">
        <f t="shared" si="1"/>
        <v>1</v>
      </c>
      <c r="H9" s="134" t="str">
        <f t="shared" si="2"/>
        <v>2*</v>
      </c>
      <c r="I9" s="152">
        <f t="shared" si="2"/>
        <v>3</v>
      </c>
      <c r="J9" s="153"/>
      <c r="K9" s="154"/>
      <c r="L9" s="1015"/>
      <c r="M9" s="1016"/>
      <c r="N9" s="1016"/>
      <c r="O9" s="1016"/>
      <c r="P9" s="1016"/>
      <c r="Q9" s="1016"/>
      <c r="R9" s="1017"/>
      <c r="T9" s="99">
        <v>2</v>
      </c>
      <c r="U9" s="88" t="s">
        <v>342</v>
      </c>
      <c r="V9" s="453">
        <v>1</v>
      </c>
      <c r="W9" s="453" t="s">
        <v>340</v>
      </c>
      <c r="X9" s="453">
        <v>4</v>
      </c>
      <c r="Y9" s="453" t="s">
        <v>340</v>
      </c>
      <c r="Z9" s="146" t="s">
        <v>340</v>
      </c>
      <c r="AA9" s="146">
        <v>1</v>
      </c>
      <c r="AB9" s="146">
        <v>0</v>
      </c>
      <c r="AC9" s="453">
        <v>3</v>
      </c>
      <c r="AD9" s="453">
        <v>2</v>
      </c>
      <c r="AE9" s="453">
        <v>1</v>
      </c>
      <c r="AF9" s="453" t="b">
        <v>1</v>
      </c>
      <c r="AG9" s="453">
        <f t="shared" si="3"/>
        <v>3</v>
      </c>
      <c r="AH9" s="453">
        <f t="shared" si="4"/>
        <v>2</v>
      </c>
      <c r="AI9" s="138">
        <f>IF(NOT(OR(Z9=1,Z9=2)),IF(AQ9&gt;0,$AR$44*AQ9/SUMIF($AQ$8:$AQ$39,"&gt;0"),IF(AU9&gt;0,$AV$44*AU9/SUMIF($AU$8:$AU$39,"&gt;0"),IF(AS9&gt;0,$AT$44*AS9/SUMIF($AS$8:$AS$39,"&gt;0"),""))),IF(SUMIF(AJ10:$AJ$39,"=" &amp; AJ9,AI10:$AI$39)=0,"",SUMIF(AJ10:$AJ$39,"=" &amp; AJ9,AI10:$AI$39)))</f>
        <v>0.04</v>
      </c>
      <c r="AJ9" s="139">
        <f>IF(OR(Z9=1,Z9=2,AA9&lt;AA8),AJ8+1,AJ8)</f>
        <v>0</v>
      </c>
      <c r="AK9" s="453">
        <f t="shared" ref="AK9:AK39" si="27">BI9</f>
        <v>2</v>
      </c>
      <c r="AL9" s="146" t="str">
        <f t="shared" ref="AL9:AL39" si="28">IF(ISBLANK(K9),"",K9)</f>
        <v/>
      </c>
      <c r="AM9" s="146" t="str">
        <f>IF(ISNUMBER(AK9),IF(ISNUMBER(AL9),1,""),"")</f>
        <v/>
      </c>
      <c r="AN9" s="146" t="str">
        <f t="shared" si="5"/>
        <v/>
      </c>
      <c r="AO9" s="146">
        <f t="shared" si="6"/>
        <v>3</v>
      </c>
      <c r="AP9" s="453" t="b">
        <f>IF(ISNA(Z9),"",IF(AND(ISNUMBER(B9),G9&gt;=1,H9&lt;&gt;"NG"),IF(K9&lt;BK9,TRUE,FALSE),IF(AND(G9&gt;=1,J9="NA"),TRUE,IF(AND(AM9=1,G9=0,AL9&lt;BI9),TRUE,""))))</f>
        <v>1</v>
      </c>
      <c r="AQ9" s="140">
        <f t="shared" ref="AQ9:AQ39" si="29">IF(ISNA(Z9),0,IF(OR(J9="NA",W9="",AB9=0),0,W9))</f>
        <v>0</v>
      </c>
      <c r="AR9" s="141" t="str">
        <f>IF(ISNA(Z9),"",IF(AND(NOT(OR(Z9=1,Z9=2,AK9="NG",AB9=0)),IF(ISNUMBER(AL9),AL9&gt;=0,FALSE)),VLOOKUP((10*AD9+AC9),$AQ$50:$AV$58,2+AL9,FALSE),IF(AND(input_test=TRUE,ISNUMBER(AD9),V9&lt;&gt;0),VLOOKUP((10*AD9+AC9),$AQ$50:$AV$58,2,FALSE),"")))</f>
        <v/>
      </c>
      <c r="AS9" s="142">
        <f t="shared" ref="AS9:AS39" si="30">IF(ISNA(Z9),0,IF(OR(J9="NA",X9="",AB9=1),0,X9))</f>
        <v>4</v>
      </c>
      <c r="AT9" s="141" t="str">
        <f>IF(ISNA(Z9),"",IF(AND(NOT(OR(Z9=1,Z9=2,AK9="NG",AB9=1)),IF(ISNUMBER(AL9),AL9&gt;=0,FALSE)),VLOOKUP((10*AH9+AG9),$AQ$50:$AV$58,2+AL9,FALSE),IF(AND(input_test=TRUE,ISNUMBER(AD9),V9&lt;&gt;0),VLOOKUP((10*AH9+AG9),$AQ$50:$AV$58,2,FALSE),"")))</f>
        <v/>
      </c>
      <c r="AU9" s="143">
        <f t="shared" si="10"/>
        <v>0</v>
      </c>
      <c r="AV9" s="144" t="str">
        <f t="shared" si="11"/>
        <v/>
      </c>
      <c r="AW9" s="143" t="b">
        <f t="shared" si="12"/>
        <v>1</v>
      </c>
      <c r="AX9" s="145" t="b">
        <f t="shared" si="13"/>
        <v>0</v>
      </c>
      <c r="AY9" s="143" t="b">
        <f t="shared" si="14"/>
        <v>0</v>
      </c>
      <c r="AZ9" s="145" t="b">
        <f t="shared" si="15"/>
        <v>0</v>
      </c>
      <c r="BA9" s="453" t="b">
        <f t="shared" si="16"/>
        <v>0</v>
      </c>
      <c r="BB9" s="453" t="b">
        <f t="shared" si="17"/>
        <v>0</v>
      </c>
      <c r="BC9" s="143" t="b">
        <f t="shared" si="18"/>
        <v>0</v>
      </c>
      <c r="BD9" s="146" t="b">
        <f t="shared" ref="BD9:BD39" si="31">IF(OR(ISNA($Z9),ISNUMBER($Z9),NOT(ISNUMBER(K9))),FALSE,OR(NOT(ISNUMBER(J9)),J9=0,AND(J9=0,K9&lt;&gt;0)))</f>
        <v>0</v>
      </c>
      <c r="BE9" s="145" t="b">
        <f t="shared" si="19"/>
        <v>0</v>
      </c>
      <c r="BF9" s="147" t="b">
        <f t="shared" si="20"/>
        <v>0</v>
      </c>
      <c r="BG9" s="453" t="b">
        <f t="shared" si="21"/>
        <v>1</v>
      </c>
      <c r="BH9" s="453">
        <f t="shared" ref="BH9:BH39" si="32">IF(ISNA($Z9),"",IF(OR($Z9=1,$Z9=2),"",$V9))</f>
        <v>1</v>
      </c>
      <c r="BI9" s="453">
        <f t="shared" si="22"/>
        <v>2</v>
      </c>
      <c r="BJ9" s="453" t="str">
        <f t="shared" si="23"/>
        <v>2*</v>
      </c>
      <c r="BK9" s="453">
        <f t="shared" si="24"/>
        <v>3</v>
      </c>
      <c r="BL9" s="148">
        <f t="shared" ref="BL9:BL39" si="33">IF(ISBLANK(BH9),"",IF(BH9=0,"",BH9))</f>
        <v>1</v>
      </c>
      <c r="BM9" s="453">
        <f t="shared" si="25"/>
        <v>2</v>
      </c>
      <c r="BN9" s="453">
        <f t="shared" si="26"/>
        <v>3</v>
      </c>
      <c r="BO9" s="155" t="s">
        <v>343</v>
      </c>
      <c r="BP9" s="156" t="s">
        <v>344</v>
      </c>
    </row>
    <row r="10" spans="2:73" s="94" customFormat="1" ht="12.95" customHeight="1" x14ac:dyDescent="0.2">
      <c r="B10" s="151">
        <f>IF(ISNA(Z10),"",IF(OR(Z10=1,Z10=2),"    ",MAX($B$8:B9)+1))</f>
        <v>2</v>
      </c>
      <c r="C10" s="904" t="str">
        <f t="shared" si="0"/>
        <v>Basic Aircraft Handling (4.0%)</v>
      </c>
      <c r="D10" s="904"/>
      <c r="E10" s="904"/>
      <c r="F10" s="905"/>
      <c r="G10" s="133">
        <f t="shared" si="1"/>
        <v>1</v>
      </c>
      <c r="H10" s="134" t="str">
        <f t="shared" si="2"/>
        <v>2*</v>
      </c>
      <c r="I10" s="152">
        <f t="shared" si="2"/>
        <v>3</v>
      </c>
      <c r="J10" s="157"/>
      <c r="K10" s="154"/>
      <c r="L10" s="1015"/>
      <c r="M10" s="1016"/>
      <c r="N10" s="1016"/>
      <c r="O10" s="1016"/>
      <c r="P10" s="1016"/>
      <c r="Q10" s="1016"/>
      <c r="R10" s="1017"/>
      <c r="T10" s="99">
        <v>3</v>
      </c>
      <c r="U10" s="88" t="s">
        <v>551</v>
      </c>
      <c r="V10" s="453">
        <v>1</v>
      </c>
      <c r="W10" s="453" t="s">
        <v>340</v>
      </c>
      <c r="X10" s="453">
        <v>4</v>
      </c>
      <c r="Y10" s="453" t="s">
        <v>340</v>
      </c>
      <c r="Z10" s="146" t="s">
        <v>340</v>
      </c>
      <c r="AA10" s="146">
        <v>1</v>
      </c>
      <c r="AB10" s="146">
        <v>0</v>
      </c>
      <c r="AC10" s="453">
        <v>3</v>
      </c>
      <c r="AD10" s="453">
        <v>2</v>
      </c>
      <c r="AE10" s="453">
        <v>1</v>
      </c>
      <c r="AF10" s="453" t="b">
        <v>1</v>
      </c>
      <c r="AG10" s="453">
        <f t="shared" si="3"/>
        <v>3</v>
      </c>
      <c r="AH10" s="453">
        <f t="shared" si="4"/>
        <v>2</v>
      </c>
      <c r="AI10" s="138">
        <f>IF(NOT(OR(Z10=1,Z10=2)),IF(AQ10&gt;0,$AR$44*AQ10/SUMIF($AQ$8:$AQ$39,"&gt;0"),IF(AU10&gt;0,$AV$44*AU10/SUMIF($AU$8:$AU$39,"&gt;0"),IF(AS10&gt;0,$AT$44*AS10/SUMIF($AS$8:$AS$39,"&gt;0"),""))),IF(SUMIF(AJ11:$AJ$39,"=" &amp; AJ10,AI11:$AI$39)=0,"",SUMIF(AJ11:$AJ$39,"=" &amp; AJ10,AI11:$AI$39)))</f>
        <v>0.04</v>
      </c>
      <c r="AJ10" s="139">
        <f t="shared" ref="AJ10:AJ39" si="34">IF(OR(Z10=1,Z10=2,AA10&lt;AA9),AJ9+1,AJ9)</f>
        <v>0</v>
      </c>
      <c r="AK10" s="453">
        <f t="shared" si="27"/>
        <v>2</v>
      </c>
      <c r="AL10" s="146" t="str">
        <f t="shared" si="28"/>
        <v/>
      </c>
      <c r="AM10" s="146" t="str">
        <f t="shared" ref="AM10:AM39" si="35">IF(ISNUMBER(AK10),IF(ISNUMBER(AL10),1,""),"")</f>
        <v/>
      </c>
      <c r="AN10" s="146" t="str">
        <f t="shared" si="5"/>
        <v/>
      </c>
      <c r="AO10" s="146">
        <f t="shared" si="6"/>
        <v>3</v>
      </c>
      <c r="AP10" s="453" t="b">
        <f t="shared" si="7"/>
        <v>1</v>
      </c>
      <c r="AQ10" s="140">
        <f t="shared" si="29"/>
        <v>0</v>
      </c>
      <c r="AR10" s="141" t="str">
        <f t="shared" si="8"/>
        <v/>
      </c>
      <c r="AS10" s="142">
        <f t="shared" si="30"/>
        <v>4</v>
      </c>
      <c r="AT10" s="141" t="str">
        <f t="shared" si="9"/>
        <v/>
      </c>
      <c r="AU10" s="143">
        <f t="shared" si="10"/>
        <v>0</v>
      </c>
      <c r="AV10" s="144" t="str">
        <f t="shared" si="11"/>
        <v/>
      </c>
      <c r="AW10" s="143" t="b">
        <f t="shared" si="12"/>
        <v>1</v>
      </c>
      <c r="AX10" s="145" t="b">
        <f t="shared" si="13"/>
        <v>0</v>
      </c>
      <c r="AY10" s="143" t="b">
        <f t="shared" si="14"/>
        <v>0</v>
      </c>
      <c r="AZ10" s="145" t="b">
        <f t="shared" si="15"/>
        <v>0</v>
      </c>
      <c r="BA10" s="453" t="b">
        <f t="shared" si="16"/>
        <v>0</v>
      </c>
      <c r="BB10" s="453" t="b">
        <f t="shared" si="17"/>
        <v>0</v>
      </c>
      <c r="BC10" s="143" t="b">
        <f t="shared" si="18"/>
        <v>0</v>
      </c>
      <c r="BD10" s="146" t="b">
        <f t="shared" si="31"/>
        <v>0</v>
      </c>
      <c r="BE10" s="145" t="b">
        <f t="shared" si="19"/>
        <v>0</v>
      </c>
      <c r="BF10" s="147" t="b">
        <f t="shared" si="20"/>
        <v>0</v>
      </c>
      <c r="BG10" s="453" t="b">
        <f t="shared" si="21"/>
        <v>1</v>
      </c>
      <c r="BH10" s="453">
        <f t="shared" si="32"/>
        <v>1</v>
      </c>
      <c r="BI10" s="453">
        <f t="shared" si="22"/>
        <v>2</v>
      </c>
      <c r="BJ10" s="453" t="str">
        <f t="shared" si="23"/>
        <v>2*</v>
      </c>
      <c r="BK10" s="453">
        <f t="shared" si="24"/>
        <v>3</v>
      </c>
      <c r="BL10" s="148">
        <f t="shared" si="33"/>
        <v>1</v>
      </c>
      <c r="BM10" s="453">
        <f t="shared" si="25"/>
        <v>2</v>
      </c>
      <c r="BN10" s="453">
        <f t="shared" si="26"/>
        <v>3</v>
      </c>
      <c r="BO10" s="155">
        <v>0</v>
      </c>
      <c r="BP10" s="156" t="s">
        <v>346</v>
      </c>
    </row>
    <row r="11" spans="2:73" s="94" customFormat="1" ht="12.95" customHeight="1" x14ac:dyDescent="0.2">
      <c r="B11" s="151">
        <f>IF(ISNA(Z11),"",IF(OR(Z11=1,Z11=2),"    ",MAX($B$8:B10)+1))</f>
        <v>3</v>
      </c>
      <c r="C11" s="904" t="str">
        <f t="shared" si="0"/>
        <v>Local Area Proc./Orientation/Comm (4.0%)</v>
      </c>
      <c r="D11" s="904"/>
      <c r="E11" s="904"/>
      <c r="F11" s="905"/>
      <c r="G11" s="133">
        <f t="shared" si="1"/>
        <v>1</v>
      </c>
      <c r="H11" s="134" t="str">
        <f t="shared" si="2"/>
        <v>2*</v>
      </c>
      <c r="I11" s="152">
        <f t="shared" si="2"/>
        <v>3</v>
      </c>
      <c r="J11" s="157"/>
      <c r="K11" s="154"/>
      <c r="L11" s="1015"/>
      <c r="M11" s="1016"/>
      <c r="N11" s="1016"/>
      <c r="O11" s="1016"/>
      <c r="P11" s="1016"/>
      <c r="Q11" s="1016"/>
      <c r="R11" s="1017"/>
      <c r="T11" s="99">
        <v>4</v>
      </c>
      <c r="U11" s="88" t="s">
        <v>345</v>
      </c>
      <c r="V11" s="453">
        <v>1</v>
      </c>
      <c r="W11" s="453" t="s">
        <v>340</v>
      </c>
      <c r="X11" s="453">
        <v>4</v>
      </c>
      <c r="Y11" s="453" t="s">
        <v>340</v>
      </c>
      <c r="Z11" s="146" t="s">
        <v>340</v>
      </c>
      <c r="AA11" s="146">
        <v>1</v>
      </c>
      <c r="AB11" s="146">
        <v>0</v>
      </c>
      <c r="AC11" s="453">
        <v>3</v>
      </c>
      <c r="AD11" s="453">
        <v>2</v>
      </c>
      <c r="AE11" s="453">
        <v>1</v>
      </c>
      <c r="AF11" s="453" t="b">
        <v>1</v>
      </c>
      <c r="AG11" s="453">
        <f t="shared" si="3"/>
        <v>3</v>
      </c>
      <c r="AH11" s="453">
        <f t="shared" si="4"/>
        <v>2</v>
      </c>
      <c r="AI11" s="138">
        <f>IF(NOT(OR(Z11=1,Z11=2)),IF(AQ11&gt;0,$AR$44*AQ11/SUMIF($AQ$8:$AQ$39,"&gt;0"),IF(AU11&gt;0,$AV$44*AU11/SUMIF($AU$8:$AU$39,"&gt;0"),IF(AS11&gt;0,$AT$44*AS11/SUMIF($AS$8:$AS$39,"&gt;0"),""))),IF(SUMIF(AJ12:$AJ$39,"=" &amp; AJ11,AI12:$AI$39)=0,"",SUMIF(AJ12:$AJ$39,"=" &amp; AJ11,AI12:$AI$39)))</f>
        <v>0.04</v>
      </c>
      <c r="AJ11" s="139">
        <f t="shared" si="34"/>
        <v>0</v>
      </c>
      <c r="AK11" s="453">
        <f t="shared" si="27"/>
        <v>2</v>
      </c>
      <c r="AL11" s="146" t="str">
        <f t="shared" si="28"/>
        <v/>
      </c>
      <c r="AM11" s="146" t="str">
        <f t="shared" si="35"/>
        <v/>
      </c>
      <c r="AN11" s="146" t="str">
        <f t="shared" si="5"/>
        <v/>
      </c>
      <c r="AO11" s="146">
        <f t="shared" si="6"/>
        <v>3</v>
      </c>
      <c r="AP11" s="453" t="b">
        <f t="shared" si="7"/>
        <v>1</v>
      </c>
      <c r="AQ11" s="140">
        <f t="shared" si="29"/>
        <v>0</v>
      </c>
      <c r="AR11" s="141" t="str">
        <f t="shared" si="8"/>
        <v/>
      </c>
      <c r="AS11" s="142">
        <f t="shared" si="30"/>
        <v>4</v>
      </c>
      <c r="AT11" s="141" t="str">
        <f t="shared" si="9"/>
        <v/>
      </c>
      <c r="AU11" s="143">
        <f t="shared" si="10"/>
        <v>0</v>
      </c>
      <c r="AV11" s="144" t="str">
        <f t="shared" si="11"/>
        <v/>
      </c>
      <c r="AW11" s="143" t="b">
        <f t="shared" si="12"/>
        <v>1</v>
      </c>
      <c r="AX11" s="145" t="b">
        <f t="shared" si="13"/>
        <v>0</v>
      </c>
      <c r="AY11" s="143" t="b">
        <f t="shared" si="14"/>
        <v>0</v>
      </c>
      <c r="AZ11" s="145" t="b">
        <f t="shared" si="15"/>
        <v>0</v>
      </c>
      <c r="BA11" s="453" t="b">
        <f t="shared" si="16"/>
        <v>0</v>
      </c>
      <c r="BB11" s="453" t="b">
        <f t="shared" si="17"/>
        <v>0</v>
      </c>
      <c r="BC11" s="143" t="b">
        <f t="shared" si="18"/>
        <v>0</v>
      </c>
      <c r="BD11" s="146" t="b">
        <f t="shared" si="31"/>
        <v>0</v>
      </c>
      <c r="BE11" s="145" t="b">
        <f t="shared" si="19"/>
        <v>0</v>
      </c>
      <c r="BF11" s="147" t="b">
        <f t="shared" si="20"/>
        <v>0</v>
      </c>
      <c r="BG11" s="453" t="b">
        <f t="shared" si="21"/>
        <v>1</v>
      </c>
      <c r="BH11" s="453">
        <f t="shared" si="32"/>
        <v>1</v>
      </c>
      <c r="BI11" s="453">
        <f t="shared" si="22"/>
        <v>2</v>
      </c>
      <c r="BJ11" s="453" t="str">
        <f t="shared" si="23"/>
        <v>2*</v>
      </c>
      <c r="BK11" s="453">
        <f t="shared" si="24"/>
        <v>3</v>
      </c>
      <c r="BL11" s="148">
        <f t="shared" si="33"/>
        <v>1</v>
      </c>
      <c r="BM11" s="453">
        <f t="shared" si="25"/>
        <v>2</v>
      </c>
      <c r="BN11" s="453">
        <f t="shared" si="26"/>
        <v>3</v>
      </c>
      <c r="BO11" s="155">
        <v>1</v>
      </c>
      <c r="BP11" s="156" t="s">
        <v>348</v>
      </c>
    </row>
    <row r="12" spans="2:73" s="94" customFormat="1" ht="12.95" customHeight="1" x14ac:dyDescent="0.2">
      <c r="B12" s="151">
        <f>IF(ISNA(Z12),"",IF(OR(Z12=1,Z12=2),"    ",MAX($B$8:B11)+1))</f>
        <v>4</v>
      </c>
      <c r="C12" s="904" t="str">
        <f t="shared" si="0"/>
        <v>Situational Awareness/Judgement (4.0%)</v>
      </c>
      <c r="D12" s="904"/>
      <c r="E12" s="904"/>
      <c r="F12" s="905"/>
      <c r="G12" s="133">
        <f t="shared" si="1"/>
        <v>1</v>
      </c>
      <c r="H12" s="134" t="str">
        <f t="shared" si="2"/>
        <v>2*</v>
      </c>
      <c r="I12" s="152">
        <f t="shared" si="2"/>
        <v>3</v>
      </c>
      <c r="J12" s="157"/>
      <c r="K12" s="154"/>
      <c r="L12" s="1015"/>
      <c r="M12" s="1016"/>
      <c r="N12" s="1016"/>
      <c r="O12" s="1016"/>
      <c r="P12" s="1016"/>
      <c r="Q12" s="1016"/>
      <c r="R12" s="1017"/>
      <c r="T12" s="99">
        <v>5</v>
      </c>
      <c r="U12" s="88" t="s">
        <v>347</v>
      </c>
      <c r="V12" s="453">
        <v>1</v>
      </c>
      <c r="W12" s="453" t="s">
        <v>340</v>
      </c>
      <c r="X12" s="453">
        <v>4</v>
      </c>
      <c r="Y12" s="453" t="s">
        <v>340</v>
      </c>
      <c r="Z12" s="146" t="s">
        <v>340</v>
      </c>
      <c r="AA12" s="146">
        <v>1</v>
      </c>
      <c r="AB12" s="146">
        <v>0</v>
      </c>
      <c r="AC12" s="453">
        <v>3</v>
      </c>
      <c r="AD12" s="453">
        <v>2</v>
      </c>
      <c r="AE12" s="453">
        <v>1</v>
      </c>
      <c r="AF12" s="453" t="b">
        <v>1</v>
      </c>
      <c r="AG12" s="453">
        <f t="shared" si="3"/>
        <v>3</v>
      </c>
      <c r="AH12" s="453">
        <f t="shared" si="4"/>
        <v>2</v>
      </c>
      <c r="AI12" s="138">
        <f>IF(NOT(OR(Z12=1,Z12=2)),IF(AQ12&gt;0,$AR$44*AQ12/SUMIF($AQ$8:$AQ$39,"&gt;0"),IF(AU12&gt;0,$AV$44*AU12/SUMIF($AU$8:$AU$39,"&gt;0"),IF(AS12&gt;0,$AT$44*AS12/SUMIF($AS$8:$AS$39,"&gt;0"),""))),IF(SUMIF(AJ13:$AJ$39,"=" &amp; AJ12,AI13:$AI$39)=0,"",SUMIF(AJ13:$AJ$39,"=" &amp; AJ12,AI13:$AI$39)))</f>
        <v>0.04</v>
      </c>
      <c r="AJ12" s="139">
        <f t="shared" si="34"/>
        <v>0</v>
      </c>
      <c r="AK12" s="453">
        <f t="shared" si="27"/>
        <v>2</v>
      </c>
      <c r="AL12" s="146" t="str">
        <f t="shared" si="28"/>
        <v/>
      </c>
      <c r="AM12" s="146" t="str">
        <f t="shared" si="35"/>
        <v/>
      </c>
      <c r="AN12" s="146" t="str">
        <f t="shared" si="5"/>
        <v/>
      </c>
      <c r="AO12" s="146">
        <f t="shared" si="6"/>
        <v>3</v>
      </c>
      <c r="AP12" s="453" t="b">
        <f t="shared" si="7"/>
        <v>1</v>
      </c>
      <c r="AQ12" s="140">
        <f t="shared" si="29"/>
        <v>0</v>
      </c>
      <c r="AR12" s="141" t="str">
        <f t="shared" si="8"/>
        <v/>
      </c>
      <c r="AS12" s="142">
        <f t="shared" si="30"/>
        <v>4</v>
      </c>
      <c r="AT12" s="141" t="str">
        <f t="shared" si="9"/>
        <v/>
      </c>
      <c r="AU12" s="143">
        <f t="shared" si="10"/>
        <v>0</v>
      </c>
      <c r="AV12" s="144" t="str">
        <f t="shared" si="11"/>
        <v/>
      </c>
      <c r="AW12" s="143" t="b">
        <f t="shared" si="12"/>
        <v>1</v>
      </c>
      <c r="AX12" s="145" t="b">
        <f t="shared" si="13"/>
        <v>0</v>
      </c>
      <c r="AY12" s="143" t="b">
        <f t="shared" si="14"/>
        <v>0</v>
      </c>
      <c r="AZ12" s="145" t="b">
        <f t="shared" si="15"/>
        <v>0</v>
      </c>
      <c r="BA12" s="453" t="b">
        <f t="shared" si="16"/>
        <v>0</v>
      </c>
      <c r="BB12" s="453" t="b">
        <f t="shared" si="17"/>
        <v>0</v>
      </c>
      <c r="BC12" s="143" t="b">
        <f t="shared" si="18"/>
        <v>0</v>
      </c>
      <c r="BD12" s="146" t="b">
        <f t="shared" si="31"/>
        <v>0</v>
      </c>
      <c r="BE12" s="145" t="b">
        <f t="shared" si="19"/>
        <v>0</v>
      </c>
      <c r="BF12" s="147" t="b">
        <f t="shared" si="20"/>
        <v>0</v>
      </c>
      <c r="BG12" s="453" t="b">
        <f t="shared" si="21"/>
        <v>1</v>
      </c>
      <c r="BH12" s="453">
        <f t="shared" si="32"/>
        <v>1</v>
      </c>
      <c r="BI12" s="453">
        <f t="shared" si="22"/>
        <v>2</v>
      </c>
      <c r="BJ12" s="453" t="str">
        <f t="shared" si="23"/>
        <v>2*</v>
      </c>
      <c r="BK12" s="453">
        <f t="shared" si="24"/>
        <v>3</v>
      </c>
      <c r="BL12" s="148">
        <f t="shared" si="33"/>
        <v>1</v>
      </c>
      <c r="BM12" s="453">
        <f t="shared" si="25"/>
        <v>2</v>
      </c>
      <c r="BN12" s="453">
        <f t="shared" si="26"/>
        <v>3</v>
      </c>
      <c r="BO12" s="155">
        <v>2</v>
      </c>
      <c r="BP12" s="156" t="s">
        <v>350</v>
      </c>
    </row>
    <row r="13" spans="2:73" s="94" customFormat="1" ht="12.95" customHeight="1" x14ac:dyDescent="0.2">
      <c r="B13" s="151">
        <f>IF(ISNA(Z13),"",IF(OR(Z13=1,Z13=2),"    ",MAX($B$8:B12)+1))</f>
        <v>5</v>
      </c>
      <c r="C13" s="904" t="str">
        <f t="shared" si="0"/>
        <v>Clearing/Visual Lookout (4.0%)</v>
      </c>
      <c r="D13" s="904"/>
      <c r="E13" s="904"/>
      <c r="F13" s="905"/>
      <c r="G13" s="133">
        <f t="shared" si="1"/>
        <v>1</v>
      </c>
      <c r="H13" s="134" t="str">
        <f t="shared" si="2"/>
        <v>2*</v>
      </c>
      <c r="I13" s="152">
        <f t="shared" si="2"/>
        <v>3</v>
      </c>
      <c r="J13" s="157"/>
      <c r="K13" s="154"/>
      <c r="L13" s="1015"/>
      <c r="M13" s="1016"/>
      <c r="N13" s="1016"/>
      <c r="O13" s="1016"/>
      <c r="P13" s="1016"/>
      <c r="Q13" s="1016"/>
      <c r="R13" s="1017"/>
      <c r="T13" s="99">
        <v>6</v>
      </c>
      <c r="U13" s="88" t="s">
        <v>349</v>
      </c>
      <c r="V13" s="453">
        <v>1</v>
      </c>
      <c r="W13" s="453" t="s">
        <v>340</v>
      </c>
      <c r="X13" s="453">
        <v>4</v>
      </c>
      <c r="Y13" s="453" t="s">
        <v>340</v>
      </c>
      <c r="Z13" s="146" t="s">
        <v>340</v>
      </c>
      <c r="AA13" s="146">
        <v>1</v>
      </c>
      <c r="AB13" s="146">
        <v>0</v>
      </c>
      <c r="AC13" s="453">
        <v>3</v>
      </c>
      <c r="AD13" s="453">
        <v>2</v>
      </c>
      <c r="AE13" s="453">
        <v>1</v>
      </c>
      <c r="AF13" s="453" t="b">
        <v>1</v>
      </c>
      <c r="AG13" s="453">
        <f t="shared" si="3"/>
        <v>3</v>
      </c>
      <c r="AH13" s="453">
        <f t="shared" si="4"/>
        <v>2</v>
      </c>
      <c r="AI13" s="138">
        <f>IF(NOT(OR(Z13=1,Z13=2)),IF(AQ13&gt;0,$AR$44*AQ13/SUMIF($AQ$8:$AQ$39,"&gt;0"),IF(AU13&gt;0,$AV$44*AU13/SUMIF($AU$8:$AU$39,"&gt;0"),IF(AS13&gt;0,$AT$44*AS13/SUMIF($AS$8:$AS$39,"&gt;0"),""))),IF(SUMIF(AJ14:$AJ$39,"=" &amp; AJ13,AI14:$AI$39)=0,"",SUMIF(AJ14:$AJ$39,"=" &amp; AJ13,AI14:$AI$39)))</f>
        <v>0.04</v>
      </c>
      <c r="AJ13" s="139">
        <f t="shared" si="34"/>
        <v>0</v>
      </c>
      <c r="AK13" s="453">
        <f t="shared" si="27"/>
        <v>2</v>
      </c>
      <c r="AL13" s="146" t="str">
        <f t="shared" si="28"/>
        <v/>
      </c>
      <c r="AM13" s="146" t="str">
        <f t="shared" si="35"/>
        <v/>
      </c>
      <c r="AN13" s="146" t="str">
        <f t="shared" si="5"/>
        <v/>
      </c>
      <c r="AO13" s="146">
        <f t="shared" si="6"/>
        <v>3</v>
      </c>
      <c r="AP13" s="453" t="b">
        <f t="shared" si="7"/>
        <v>1</v>
      </c>
      <c r="AQ13" s="140">
        <f t="shared" si="29"/>
        <v>0</v>
      </c>
      <c r="AR13" s="141" t="str">
        <f t="shared" si="8"/>
        <v/>
      </c>
      <c r="AS13" s="142">
        <f t="shared" si="30"/>
        <v>4</v>
      </c>
      <c r="AT13" s="141" t="str">
        <f t="shared" si="9"/>
        <v/>
      </c>
      <c r="AU13" s="143">
        <f t="shared" si="10"/>
        <v>0</v>
      </c>
      <c r="AV13" s="144" t="str">
        <f t="shared" si="11"/>
        <v/>
      </c>
      <c r="AW13" s="143" t="b">
        <f t="shared" si="12"/>
        <v>1</v>
      </c>
      <c r="AX13" s="145" t="b">
        <f t="shared" si="13"/>
        <v>0</v>
      </c>
      <c r="AY13" s="143" t="b">
        <f t="shared" si="14"/>
        <v>0</v>
      </c>
      <c r="AZ13" s="145" t="b">
        <f t="shared" si="15"/>
        <v>0</v>
      </c>
      <c r="BA13" s="453" t="b">
        <f t="shared" si="16"/>
        <v>0</v>
      </c>
      <c r="BB13" s="453" t="b">
        <f t="shared" si="17"/>
        <v>0</v>
      </c>
      <c r="BC13" s="143" t="b">
        <f t="shared" si="18"/>
        <v>0</v>
      </c>
      <c r="BD13" s="146" t="b">
        <f t="shared" si="31"/>
        <v>0</v>
      </c>
      <c r="BE13" s="145" t="b">
        <f t="shared" si="19"/>
        <v>0</v>
      </c>
      <c r="BF13" s="147" t="b">
        <f t="shared" si="20"/>
        <v>0</v>
      </c>
      <c r="BG13" s="453" t="b">
        <f t="shared" si="21"/>
        <v>1</v>
      </c>
      <c r="BH13" s="453">
        <f t="shared" si="32"/>
        <v>1</v>
      </c>
      <c r="BI13" s="453">
        <f t="shared" si="22"/>
        <v>2</v>
      </c>
      <c r="BJ13" s="453" t="str">
        <f t="shared" si="23"/>
        <v>2*</v>
      </c>
      <c r="BK13" s="453">
        <f t="shared" si="24"/>
        <v>3</v>
      </c>
      <c r="BL13" s="148">
        <f t="shared" si="33"/>
        <v>1</v>
      </c>
      <c r="BM13" s="453">
        <f t="shared" si="25"/>
        <v>2</v>
      </c>
      <c r="BN13" s="453">
        <f t="shared" si="26"/>
        <v>3</v>
      </c>
      <c r="BO13" s="155">
        <v>3</v>
      </c>
      <c r="BP13" s="156" t="s">
        <v>352</v>
      </c>
    </row>
    <row r="14" spans="2:73" s="94" customFormat="1" ht="12.95" customHeight="1" x14ac:dyDescent="0.2">
      <c r="B14" s="151" t="str">
        <f>IF(ISNA(Z14),"",IF(OR(Z14=1,Z14=2),"    ",MAX($B$8:B13)+1))</f>
        <v xml:space="preserve">    </v>
      </c>
      <c r="C14" s="904" t="str">
        <f t="shared" si="0"/>
        <v>Academic Tasks</v>
      </c>
      <c r="D14" s="904"/>
      <c r="E14" s="904"/>
      <c r="F14" s="905"/>
      <c r="G14" s="133" t="str">
        <f t="shared" si="1"/>
        <v/>
      </c>
      <c r="H14" s="134" t="str">
        <f t="shared" si="2"/>
        <v/>
      </c>
      <c r="I14" s="152" t="str">
        <f t="shared" si="2"/>
        <v/>
      </c>
      <c r="J14" s="158"/>
      <c r="K14" s="159"/>
      <c r="L14" s="1015"/>
      <c r="M14" s="1016"/>
      <c r="N14" s="1016"/>
      <c r="O14" s="1016"/>
      <c r="P14" s="1016"/>
      <c r="Q14" s="1016"/>
      <c r="R14" s="1017"/>
      <c r="T14" s="99">
        <v>7</v>
      </c>
      <c r="U14" s="88" t="s">
        <v>351</v>
      </c>
      <c r="V14" s="453" t="s">
        <v>340</v>
      </c>
      <c r="W14" s="453" t="s">
        <v>340</v>
      </c>
      <c r="X14" s="453" t="s">
        <v>340</v>
      </c>
      <c r="Y14" s="453" t="s">
        <v>340</v>
      </c>
      <c r="Z14" s="146">
        <v>1</v>
      </c>
      <c r="AA14" s="146">
        <v>0</v>
      </c>
      <c r="AB14" s="146">
        <v>1</v>
      </c>
      <c r="AC14" s="453" t="s">
        <v>340</v>
      </c>
      <c r="AD14" s="453" t="s">
        <v>340</v>
      </c>
      <c r="AE14" s="453">
        <v>0</v>
      </c>
      <c r="AF14" s="453" t="s">
        <v>340</v>
      </c>
      <c r="AG14" s="453" t="str">
        <f t="shared" si="3"/>
        <v/>
      </c>
      <c r="AH14" s="453" t="str">
        <f t="shared" si="4"/>
        <v/>
      </c>
      <c r="AI14" s="138" t="str">
        <f>IF(NOT(OR(Z14=1,Z14=2)),IF(AQ14&gt;0,$AR$44*AQ14/SUMIF($AQ$8:$AQ$39,"&gt;0"),IF(AU14&gt;0,$AV$44*AU14/SUMIF($AU$8:$AU$39,"&gt;0"),IF(AS14&gt;0,$AT$44*AS14/SUMIF($AS$8:$AS$39,"&gt;0"),""))),IF(SUMIF(AJ15:$AJ$39,"=" &amp; AJ14,AI15:$AI$39)=0,"",SUMIF(AJ15:$AJ$39,"=" &amp; AJ14,AI15:$AI$39)))</f>
        <v/>
      </c>
      <c r="AJ14" s="139">
        <f t="shared" si="34"/>
        <v>1</v>
      </c>
      <c r="AK14" s="453" t="str">
        <f t="shared" si="27"/>
        <v/>
      </c>
      <c r="AL14" s="146" t="str">
        <f t="shared" si="28"/>
        <v/>
      </c>
      <c r="AM14" s="146" t="str">
        <f t="shared" si="35"/>
        <v/>
      </c>
      <c r="AN14" s="146" t="str">
        <f t="shared" si="5"/>
        <v/>
      </c>
      <c r="AO14" s="146" t="str">
        <f t="shared" si="6"/>
        <v/>
      </c>
      <c r="AP14" s="453" t="str">
        <f t="shared" si="7"/>
        <v/>
      </c>
      <c r="AQ14" s="140">
        <f t="shared" si="29"/>
        <v>0</v>
      </c>
      <c r="AR14" s="141" t="str">
        <f t="shared" si="8"/>
        <v/>
      </c>
      <c r="AS14" s="142">
        <f t="shared" si="30"/>
        <v>0</v>
      </c>
      <c r="AT14" s="141" t="str">
        <f t="shared" si="9"/>
        <v/>
      </c>
      <c r="AU14" s="143">
        <f t="shared" si="10"/>
        <v>0</v>
      </c>
      <c r="AV14" s="144" t="str">
        <f t="shared" si="11"/>
        <v/>
      </c>
      <c r="AW14" s="143" t="b">
        <f t="shared" si="12"/>
        <v>0</v>
      </c>
      <c r="AX14" s="145" t="b">
        <f t="shared" si="13"/>
        <v>0</v>
      </c>
      <c r="AY14" s="143" t="b">
        <f t="shared" si="14"/>
        <v>0</v>
      </c>
      <c r="AZ14" s="145" t="b">
        <f t="shared" si="15"/>
        <v>0</v>
      </c>
      <c r="BA14" s="453" t="b">
        <f t="shared" si="16"/>
        <v>0</v>
      </c>
      <c r="BB14" s="453" t="b">
        <f t="shared" si="17"/>
        <v>0</v>
      </c>
      <c r="BC14" s="143" t="b">
        <f t="shared" si="18"/>
        <v>0</v>
      </c>
      <c r="BD14" s="146" t="b">
        <f t="shared" si="31"/>
        <v>0</v>
      </c>
      <c r="BE14" s="145" t="b">
        <f t="shared" si="19"/>
        <v>0</v>
      </c>
      <c r="BF14" s="147" t="b">
        <f t="shared" si="20"/>
        <v>0</v>
      </c>
      <c r="BG14" s="453" t="b">
        <f t="shared" si="21"/>
        <v>0</v>
      </c>
      <c r="BH14" s="453" t="str">
        <f t="shared" si="32"/>
        <v/>
      </c>
      <c r="BI14" s="453" t="str">
        <f t="shared" si="22"/>
        <v/>
      </c>
      <c r="BJ14" s="453" t="str">
        <f t="shared" si="23"/>
        <v/>
      </c>
      <c r="BK14" s="453" t="str">
        <f t="shared" si="24"/>
        <v/>
      </c>
      <c r="BL14" s="148" t="str">
        <f t="shared" si="33"/>
        <v/>
      </c>
      <c r="BM14" s="453" t="str">
        <f t="shared" si="25"/>
        <v/>
      </c>
      <c r="BN14" s="453" t="str">
        <f t="shared" si="26"/>
        <v/>
      </c>
      <c r="BO14" s="155">
        <v>4</v>
      </c>
      <c r="BP14" s="156" t="s">
        <v>354</v>
      </c>
    </row>
    <row r="15" spans="2:73" s="94" customFormat="1" ht="12.95" customHeight="1" x14ac:dyDescent="0.2">
      <c r="B15" s="151" t="str">
        <f>IF(ISNA(Z15),"",IF(OR(Z15=1,Z15=2),"    ",MAX($B$8:B14)+1))</f>
        <v xml:space="preserve">    </v>
      </c>
      <c r="C15" s="904" t="str">
        <f t="shared" si="0"/>
        <v>Test Conduct (22.9%)</v>
      </c>
      <c r="D15" s="904"/>
      <c r="E15" s="904"/>
      <c r="F15" s="905"/>
      <c r="G15" s="133" t="str">
        <f t="shared" si="1"/>
        <v/>
      </c>
      <c r="H15" s="134" t="str">
        <f t="shared" si="2"/>
        <v/>
      </c>
      <c r="I15" s="152" t="str">
        <f t="shared" si="2"/>
        <v/>
      </c>
      <c r="J15" s="158"/>
      <c r="K15" s="159"/>
      <c r="L15" s="1015"/>
      <c r="M15" s="1016"/>
      <c r="N15" s="1016"/>
      <c r="O15" s="1016"/>
      <c r="P15" s="1016"/>
      <c r="Q15" s="1016"/>
      <c r="R15" s="1017"/>
      <c r="T15" s="99">
        <v>8</v>
      </c>
      <c r="U15" s="88" t="s">
        <v>353</v>
      </c>
      <c r="V15" s="453" t="s">
        <v>340</v>
      </c>
      <c r="W15" s="453" t="s">
        <v>340</v>
      </c>
      <c r="X15" s="453" t="s">
        <v>340</v>
      </c>
      <c r="Y15" s="453" t="s">
        <v>340</v>
      </c>
      <c r="Z15" s="146">
        <v>2</v>
      </c>
      <c r="AA15" s="146">
        <v>1</v>
      </c>
      <c r="AB15" s="146">
        <v>1</v>
      </c>
      <c r="AC15" s="453" t="s">
        <v>340</v>
      </c>
      <c r="AD15" s="453" t="s">
        <v>340</v>
      </c>
      <c r="AE15" s="453" t="s">
        <v>340</v>
      </c>
      <c r="AF15" s="453" t="s">
        <v>340</v>
      </c>
      <c r="AG15" s="453" t="str">
        <f t="shared" si="3"/>
        <v/>
      </c>
      <c r="AH15" s="453" t="str">
        <f t="shared" si="4"/>
        <v/>
      </c>
      <c r="AI15" s="138">
        <f>IF(NOT(OR(Z15=1,Z15=2)),IF(AQ15&gt;0,$AR$44*AQ15/SUMIF($AQ$8:$AQ$39,"&gt;0"),IF(AU15&gt;0,$AV$44*AU15/SUMIF($AU$8:$AU$39,"&gt;0"),IF(AS15&gt;0,$AT$44*AS15/SUMIF($AS$8:$AS$39,"&gt;0"),""))),IF(SUMIF(AJ16:$AJ$39,"=" &amp; AJ15,AI16:$AI$39)=0,"",SUMIF(AJ16:$AJ$39,"=" &amp; AJ15,AI16:$AI$39)))</f>
        <v>0.22857142857142859</v>
      </c>
      <c r="AJ15" s="139">
        <f t="shared" si="34"/>
        <v>2</v>
      </c>
      <c r="AK15" s="453" t="str">
        <f t="shared" si="27"/>
        <v/>
      </c>
      <c r="AL15" s="146" t="str">
        <f t="shared" si="28"/>
        <v/>
      </c>
      <c r="AM15" s="146" t="str">
        <f t="shared" si="35"/>
        <v/>
      </c>
      <c r="AN15" s="146" t="str">
        <f t="shared" si="5"/>
        <v/>
      </c>
      <c r="AO15" s="146" t="str">
        <f t="shared" si="6"/>
        <v/>
      </c>
      <c r="AP15" s="453" t="str">
        <f t="shared" si="7"/>
        <v/>
      </c>
      <c r="AQ15" s="140">
        <f t="shared" si="29"/>
        <v>0</v>
      </c>
      <c r="AR15" s="141" t="str">
        <f t="shared" si="8"/>
        <v/>
      </c>
      <c r="AS15" s="142">
        <f t="shared" si="30"/>
        <v>0</v>
      </c>
      <c r="AT15" s="141" t="str">
        <f t="shared" si="9"/>
        <v/>
      </c>
      <c r="AU15" s="143">
        <f t="shared" si="10"/>
        <v>0</v>
      </c>
      <c r="AV15" s="144" t="str">
        <f t="shared" si="11"/>
        <v/>
      </c>
      <c r="AW15" s="143" t="b">
        <f t="shared" si="12"/>
        <v>0</v>
      </c>
      <c r="AX15" s="145" t="b">
        <f t="shared" si="13"/>
        <v>0</v>
      </c>
      <c r="AY15" s="143" t="b">
        <f t="shared" si="14"/>
        <v>0</v>
      </c>
      <c r="AZ15" s="145" t="b">
        <f t="shared" si="15"/>
        <v>0</v>
      </c>
      <c r="BA15" s="453" t="b">
        <f t="shared" si="16"/>
        <v>0</v>
      </c>
      <c r="BB15" s="453" t="b">
        <f t="shared" si="17"/>
        <v>0</v>
      </c>
      <c r="BC15" s="143" t="b">
        <f t="shared" si="18"/>
        <v>0</v>
      </c>
      <c r="BD15" s="146" t="b">
        <f t="shared" si="31"/>
        <v>0</v>
      </c>
      <c r="BE15" s="145" t="b">
        <f t="shared" si="19"/>
        <v>0</v>
      </c>
      <c r="BF15" s="147" t="b">
        <f t="shared" si="20"/>
        <v>0</v>
      </c>
      <c r="BG15" s="453" t="b">
        <f t="shared" si="21"/>
        <v>0</v>
      </c>
      <c r="BH15" s="453" t="str">
        <f t="shared" si="32"/>
        <v/>
      </c>
      <c r="BI15" s="453" t="str">
        <f t="shared" si="22"/>
        <v/>
      </c>
      <c r="BJ15" s="453" t="str">
        <f t="shared" si="23"/>
        <v/>
      </c>
      <c r="BK15" s="453" t="str">
        <f t="shared" si="24"/>
        <v/>
      </c>
      <c r="BL15" s="148" t="str">
        <f t="shared" si="33"/>
        <v/>
      </c>
      <c r="BM15" s="453" t="str">
        <f t="shared" si="25"/>
        <v/>
      </c>
      <c r="BN15" s="453" t="str">
        <f t="shared" si="26"/>
        <v/>
      </c>
      <c r="BO15" s="90"/>
    </row>
    <row r="16" spans="2:73" s="94" customFormat="1" ht="12.95" customHeight="1" x14ac:dyDescent="0.2">
      <c r="B16" s="151">
        <f>IF(ISNA(Z16),"",IF(OR(Z16=1,Z16=2),"    ",MAX($B$8:B15)+1))</f>
        <v>6</v>
      </c>
      <c r="C16" s="904" t="str">
        <f t="shared" si="0"/>
        <v xml:space="preserve">      - Mission Preparation (7.6%)</v>
      </c>
      <c r="D16" s="904"/>
      <c r="E16" s="904"/>
      <c r="F16" s="905"/>
      <c r="G16" s="133">
        <f t="shared" si="1"/>
        <v>1</v>
      </c>
      <c r="H16" s="134" t="str">
        <f t="shared" si="2"/>
        <v>2*</v>
      </c>
      <c r="I16" s="152">
        <f t="shared" si="2"/>
        <v>3</v>
      </c>
      <c r="J16" s="157"/>
      <c r="K16" s="154"/>
      <c r="L16" s="1015"/>
      <c r="M16" s="1016"/>
      <c r="N16" s="1016"/>
      <c r="O16" s="1016"/>
      <c r="P16" s="1016"/>
      <c r="Q16" s="1016"/>
      <c r="R16" s="1017"/>
      <c r="T16" s="99">
        <v>9</v>
      </c>
      <c r="U16" s="88" t="s">
        <v>498</v>
      </c>
      <c r="V16" s="453">
        <v>1</v>
      </c>
      <c r="W16" s="453">
        <v>8</v>
      </c>
      <c r="X16" s="453" t="s">
        <v>340</v>
      </c>
      <c r="Y16" s="453" t="s">
        <v>340</v>
      </c>
      <c r="Z16" s="146" t="s">
        <v>340</v>
      </c>
      <c r="AA16" s="146">
        <v>2</v>
      </c>
      <c r="AB16" s="146">
        <v>1</v>
      </c>
      <c r="AC16" s="453">
        <v>3</v>
      </c>
      <c r="AD16" s="453">
        <v>2</v>
      </c>
      <c r="AE16" s="453">
        <v>1</v>
      </c>
      <c r="AF16" s="453" t="b">
        <v>1</v>
      </c>
      <c r="AG16" s="453">
        <f t="shared" si="3"/>
        <v>3</v>
      </c>
      <c r="AH16" s="453">
        <f t="shared" si="4"/>
        <v>2</v>
      </c>
      <c r="AI16" s="138">
        <f>IF(NOT(OR(Z16=1,Z16=2)),IF(AQ16&gt;0,$AR$44*AQ16/SUMIF($AQ$8:$AQ$39,"&gt;0"),IF(AU16&gt;0,$AV$44*AU16/SUMIF($AU$8:$AU$39,"&gt;0"),IF(AS16&gt;0,$AT$44*AS16/SUMIF($AS$8:$AS$39,"&gt;0"),""))),IF(SUMIF(AJ17:$AJ$39,"=" &amp; AJ16,AI17:$AI$39)=0,"",SUMIF(AJ17:$AJ$39,"=" &amp; AJ16,AI17:$AI$39)))</f>
        <v>7.6190476190476197E-2</v>
      </c>
      <c r="AJ16" s="139">
        <f t="shared" si="34"/>
        <v>2</v>
      </c>
      <c r="AK16" s="453">
        <f t="shared" si="27"/>
        <v>2</v>
      </c>
      <c r="AL16" s="146" t="str">
        <f t="shared" si="28"/>
        <v/>
      </c>
      <c r="AM16" s="146" t="str">
        <f t="shared" si="35"/>
        <v/>
      </c>
      <c r="AN16" s="146" t="str">
        <f t="shared" si="5"/>
        <v/>
      </c>
      <c r="AO16" s="146" t="str">
        <f t="shared" si="6"/>
        <v/>
      </c>
      <c r="AP16" s="453" t="b">
        <f t="shared" si="7"/>
        <v>1</v>
      </c>
      <c r="AQ16" s="140">
        <f t="shared" si="29"/>
        <v>8</v>
      </c>
      <c r="AR16" s="141" t="str">
        <f t="shared" si="8"/>
        <v/>
      </c>
      <c r="AS16" s="142">
        <f t="shared" si="30"/>
        <v>0</v>
      </c>
      <c r="AT16" s="141" t="str">
        <f t="shared" si="9"/>
        <v/>
      </c>
      <c r="AU16" s="143">
        <f t="shared" si="10"/>
        <v>0</v>
      </c>
      <c r="AV16" s="144" t="str">
        <f t="shared" si="11"/>
        <v/>
      </c>
      <c r="AW16" s="143" t="b">
        <f t="shared" si="12"/>
        <v>0</v>
      </c>
      <c r="AX16" s="145" t="b">
        <f t="shared" si="13"/>
        <v>1</v>
      </c>
      <c r="AY16" s="143" t="b">
        <f t="shared" si="14"/>
        <v>0</v>
      </c>
      <c r="AZ16" s="145" t="b">
        <f t="shared" si="15"/>
        <v>0</v>
      </c>
      <c r="BA16" s="453" t="b">
        <f t="shared" si="16"/>
        <v>0</v>
      </c>
      <c r="BB16" s="453" t="b">
        <f t="shared" si="17"/>
        <v>0</v>
      </c>
      <c r="BC16" s="143" t="b">
        <f t="shared" si="18"/>
        <v>0</v>
      </c>
      <c r="BD16" s="146" t="b">
        <f t="shared" si="31"/>
        <v>0</v>
      </c>
      <c r="BE16" s="145" t="b">
        <f t="shared" si="19"/>
        <v>0</v>
      </c>
      <c r="BF16" s="147" t="b">
        <f t="shared" si="20"/>
        <v>0</v>
      </c>
      <c r="BG16" s="453" t="b">
        <f t="shared" si="21"/>
        <v>1</v>
      </c>
      <c r="BH16" s="453">
        <f t="shared" si="32"/>
        <v>1</v>
      </c>
      <c r="BI16" s="453">
        <f t="shared" si="22"/>
        <v>2</v>
      </c>
      <c r="BJ16" s="453" t="str">
        <f t="shared" si="23"/>
        <v>2*</v>
      </c>
      <c r="BK16" s="453">
        <f t="shared" si="24"/>
        <v>3</v>
      </c>
      <c r="BL16" s="148">
        <f t="shared" si="33"/>
        <v>1</v>
      </c>
      <c r="BM16" s="453">
        <f t="shared" si="25"/>
        <v>2</v>
      </c>
      <c r="BN16" s="453">
        <f t="shared" si="26"/>
        <v>3</v>
      </c>
      <c r="BO16" s="155"/>
      <c r="BP16" s="160"/>
    </row>
    <row r="17" spans="2:73" s="94" customFormat="1" ht="12.95" customHeight="1" x14ac:dyDescent="0.2">
      <c r="B17" s="151">
        <f>IF(ISNA(Z17),"",IF(OR(Z17=1,Z17=2),"    ",MAX($B$8:B16)+1))</f>
        <v>7</v>
      </c>
      <c r="C17" s="904" t="str">
        <f t="shared" si="0"/>
        <v xml:space="preserve">      - SA/Adaptation During Execution (7.6%)</v>
      </c>
      <c r="D17" s="904"/>
      <c r="E17" s="904"/>
      <c r="F17" s="905"/>
      <c r="G17" s="133">
        <f t="shared" si="1"/>
        <v>1</v>
      </c>
      <c r="H17" s="134" t="str">
        <f t="shared" si="2"/>
        <v>2*</v>
      </c>
      <c r="I17" s="152">
        <f t="shared" si="2"/>
        <v>3</v>
      </c>
      <c r="J17" s="157"/>
      <c r="K17" s="154"/>
      <c r="L17" s="1015"/>
      <c r="M17" s="1016"/>
      <c r="N17" s="1016"/>
      <c r="O17" s="1016"/>
      <c r="P17" s="1016"/>
      <c r="Q17" s="1016"/>
      <c r="R17" s="1017"/>
      <c r="T17" s="99">
        <v>10</v>
      </c>
      <c r="U17" s="88" t="s">
        <v>806</v>
      </c>
      <c r="V17" s="453">
        <v>1</v>
      </c>
      <c r="W17" s="453">
        <v>8</v>
      </c>
      <c r="X17" s="453" t="s">
        <v>340</v>
      </c>
      <c r="Y17" s="453" t="s">
        <v>340</v>
      </c>
      <c r="Z17" s="146" t="s">
        <v>340</v>
      </c>
      <c r="AA17" s="146">
        <v>2</v>
      </c>
      <c r="AB17" s="146">
        <v>1</v>
      </c>
      <c r="AC17" s="453">
        <v>3</v>
      </c>
      <c r="AD17" s="453">
        <v>2</v>
      </c>
      <c r="AE17" s="453">
        <v>1</v>
      </c>
      <c r="AF17" s="453" t="b">
        <v>1</v>
      </c>
      <c r="AG17" s="453">
        <f t="shared" si="3"/>
        <v>3</v>
      </c>
      <c r="AH17" s="453">
        <f t="shared" si="4"/>
        <v>2</v>
      </c>
      <c r="AI17" s="138">
        <f>IF(NOT(OR(Z17=1,Z17=2)),IF(AQ17&gt;0,$AR$44*AQ17/SUMIF($AQ$8:$AQ$39,"&gt;0"),IF(AU17&gt;0,$AV$44*AU17/SUMIF($AU$8:$AU$39,"&gt;0"),IF(AS17&gt;0,$AT$44*AS17/SUMIF($AS$8:$AS$39,"&gt;0"),""))),IF(SUMIF(AJ18:$AJ$39,"=" &amp; AJ17,AI18:$AI$39)=0,"",SUMIF(AJ18:$AJ$39,"=" &amp; AJ17,AI18:$AI$39)))</f>
        <v>7.6190476190476197E-2</v>
      </c>
      <c r="AJ17" s="139">
        <f t="shared" si="34"/>
        <v>2</v>
      </c>
      <c r="AK17" s="453">
        <f t="shared" si="27"/>
        <v>2</v>
      </c>
      <c r="AL17" s="146" t="str">
        <f t="shared" si="28"/>
        <v/>
      </c>
      <c r="AM17" s="146" t="str">
        <f t="shared" si="35"/>
        <v/>
      </c>
      <c r="AN17" s="146" t="str">
        <f t="shared" si="5"/>
        <v/>
      </c>
      <c r="AO17" s="146" t="str">
        <f t="shared" si="6"/>
        <v/>
      </c>
      <c r="AP17" s="453" t="b">
        <f t="shared" si="7"/>
        <v>1</v>
      </c>
      <c r="AQ17" s="140">
        <f t="shared" si="29"/>
        <v>8</v>
      </c>
      <c r="AR17" s="141" t="str">
        <f t="shared" si="8"/>
        <v/>
      </c>
      <c r="AS17" s="142">
        <f t="shared" si="30"/>
        <v>0</v>
      </c>
      <c r="AT17" s="141" t="str">
        <f t="shared" si="9"/>
        <v/>
      </c>
      <c r="AU17" s="143">
        <f t="shared" si="10"/>
        <v>0</v>
      </c>
      <c r="AV17" s="144" t="str">
        <f t="shared" si="11"/>
        <v/>
      </c>
      <c r="AW17" s="143" t="b">
        <f t="shared" si="12"/>
        <v>0</v>
      </c>
      <c r="AX17" s="145" t="b">
        <f t="shared" si="13"/>
        <v>1</v>
      </c>
      <c r="AY17" s="143" t="b">
        <f t="shared" si="14"/>
        <v>0</v>
      </c>
      <c r="AZ17" s="145" t="b">
        <f t="shared" si="15"/>
        <v>0</v>
      </c>
      <c r="BA17" s="453" t="b">
        <f t="shared" si="16"/>
        <v>0</v>
      </c>
      <c r="BB17" s="453" t="b">
        <f t="shared" si="17"/>
        <v>0</v>
      </c>
      <c r="BC17" s="143" t="b">
        <f t="shared" si="18"/>
        <v>0</v>
      </c>
      <c r="BD17" s="146" t="b">
        <f t="shared" si="31"/>
        <v>0</v>
      </c>
      <c r="BE17" s="145" t="b">
        <f t="shared" si="19"/>
        <v>0</v>
      </c>
      <c r="BF17" s="147" t="b">
        <f t="shared" si="20"/>
        <v>0</v>
      </c>
      <c r="BG17" s="453" t="b">
        <f t="shared" si="21"/>
        <v>1</v>
      </c>
      <c r="BH17" s="453">
        <f t="shared" si="32"/>
        <v>1</v>
      </c>
      <c r="BI17" s="453">
        <f t="shared" si="22"/>
        <v>2</v>
      </c>
      <c r="BJ17" s="453" t="str">
        <f t="shared" si="23"/>
        <v>2*</v>
      </c>
      <c r="BK17" s="453">
        <f t="shared" si="24"/>
        <v>3</v>
      </c>
      <c r="BL17" s="148">
        <f t="shared" si="33"/>
        <v>1</v>
      </c>
      <c r="BM17" s="453">
        <f t="shared" si="25"/>
        <v>2</v>
      </c>
      <c r="BN17" s="453">
        <f t="shared" si="26"/>
        <v>3</v>
      </c>
      <c r="BO17" s="90"/>
    </row>
    <row r="18" spans="2:73" s="94" customFormat="1" ht="12.95" customHeight="1" x14ac:dyDescent="0.2">
      <c r="B18" s="151">
        <f>IF(ISNA(Z18),"",IF(OR(Z18=1,Z18=2),"    ",MAX($B$8:B17)+1))</f>
        <v>8</v>
      </c>
      <c r="C18" s="904" t="str">
        <f t="shared" si="0"/>
        <v xml:space="preserve">      - Communication (Debrief) (7.6%)</v>
      </c>
      <c r="D18" s="904"/>
      <c r="E18" s="904"/>
      <c r="F18" s="905"/>
      <c r="G18" s="133">
        <f t="shared" si="1"/>
        <v>1</v>
      </c>
      <c r="H18" s="134" t="str">
        <f t="shared" si="2"/>
        <v>2*</v>
      </c>
      <c r="I18" s="152">
        <f t="shared" si="2"/>
        <v>3</v>
      </c>
      <c r="J18" s="157"/>
      <c r="K18" s="154"/>
      <c r="L18" s="1015"/>
      <c r="M18" s="1016"/>
      <c r="N18" s="1016"/>
      <c r="O18" s="1016"/>
      <c r="P18" s="1016"/>
      <c r="Q18" s="1016"/>
      <c r="R18" s="1017"/>
      <c r="T18" s="99">
        <v>11</v>
      </c>
      <c r="U18" s="88" t="s">
        <v>807</v>
      </c>
      <c r="V18" s="453">
        <v>1</v>
      </c>
      <c r="W18" s="453">
        <v>8</v>
      </c>
      <c r="X18" s="453" t="s">
        <v>340</v>
      </c>
      <c r="Y18" s="453" t="s">
        <v>340</v>
      </c>
      <c r="Z18" s="146" t="s">
        <v>340</v>
      </c>
      <c r="AA18" s="146">
        <v>2</v>
      </c>
      <c r="AB18" s="146">
        <v>1</v>
      </c>
      <c r="AC18" s="453">
        <v>3</v>
      </c>
      <c r="AD18" s="453">
        <v>2</v>
      </c>
      <c r="AE18" s="453">
        <v>1</v>
      </c>
      <c r="AF18" s="453" t="b">
        <v>1</v>
      </c>
      <c r="AG18" s="453">
        <f t="shared" si="3"/>
        <v>3</v>
      </c>
      <c r="AH18" s="453">
        <f t="shared" si="4"/>
        <v>2</v>
      </c>
      <c r="AI18" s="138">
        <f>IF(NOT(OR(Z18=1,Z18=2)),IF(AQ18&gt;0,$AR$44*AQ18/SUMIF($AQ$8:$AQ$39,"&gt;0"),IF(AU18&gt;0,$AV$44*AU18/SUMIF($AU$8:$AU$39,"&gt;0"),IF(AS18&gt;0,$AT$44*AS18/SUMIF($AS$8:$AS$39,"&gt;0"),""))),IF(SUMIF(AJ19:$AJ$39,"=" &amp; AJ18,AI19:$AI$39)=0,"",SUMIF(AJ19:$AJ$39,"=" &amp; AJ18,AI19:$AI$39)))</f>
        <v>7.6190476190476197E-2</v>
      </c>
      <c r="AJ18" s="139">
        <f t="shared" si="34"/>
        <v>2</v>
      </c>
      <c r="AK18" s="453">
        <f t="shared" si="27"/>
        <v>2</v>
      </c>
      <c r="AL18" s="146" t="str">
        <f t="shared" si="28"/>
        <v/>
      </c>
      <c r="AM18" s="146" t="str">
        <f t="shared" si="35"/>
        <v/>
      </c>
      <c r="AN18" s="146" t="str">
        <f t="shared" si="5"/>
        <v/>
      </c>
      <c r="AO18" s="146" t="str">
        <f t="shared" si="6"/>
        <v/>
      </c>
      <c r="AP18" s="453" t="b">
        <f t="shared" si="7"/>
        <v>1</v>
      </c>
      <c r="AQ18" s="140">
        <f t="shared" si="29"/>
        <v>8</v>
      </c>
      <c r="AR18" s="141" t="str">
        <f t="shared" si="8"/>
        <v/>
      </c>
      <c r="AS18" s="142">
        <f t="shared" si="30"/>
        <v>0</v>
      </c>
      <c r="AT18" s="141" t="str">
        <f t="shared" si="9"/>
        <v/>
      </c>
      <c r="AU18" s="143">
        <f t="shared" si="10"/>
        <v>0</v>
      </c>
      <c r="AV18" s="144" t="str">
        <f t="shared" si="11"/>
        <v/>
      </c>
      <c r="AW18" s="143" t="b">
        <f t="shared" si="12"/>
        <v>0</v>
      </c>
      <c r="AX18" s="145" t="b">
        <f t="shared" si="13"/>
        <v>1</v>
      </c>
      <c r="AY18" s="143" t="b">
        <f t="shared" si="14"/>
        <v>0</v>
      </c>
      <c r="AZ18" s="145" t="b">
        <f t="shared" si="15"/>
        <v>0</v>
      </c>
      <c r="BA18" s="453" t="b">
        <f t="shared" si="16"/>
        <v>0</v>
      </c>
      <c r="BB18" s="453" t="b">
        <f t="shared" si="17"/>
        <v>0</v>
      </c>
      <c r="BC18" s="143" t="b">
        <f t="shared" si="18"/>
        <v>0</v>
      </c>
      <c r="BD18" s="146" t="b">
        <f t="shared" si="31"/>
        <v>0</v>
      </c>
      <c r="BE18" s="145" t="b">
        <f t="shared" si="19"/>
        <v>0</v>
      </c>
      <c r="BF18" s="147" t="b">
        <f t="shared" si="20"/>
        <v>0</v>
      </c>
      <c r="BG18" s="453" t="b">
        <f t="shared" si="21"/>
        <v>1</v>
      </c>
      <c r="BH18" s="453">
        <f t="shared" si="32"/>
        <v>1</v>
      </c>
      <c r="BI18" s="453">
        <f t="shared" si="22"/>
        <v>2</v>
      </c>
      <c r="BJ18" s="453" t="str">
        <f t="shared" si="23"/>
        <v>2*</v>
      </c>
      <c r="BK18" s="453">
        <f t="shared" si="24"/>
        <v>3</v>
      </c>
      <c r="BL18" s="148">
        <f t="shared" si="33"/>
        <v>1</v>
      </c>
      <c r="BM18" s="453">
        <f t="shared" si="25"/>
        <v>2</v>
      </c>
      <c r="BN18" s="453">
        <f t="shared" si="26"/>
        <v>3</v>
      </c>
      <c r="BO18" s="300"/>
      <c r="BP18" s="160" t="s">
        <v>355</v>
      </c>
      <c r="BQ18" s="161"/>
      <c r="BR18" s="161"/>
      <c r="BS18" s="161"/>
      <c r="BT18" s="161"/>
      <c r="BU18" s="161"/>
    </row>
    <row r="19" spans="2:73" s="94" customFormat="1" ht="12.95" customHeight="1" x14ac:dyDescent="0.2">
      <c r="B19" s="151" t="str">
        <f>IF(ISNA(Z19),"",IF(OR(Z19=1,Z19=2),"    ",MAX($B$8:B18)+1))</f>
        <v xml:space="preserve">    </v>
      </c>
      <c r="C19" s="904" t="str">
        <f t="shared" si="0"/>
        <v>Lat/Dir Invest. (0.6 and 0.8 AOA) (38.1%)</v>
      </c>
      <c r="D19" s="904"/>
      <c r="E19" s="904"/>
      <c r="F19" s="905"/>
      <c r="G19" s="133" t="str">
        <f t="shared" si="1"/>
        <v/>
      </c>
      <c r="H19" s="134" t="str">
        <f t="shared" si="2"/>
        <v/>
      </c>
      <c r="I19" s="152" t="str">
        <f t="shared" si="2"/>
        <v/>
      </c>
      <c r="J19" s="158"/>
      <c r="K19" s="159"/>
      <c r="L19" s="1015"/>
      <c r="M19" s="1016"/>
      <c r="N19" s="1016"/>
      <c r="O19" s="1016"/>
      <c r="P19" s="1016"/>
      <c r="Q19" s="1016"/>
      <c r="R19" s="1017"/>
      <c r="T19" s="99">
        <v>12</v>
      </c>
      <c r="U19" s="88" t="s">
        <v>808</v>
      </c>
      <c r="V19" s="453" t="s">
        <v>340</v>
      </c>
      <c r="W19" s="453" t="s">
        <v>340</v>
      </c>
      <c r="X19" s="453" t="s">
        <v>340</v>
      </c>
      <c r="Y19" s="453" t="s">
        <v>340</v>
      </c>
      <c r="Z19" s="146">
        <v>2</v>
      </c>
      <c r="AA19" s="146">
        <v>1</v>
      </c>
      <c r="AB19" s="146">
        <v>1</v>
      </c>
      <c r="AC19" s="453" t="s">
        <v>340</v>
      </c>
      <c r="AD19" s="453" t="s">
        <v>340</v>
      </c>
      <c r="AE19" s="453" t="s">
        <v>340</v>
      </c>
      <c r="AF19" s="453" t="s">
        <v>340</v>
      </c>
      <c r="AG19" s="453" t="str">
        <f t="shared" si="3"/>
        <v/>
      </c>
      <c r="AH19" s="453" t="str">
        <f t="shared" si="4"/>
        <v/>
      </c>
      <c r="AI19" s="138">
        <f>IF(NOT(OR(Z19=1,Z19=2)),IF(AQ19&gt;0,$AR$44*AQ19/SUMIF($AQ$8:$AQ$39,"&gt;0"),IF(AU19&gt;0,$AV$44*AU19/SUMIF($AU$8:$AU$39,"&gt;0"),IF(AS19&gt;0,$AT$44*AS19/SUMIF($AS$8:$AS$39,"&gt;0"),""))),IF(SUMIF(AJ20:$AJ$39,"=" &amp; AJ19,AI20:$AI$39)=0,"",SUMIF(AJ20:$AJ$39,"=" &amp; AJ19,AI20:$AI$39)))</f>
        <v>0.38095238095238099</v>
      </c>
      <c r="AJ19" s="139">
        <f t="shared" si="34"/>
        <v>3</v>
      </c>
      <c r="AK19" s="453" t="str">
        <f t="shared" si="27"/>
        <v/>
      </c>
      <c r="AL19" s="146" t="str">
        <f t="shared" si="28"/>
        <v/>
      </c>
      <c r="AM19" s="146" t="str">
        <f t="shared" si="35"/>
        <v/>
      </c>
      <c r="AN19" s="146" t="str">
        <f t="shared" si="5"/>
        <v/>
      </c>
      <c r="AO19" s="146" t="str">
        <f t="shared" si="6"/>
        <v/>
      </c>
      <c r="AP19" s="453" t="str">
        <f t="shared" si="7"/>
        <v/>
      </c>
      <c r="AQ19" s="140">
        <f t="shared" si="29"/>
        <v>0</v>
      </c>
      <c r="AR19" s="141" t="str">
        <f t="shared" si="8"/>
        <v/>
      </c>
      <c r="AS19" s="142">
        <f t="shared" si="30"/>
        <v>0</v>
      </c>
      <c r="AT19" s="141" t="str">
        <f t="shared" si="9"/>
        <v/>
      </c>
      <c r="AU19" s="143">
        <f t="shared" si="10"/>
        <v>0</v>
      </c>
      <c r="AV19" s="144" t="str">
        <f t="shared" si="11"/>
        <v/>
      </c>
      <c r="AW19" s="143" t="b">
        <f t="shared" si="12"/>
        <v>0</v>
      </c>
      <c r="AX19" s="145" t="b">
        <f t="shared" si="13"/>
        <v>0</v>
      </c>
      <c r="AY19" s="143" t="b">
        <f t="shared" si="14"/>
        <v>0</v>
      </c>
      <c r="AZ19" s="145" t="b">
        <f t="shared" si="15"/>
        <v>0</v>
      </c>
      <c r="BA19" s="453" t="b">
        <f t="shared" si="16"/>
        <v>0</v>
      </c>
      <c r="BB19" s="453" t="b">
        <f t="shared" si="17"/>
        <v>0</v>
      </c>
      <c r="BC19" s="143" t="b">
        <f t="shared" si="18"/>
        <v>0</v>
      </c>
      <c r="BD19" s="146" t="b">
        <f t="shared" si="31"/>
        <v>0</v>
      </c>
      <c r="BE19" s="145" t="b">
        <f t="shared" si="19"/>
        <v>0</v>
      </c>
      <c r="BF19" s="147" t="b">
        <f t="shared" si="20"/>
        <v>0</v>
      </c>
      <c r="BG19" s="453" t="b">
        <f t="shared" si="21"/>
        <v>0</v>
      </c>
      <c r="BH19" s="453" t="str">
        <f t="shared" si="32"/>
        <v/>
      </c>
      <c r="BI19" s="453" t="str">
        <f t="shared" si="22"/>
        <v/>
      </c>
      <c r="BJ19" s="453" t="str">
        <f t="shared" si="23"/>
        <v/>
      </c>
      <c r="BK19" s="453" t="str">
        <f t="shared" si="24"/>
        <v/>
      </c>
      <c r="BL19" s="148" t="str">
        <f t="shared" si="33"/>
        <v/>
      </c>
      <c r="BM19" s="453" t="str">
        <f t="shared" si="25"/>
        <v/>
      </c>
      <c r="BN19" s="453" t="str">
        <f t="shared" si="26"/>
        <v/>
      </c>
      <c r="BO19" s="300"/>
      <c r="BP19" s="150"/>
      <c r="BQ19" s="935" t="s">
        <v>356</v>
      </c>
      <c r="BR19" s="935"/>
      <c r="BS19" s="935"/>
      <c r="BT19" s="935"/>
      <c r="BU19" s="935"/>
    </row>
    <row r="20" spans="2:73" s="94" customFormat="1" ht="12.95" customHeight="1" x14ac:dyDescent="0.2">
      <c r="B20" s="151">
        <f>IF(ISNA(Z20),"",IF(OR(Z20=1,Z20=2),"    ",MAX($B$8:B19)+1))</f>
        <v>9</v>
      </c>
      <c r="C20" s="904" t="str">
        <f t="shared" si="0"/>
        <v xml:space="preserve">      - Roll angle response delay (3.8%)</v>
      </c>
      <c r="D20" s="904"/>
      <c r="E20" s="904"/>
      <c r="F20" s="905"/>
      <c r="G20" s="133">
        <f t="shared" si="1"/>
        <v>1</v>
      </c>
      <c r="H20" s="134" t="str">
        <f t="shared" si="2"/>
        <v>2</v>
      </c>
      <c r="I20" s="152">
        <f t="shared" si="2"/>
        <v>3</v>
      </c>
      <c r="J20" s="157"/>
      <c r="K20" s="154"/>
      <c r="L20" s="1015"/>
      <c r="M20" s="1016"/>
      <c r="N20" s="1016"/>
      <c r="O20" s="1016"/>
      <c r="P20" s="1016"/>
      <c r="Q20" s="1016"/>
      <c r="R20" s="1017"/>
      <c r="T20" s="99">
        <v>13</v>
      </c>
      <c r="U20" s="88" t="s">
        <v>809</v>
      </c>
      <c r="V20" s="453">
        <v>1</v>
      </c>
      <c r="W20" s="453">
        <v>4</v>
      </c>
      <c r="X20" s="453" t="s">
        <v>340</v>
      </c>
      <c r="Y20" s="453" t="s">
        <v>340</v>
      </c>
      <c r="Z20" s="146" t="s">
        <v>340</v>
      </c>
      <c r="AA20" s="146">
        <v>2</v>
      </c>
      <c r="AB20" s="146">
        <v>1</v>
      </c>
      <c r="AC20" s="453">
        <v>3</v>
      </c>
      <c r="AD20" s="453">
        <v>2</v>
      </c>
      <c r="AE20" s="453">
        <v>0</v>
      </c>
      <c r="AF20" s="453" t="b">
        <v>1</v>
      </c>
      <c r="AG20" s="453">
        <f t="shared" si="3"/>
        <v>3</v>
      </c>
      <c r="AH20" s="453">
        <f t="shared" si="4"/>
        <v>2</v>
      </c>
      <c r="AI20" s="138">
        <f>IF(NOT(OR(Z20=1,Z20=2)),IF(AQ20&gt;0,$AR$44*AQ20/SUMIF($AQ$8:$AQ$39,"&gt;0"),IF(AU20&gt;0,$AV$44*AU20/SUMIF($AU$8:$AU$39,"&gt;0"),IF(AS20&gt;0,$AT$44*AS20/SUMIF($AS$8:$AS$39,"&gt;0"),""))),IF(SUMIF(AJ21:$AJ$39,"=" &amp; AJ20,AI21:$AI$39)=0,"",SUMIF(AJ21:$AJ$39,"=" &amp; AJ20,AI21:$AI$39)))</f>
        <v>3.8095238095238099E-2</v>
      </c>
      <c r="AJ20" s="139">
        <f t="shared" si="34"/>
        <v>3</v>
      </c>
      <c r="AK20" s="453">
        <f t="shared" si="27"/>
        <v>2</v>
      </c>
      <c r="AL20" s="146" t="str">
        <f t="shared" si="28"/>
        <v/>
      </c>
      <c r="AM20" s="146" t="str">
        <f t="shared" si="35"/>
        <v/>
      </c>
      <c r="AN20" s="146" t="str">
        <f t="shared" si="5"/>
        <v/>
      </c>
      <c r="AO20" s="146" t="str">
        <f t="shared" si="6"/>
        <v/>
      </c>
      <c r="AP20" s="453" t="b">
        <f t="shared" si="7"/>
        <v>1</v>
      </c>
      <c r="AQ20" s="140">
        <f t="shared" si="29"/>
        <v>4</v>
      </c>
      <c r="AR20" s="141" t="str">
        <f t="shared" si="8"/>
        <v/>
      </c>
      <c r="AS20" s="142">
        <f t="shared" si="30"/>
        <v>0</v>
      </c>
      <c r="AT20" s="141" t="str">
        <f t="shared" si="9"/>
        <v/>
      </c>
      <c r="AU20" s="143">
        <f t="shared" si="10"/>
        <v>0</v>
      </c>
      <c r="AV20" s="144" t="str">
        <f t="shared" si="11"/>
        <v/>
      </c>
      <c r="AW20" s="143" t="b">
        <f t="shared" si="12"/>
        <v>0</v>
      </c>
      <c r="AX20" s="145" t="b">
        <f t="shared" si="13"/>
        <v>1</v>
      </c>
      <c r="AY20" s="143" t="b">
        <f t="shared" si="14"/>
        <v>0</v>
      </c>
      <c r="AZ20" s="145" t="b">
        <f t="shared" si="15"/>
        <v>0</v>
      </c>
      <c r="BA20" s="453" t="b">
        <f t="shared" si="16"/>
        <v>0</v>
      </c>
      <c r="BB20" s="453" t="b">
        <f t="shared" si="17"/>
        <v>0</v>
      </c>
      <c r="BC20" s="143" t="b">
        <f t="shared" si="18"/>
        <v>0</v>
      </c>
      <c r="BD20" s="146" t="b">
        <f t="shared" si="31"/>
        <v>0</v>
      </c>
      <c r="BE20" s="145" t="b">
        <f t="shared" si="19"/>
        <v>0</v>
      </c>
      <c r="BF20" s="147" t="b">
        <f t="shared" si="20"/>
        <v>0</v>
      </c>
      <c r="BG20" s="453" t="b">
        <f t="shared" si="21"/>
        <v>1</v>
      </c>
      <c r="BH20" s="453">
        <f t="shared" si="32"/>
        <v>1</v>
      </c>
      <c r="BI20" s="453">
        <f t="shared" si="22"/>
        <v>2</v>
      </c>
      <c r="BJ20" s="453" t="str">
        <f t="shared" si="23"/>
        <v>2</v>
      </c>
      <c r="BK20" s="453">
        <f t="shared" si="24"/>
        <v>3</v>
      </c>
      <c r="BL20" s="148">
        <f t="shared" si="33"/>
        <v>1</v>
      </c>
      <c r="BM20" s="453">
        <f t="shared" si="25"/>
        <v>2</v>
      </c>
      <c r="BN20" s="453">
        <f t="shared" si="26"/>
        <v>3</v>
      </c>
      <c r="BO20" s="300"/>
      <c r="BP20" s="300"/>
      <c r="BQ20" s="300">
        <v>0</v>
      </c>
      <c r="BR20" s="300">
        <v>1</v>
      </c>
      <c r="BS20" s="300">
        <v>2</v>
      </c>
      <c r="BT20" s="300">
        <v>3</v>
      </c>
      <c r="BU20" s="300">
        <v>4</v>
      </c>
    </row>
    <row r="21" spans="2:73" s="94" customFormat="1" ht="12.95" customHeight="1" x14ac:dyDescent="0.2">
      <c r="B21" s="151">
        <f>IF(ISNA(Z21),"",IF(OR(Z21=1,Z21=2),"    ",MAX($B$8:B20)+1))</f>
        <v>10</v>
      </c>
      <c r="C21" s="904" t="str">
        <f t="shared" si="0"/>
        <v xml:space="preserve">      - Dutch roll open loop data (3.8%)</v>
      </c>
      <c r="D21" s="904"/>
      <c r="E21" s="904"/>
      <c r="F21" s="905"/>
      <c r="G21" s="133">
        <f t="shared" si="1"/>
        <v>1</v>
      </c>
      <c r="H21" s="134" t="str">
        <f t="shared" si="2"/>
        <v>2</v>
      </c>
      <c r="I21" s="152">
        <f t="shared" si="2"/>
        <v>3</v>
      </c>
      <c r="J21" s="157"/>
      <c r="K21" s="154"/>
      <c r="L21" s="1015"/>
      <c r="M21" s="1016"/>
      <c r="N21" s="1016"/>
      <c r="O21" s="1016"/>
      <c r="P21" s="1016"/>
      <c r="Q21" s="1016"/>
      <c r="R21" s="1017"/>
      <c r="T21" s="99">
        <v>14</v>
      </c>
      <c r="U21" s="88" t="s">
        <v>810</v>
      </c>
      <c r="V21" s="453">
        <v>1</v>
      </c>
      <c r="W21" s="453">
        <v>4</v>
      </c>
      <c r="X21" s="453" t="s">
        <v>340</v>
      </c>
      <c r="Y21" s="453" t="s">
        <v>340</v>
      </c>
      <c r="Z21" s="146" t="s">
        <v>340</v>
      </c>
      <c r="AA21" s="146">
        <v>2</v>
      </c>
      <c r="AB21" s="146">
        <v>1</v>
      </c>
      <c r="AC21" s="453">
        <v>3</v>
      </c>
      <c r="AD21" s="453">
        <v>2</v>
      </c>
      <c r="AE21" s="453">
        <v>0</v>
      </c>
      <c r="AF21" s="453" t="b">
        <v>1</v>
      </c>
      <c r="AG21" s="453">
        <f t="shared" si="3"/>
        <v>3</v>
      </c>
      <c r="AH21" s="453">
        <f t="shared" si="4"/>
        <v>2</v>
      </c>
      <c r="AI21" s="138">
        <f>IF(NOT(OR(Z21=1,Z21=2)),IF(AQ21&gt;0,$AR$44*AQ21/SUMIF($AQ$8:$AQ$39,"&gt;0"),IF(AU21&gt;0,$AV$44*AU21/SUMIF($AU$8:$AU$39,"&gt;0"),IF(AS21&gt;0,$AT$44*AS21/SUMIF($AS$8:$AS$39,"&gt;0"),""))),IF(SUMIF(AJ22:$AJ$39,"=" &amp; AJ21,AI22:$AI$39)=0,"",SUMIF(AJ22:$AJ$39,"=" &amp; AJ21,AI22:$AI$39)))</f>
        <v>3.8095238095238099E-2</v>
      </c>
      <c r="AJ21" s="139">
        <f t="shared" si="34"/>
        <v>3</v>
      </c>
      <c r="AK21" s="453">
        <f t="shared" si="27"/>
        <v>2</v>
      </c>
      <c r="AL21" s="146" t="str">
        <f t="shared" si="28"/>
        <v/>
      </c>
      <c r="AM21" s="146" t="str">
        <f t="shared" si="35"/>
        <v/>
      </c>
      <c r="AN21" s="146" t="str">
        <f t="shared" si="5"/>
        <v/>
      </c>
      <c r="AO21" s="146" t="str">
        <f t="shared" si="6"/>
        <v/>
      </c>
      <c r="AP21" s="453" t="b">
        <f t="shared" si="7"/>
        <v>1</v>
      </c>
      <c r="AQ21" s="140">
        <f t="shared" si="29"/>
        <v>4</v>
      </c>
      <c r="AR21" s="141" t="str">
        <f t="shared" si="8"/>
        <v/>
      </c>
      <c r="AS21" s="142">
        <f t="shared" si="30"/>
        <v>0</v>
      </c>
      <c r="AT21" s="141" t="str">
        <f t="shared" si="9"/>
        <v/>
      </c>
      <c r="AU21" s="143">
        <f t="shared" si="10"/>
        <v>0</v>
      </c>
      <c r="AV21" s="144" t="str">
        <f t="shared" si="11"/>
        <v/>
      </c>
      <c r="AW21" s="143" t="b">
        <f t="shared" si="12"/>
        <v>0</v>
      </c>
      <c r="AX21" s="145" t="b">
        <f t="shared" si="13"/>
        <v>1</v>
      </c>
      <c r="AY21" s="143" t="b">
        <f t="shared" si="14"/>
        <v>0</v>
      </c>
      <c r="AZ21" s="145" t="b">
        <f t="shared" si="15"/>
        <v>0</v>
      </c>
      <c r="BA21" s="453" t="b">
        <f t="shared" si="16"/>
        <v>0</v>
      </c>
      <c r="BB21" s="453" t="b">
        <f t="shared" si="17"/>
        <v>0</v>
      </c>
      <c r="BC21" s="143" t="b">
        <f t="shared" si="18"/>
        <v>0</v>
      </c>
      <c r="BD21" s="146" t="b">
        <f t="shared" si="31"/>
        <v>0</v>
      </c>
      <c r="BE21" s="145" t="b">
        <f t="shared" si="19"/>
        <v>0</v>
      </c>
      <c r="BF21" s="147" t="b">
        <f t="shared" si="20"/>
        <v>0</v>
      </c>
      <c r="BG21" s="453" t="b">
        <f t="shared" si="21"/>
        <v>1</v>
      </c>
      <c r="BH21" s="453">
        <f t="shared" si="32"/>
        <v>1</v>
      </c>
      <c r="BI21" s="453">
        <f t="shared" si="22"/>
        <v>2</v>
      </c>
      <c r="BJ21" s="453" t="str">
        <f t="shared" si="23"/>
        <v>2</v>
      </c>
      <c r="BK21" s="453">
        <f t="shared" si="24"/>
        <v>3</v>
      </c>
      <c r="BL21" s="148">
        <f t="shared" si="33"/>
        <v>1</v>
      </c>
      <c r="BM21" s="453">
        <f t="shared" si="25"/>
        <v>2</v>
      </c>
      <c r="BN21" s="453">
        <f t="shared" si="26"/>
        <v>3</v>
      </c>
      <c r="BO21" s="936" t="s">
        <v>358</v>
      </c>
      <c r="BP21" s="300" t="s">
        <v>359</v>
      </c>
      <c r="BQ21" s="162">
        <f t="shared" ref="BQ21:BU29" si="36">AR50</f>
        <v>0.7</v>
      </c>
      <c r="BR21" s="163">
        <f t="shared" si="36"/>
        <v>0.9</v>
      </c>
      <c r="BS21" s="163">
        <f t="shared" si="36"/>
        <v>0.93330000000000002</v>
      </c>
      <c r="BT21" s="163">
        <f t="shared" si="36"/>
        <v>0.9667</v>
      </c>
      <c r="BU21" s="164">
        <f t="shared" si="36"/>
        <v>1</v>
      </c>
    </row>
    <row r="22" spans="2:73" s="94" customFormat="1" ht="12.95" customHeight="1" x14ac:dyDescent="0.2">
      <c r="B22" s="151">
        <f>IF(ISNA(Z22),"",IF(OR(Z22=1,Z22=2),"    ",MAX($B$8:B21)+1))</f>
        <v>11</v>
      </c>
      <c r="C22" s="904" t="str">
        <f t="shared" si="0"/>
        <v xml:space="preserve">      - Steady heading sideslip (3.8%)</v>
      </c>
      <c r="D22" s="904"/>
      <c r="E22" s="904"/>
      <c r="F22" s="905"/>
      <c r="G22" s="133">
        <f t="shared" si="1"/>
        <v>1</v>
      </c>
      <c r="H22" s="134" t="str">
        <f t="shared" si="2"/>
        <v>2</v>
      </c>
      <c r="I22" s="152">
        <f t="shared" si="2"/>
        <v>3</v>
      </c>
      <c r="J22" s="157"/>
      <c r="K22" s="154"/>
      <c r="L22" s="1015"/>
      <c r="M22" s="1016"/>
      <c r="N22" s="1016"/>
      <c r="O22" s="1016"/>
      <c r="P22" s="1016"/>
      <c r="Q22" s="1016"/>
      <c r="R22" s="1017"/>
      <c r="T22" s="99">
        <v>15</v>
      </c>
      <c r="U22" s="88" t="s">
        <v>811</v>
      </c>
      <c r="V22" s="453">
        <v>1</v>
      </c>
      <c r="W22" s="453">
        <v>4</v>
      </c>
      <c r="X22" s="453" t="s">
        <v>340</v>
      </c>
      <c r="Y22" s="453" t="s">
        <v>340</v>
      </c>
      <c r="Z22" s="146" t="s">
        <v>340</v>
      </c>
      <c r="AA22" s="146">
        <v>2</v>
      </c>
      <c r="AB22" s="146">
        <v>1</v>
      </c>
      <c r="AC22" s="453">
        <v>3</v>
      </c>
      <c r="AD22" s="453">
        <v>2</v>
      </c>
      <c r="AE22" s="453">
        <v>0</v>
      </c>
      <c r="AF22" s="453" t="b">
        <v>1</v>
      </c>
      <c r="AG22" s="453">
        <f t="shared" si="3"/>
        <v>3</v>
      </c>
      <c r="AH22" s="453">
        <f t="shared" si="4"/>
        <v>2</v>
      </c>
      <c r="AI22" s="138">
        <f>IF(NOT(OR(Z22=1,Z22=2)),IF(AQ22&gt;0,$AR$44*AQ22/SUMIF($AQ$8:$AQ$39,"&gt;0"),IF(AU22&gt;0,$AV$44*AU22/SUMIF($AU$8:$AU$39,"&gt;0"),IF(AS22&gt;0,$AT$44*AS22/SUMIF($AS$8:$AS$39,"&gt;0"),""))),IF(SUMIF(AJ23:$AJ$39,"=" &amp; AJ22,AI23:$AI$39)=0,"",SUMIF(AJ23:$AJ$39,"=" &amp; AJ22,AI23:$AI$39)))</f>
        <v>3.8095238095238099E-2</v>
      </c>
      <c r="AJ22" s="139">
        <f t="shared" si="34"/>
        <v>3</v>
      </c>
      <c r="AK22" s="453">
        <f t="shared" si="27"/>
        <v>2</v>
      </c>
      <c r="AL22" s="146" t="str">
        <f t="shared" si="28"/>
        <v/>
      </c>
      <c r="AM22" s="146" t="str">
        <f t="shared" si="35"/>
        <v/>
      </c>
      <c r="AN22" s="146" t="str">
        <f t="shared" si="5"/>
        <v/>
      </c>
      <c r="AO22" s="146" t="str">
        <f t="shared" si="6"/>
        <v/>
      </c>
      <c r="AP22" s="453" t="b">
        <f t="shared" si="7"/>
        <v>1</v>
      </c>
      <c r="AQ22" s="140">
        <f t="shared" si="29"/>
        <v>4</v>
      </c>
      <c r="AR22" s="141" t="str">
        <f t="shared" si="8"/>
        <v/>
      </c>
      <c r="AS22" s="142">
        <f t="shared" si="30"/>
        <v>0</v>
      </c>
      <c r="AT22" s="141" t="str">
        <f t="shared" si="9"/>
        <v/>
      </c>
      <c r="AU22" s="143">
        <f t="shared" si="10"/>
        <v>0</v>
      </c>
      <c r="AV22" s="144" t="str">
        <f t="shared" si="11"/>
        <v/>
      </c>
      <c r="AW22" s="143" t="b">
        <f t="shared" si="12"/>
        <v>0</v>
      </c>
      <c r="AX22" s="145" t="b">
        <f t="shared" si="13"/>
        <v>1</v>
      </c>
      <c r="AY22" s="143" t="b">
        <f t="shared" si="14"/>
        <v>0</v>
      </c>
      <c r="AZ22" s="145" t="b">
        <f t="shared" si="15"/>
        <v>0</v>
      </c>
      <c r="BA22" s="453" t="b">
        <f t="shared" si="16"/>
        <v>0</v>
      </c>
      <c r="BB22" s="453" t="b">
        <f t="shared" si="17"/>
        <v>0</v>
      </c>
      <c r="BC22" s="143" t="b">
        <f t="shared" si="18"/>
        <v>0</v>
      </c>
      <c r="BD22" s="146" t="b">
        <f t="shared" si="31"/>
        <v>0</v>
      </c>
      <c r="BE22" s="145" t="b">
        <f>IF(OR(ISNA($Z22),K22&lt;&gt;"D"),FALSE,IF(OR(AND(H22="NG",J22=0),AND(H22&lt;&gt;"NG",NOT(OR(J22="NA",J22=0)))),TRUE,FALSE))</f>
        <v>0</v>
      </c>
      <c r="BF22" s="147" t="b">
        <f t="shared" si="20"/>
        <v>0</v>
      </c>
      <c r="BG22" s="453" t="b">
        <f>IF(ISNA($Z22),"NA",IF(OR(AZ22,AY22,AX22,AW22,AP22,BA22,BB22),TRUE,FALSE))</f>
        <v>1</v>
      </c>
      <c r="BH22" s="453">
        <f t="shared" si="32"/>
        <v>1</v>
      </c>
      <c r="BI22" s="453">
        <f t="shared" si="22"/>
        <v>2</v>
      </c>
      <c r="BJ22" s="453" t="str">
        <f t="shared" si="23"/>
        <v>2</v>
      </c>
      <c r="BK22" s="453">
        <f t="shared" si="24"/>
        <v>3</v>
      </c>
      <c r="BL22" s="148">
        <f t="shared" si="33"/>
        <v>1</v>
      </c>
      <c r="BM22" s="453">
        <f t="shared" si="25"/>
        <v>2</v>
      </c>
      <c r="BN22" s="453">
        <f t="shared" si="26"/>
        <v>3</v>
      </c>
      <c r="BO22" s="936"/>
      <c r="BP22" s="300" t="s">
        <v>360</v>
      </c>
      <c r="BQ22" s="165">
        <f t="shared" si="36"/>
        <v>0.7</v>
      </c>
      <c r="BR22" s="166">
        <f t="shared" si="36"/>
        <v>0.8</v>
      </c>
      <c r="BS22" s="166">
        <f t="shared" si="36"/>
        <v>0.9</v>
      </c>
      <c r="BT22" s="166">
        <f t="shared" si="36"/>
        <v>0.95</v>
      </c>
      <c r="BU22" s="167">
        <f t="shared" si="36"/>
        <v>1</v>
      </c>
    </row>
    <row r="23" spans="2:73" s="94" customFormat="1" ht="12.95" customHeight="1" x14ac:dyDescent="0.2">
      <c r="B23" s="151">
        <f>IF(ISNA(Z23),"",IF(OR(Z23=1,Z23=2),"    ",MAX($B$8:B22)+1))</f>
        <v>12</v>
      </c>
      <c r="C23" s="904" t="str">
        <f t="shared" si="0"/>
        <v xml:space="preserve">      - Adverse yaw (3.8%)</v>
      </c>
      <c r="D23" s="904"/>
      <c r="E23" s="904"/>
      <c r="F23" s="905"/>
      <c r="G23" s="133">
        <f t="shared" si="1"/>
        <v>1</v>
      </c>
      <c r="H23" s="134" t="str">
        <f t="shared" si="2"/>
        <v>2</v>
      </c>
      <c r="I23" s="152">
        <f t="shared" si="2"/>
        <v>3</v>
      </c>
      <c r="J23" s="157"/>
      <c r="K23" s="154"/>
      <c r="L23" s="1015"/>
      <c r="M23" s="1016"/>
      <c r="N23" s="1016"/>
      <c r="O23" s="1016"/>
      <c r="P23" s="1016"/>
      <c r="Q23" s="1016"/>
      <c r="R23" s="1017"/>
      <c r="T23" s="99">
        <v>16</v>
      </c>
      <c r="U23" s="88" t="s">
        <v>812</v>
      </c>
      <c r="V23" s="453">
        <v>1</v>
      </c>
      <c r="W23" s="453">
        <v>4</v>
      </c>
      <c r="X23" s="453" t="s">
        <v>340</v>
      </c>
      <c r="Y23" s="453" t="s">
        <v>340</v>
      </c>
      <c r="Z23" s="146" t="s">
        <v>340</v>
      </c>
      <c r="AA23" s="146">
        <v>2</v>
      </c>
      <c r="AB23" s="146">
        <v>1</v>
      </c>
      <c r="AC23" s="453">
        <v>3</v>
      </c>
      <c r="AD23" s="453">
        <v>2</v>
      </c>
      <c r="AE23" s="453">
        <v>0</v>
      </c>
      <c r="AF23" s="453" t="b">
        <v>1</v>
      </c>
      <c r="AG23" s="453">
        <f t="shared" si="3"/>
        <v>3</v>
      </c>
      <c r="AH23" s="453">
        <f t="shared" si="4"/>
        <v>2</v>
      </c>
      <c r="AI23" s="138">
        <f>IF(NOT(OR(Z23=1,Z23=2)),IF(AQ23&gt;0,$AR$44*AQ23/SUMIF($AQ$8:$AQ$39,"&gt;0"),IF(AU23&gt;0,$AV$44*AU23/SUMIF($AU$8:$AU$39,"&gt;0"),IF(AS23&gt;0,$AT$44*AS23/SUMIF($AS$8:$AS$39,"&gt;0"),""))),IF(SUMIF(AJ24:$AJ$39,"=" &amp; AJ23,AI24:$AI$39)=0,"",SUMIF(AJ24:$AJ$39,"=" &amp; AJ23,AI24:$AI$39)))</f>
        <v>3.8095238095238099E-2</v>
      </c>
      <c r="AJ23" s="139">
        <f t="shared" si="34"/>
        <v>3</v>
      </c>
      <c r="AK23" s="453">
        <f t="shared" si="27"/>
        <v>2</v>
      </c>
      <c r="AL23" s="146" t="str">
        <f t="shared" si="28"/>
        <v/>
      </c>
      <c r="AM23" s="146" t="str">
        <f t="shared" si="35"/>
        <v/>
      </c>
      <c r="AN23" s="146" t="str">
        <f t="shared" si="5"/>
        <v/>
      </c>
      <c r="AO23" s="146" t="str">
        <f t="shared" si="6"/>
        <v/>
      </c>
      <c r="AP23" s="453" t="b">
        <f t="shared" si="7"/>
        <v>1</v>
      </c>
      <c r="AQ23" s="140">
        <f t="shared" si="29"/>
        <v>4</v>
      </c>
      <c r="AR23" s="141" t="str">
        <f t="shared" si="8"/>
        <v/>
      </c>
      <c r="AS23" s="142">
        <f t="shared" si="30"/>
        <v>0</v>
      </c>
      <c r="AT23" s="141" t="str">
        <f t="shared" si="9"/>
        <v/>
      </c>
      <c r="AU23" s="143">
        <f t="shared" si="10"/>
        <v>0</v>
      </c>
      <c r="AV23" s="144" t="str">
        <f t="shared" si="11"/>
        <v/>
      </c>
      <c r="AW23" s="143" t="b">
        <f t="shared" si="12"/>
        <v>0</v>
      </c>
      <c r="AX23" s="145" t="b">
        <f t="shared" si="13"/>
        <v>1</v>
      </c>
      <c r="AY23" s="143" t="b">
        <f t="shared" si="14"/>
        <v>0</v>
      </c>
      <c r="AZ23" s="145" t="b">
        <f t="shared" si="15"/>
        <v>0</v>
      </c>
      <c r="BA23" s="453" t="b">
        <f t="shared" si="16"/>
        <v>0</v>
      </c>
      <c r="BB23" s="453" t="b">
        <f t="shared" si="17"/>
        <v>0</v>
      </c>
      <c r="BC23" s="143" t="b">
        <f t="shared" si="18"/>
        <v>0</v>
      </c>
      <c r="BD23" s="146" t="b">
        <f t="shared" si="31"/>
        <v>0</v>
      </c>
      <c r="BE23" s="145" t="b">
        <f t="shared" ref="BE23:BE39" si="37">IF(OR(ISNA($Z23),K23&lt;&gt;"D"),FALSE,IF(OR(AND(H23="NG",J23=0),AND(H23&lt;&gt;"NG",NOT(OR(J23="NA",J23=0)))),TRUE,FALSE))</f>
        <v>0</v>
      </c>
      <c r="BF23" s="147" t="b">
        <f t="shared" si="20"/>
        <v>0</v>
      </c>
      <c r="BG23" s="453" t="b">
        <f t="shared" ref="BG23:BG39" si="38">IF(ISNA($Z23),"NA",IF(OR(AZ23,AY23,AX23,AW23,AP23,BA23,BB23),TRUE,FALSE))</f>
        <v>1</v>
      </c>
      <c r="BH23" s="453">
        <f t="shared" si="32"/>
        <v>1</v>
      </c>
      <c r="BI23" s="453">
        <f t="shared" si="22"/>
        <v>2</v>
      </c>
      <c r="BJ23" s="453" t="str">
        <f t="shared" si="23"/>
        <v>2</v>
      </c>
      <c r="BK23" s="453">
        <f t="shared" si="24"/>
        <v>3</v>
      </c>
      <c r="BL23" s="148">
        <f t="shared" si="33"/>
        <v>1</v>
      </c>
      <c r="BM23" s="453">
        <f t="shared" si="25"/>
        <v>2</v>
      </c>
      <c r="BN23" s="453">
        <f t="shared" si="26"/>
        <v>3</v>
      </c>
      <c r="BO23" s="936"/>
      <c r="BP23" s="300" t="s">
        <v>361</v>
      </c>
      <c r="BQ23" s="165">
        <f t="shared" si="36"/>
        <v>0.7</v>
      </c>
      <c r="BR23" s="166">
        <f t="shared" si="36"/>
        <v>0.76670000000000005</v>
      </c>
      <c r="BS23" s="166">
        <f t="shared" si="36"/>
        <v>0.83330000000000004</v>
      </c>
      <c r="BT23" s="166">
        <f t="shared" si="36"/>
        <v>0.9</v>
      </c>
      <c r="BU23" s="167">
        <f t="shared" si="36"/>
        <v>1</v>
      </c>
    </row>
    <row r="24" spans="2:73" s="94" customFormat="1" ht="12.95" customHeight="1" x14ac:dyDescent="0.2">
      <c r="B24" s="151">
        <f>IF(ISNA(Z24),"",IF(OR(Z24=1,Z24=2),"    ",MAX($B$8:B23)+1))</f>
        <v>13</v>
      </c>
      <c r="C24" s="904" t="str">
        <f t="shared" si="0"/>
        <v xml:space="preserve">      - Time to achieve bank angle (3.8%)</v>
      </c>
      <c r="D24" s="904"/>
      <c r="E24" s="904"/>
      <c r="F24" s="905"/>
      <c r="G24" s="133">
        <f t="shared" si="1"/>
        <v>1</v>
      </c>
      <c r="H24" s="134" t="str">
        <f t="shared" si="2"/>
        <v>2</v>
      </c>
      <c r="I24" s="152">
        <f t="shared" si="2"/>
        <v>3</v>
      </c>
      <c r="J24" s="157"/>
      <c r="K24" s="154"/>
      <c r="L24" s="1015"/>
      <c r="M24" s="1016"/>
      <c r="N24" s="1016"/>
      <c r="O24" s="1016"/>
      <c r="P24" s="1016"/>
      <c r="Q24" s="1016"/>
      <c r="R24" s="1017"/>
      <c r="T24" s="99">
        <v>17</v>
      </c>
      <c r="U24" s="88" t="s">
        <v>813</v>
      </c>
      <c r="V24" s="453">
        <v>1</v>
      </c>
      <c r="W24" s="453">
        <v>4</v>
      </c>
      <c r="X24" s="453" t="s">
        <v>340</v>
      </c>
      <c r="Y24" s="453" t="s">
        <v>340</v>
      </c>
      <c r="Z24" s="146" t="s">
        <v>340</v>
      </c>
      <c r="AA24" s="146">
        <v>2</v>
      </c>
      <c r="AB24" s="146">
        <v>1</v>
      </c>
      <c r="AC24" s="453">
        <v>3</v>
      </c>
      <c r="AD24" s="453">
        <v>2</v>
      </c>
      <c r="AE24" s="453">
        <v>0</v>
      </c>
      <c r="AF24" s="453" t="b">
        <v>1</v>
      </c>
      <c r="AG24" s="453">
        <f t="shared" si="3"/>
        <v>3</v>
      </c>
      <c r="AH24" s="453">
        <f t="shared" si="4"/>
        <v>2</v>
      </c>
      <c r="AI24" s="138">
        <f>IF(NOT(OR(Z24=1,Z24=2)),IF(AQ24&gt;0,$AR$44*AQ24/SUMIF($AQ$8:$AQ$39,"&gt;0"),IF(AU24&gt;0,$AV$44*AU24/SUMIF($AU$8:$AU$39,"&gt;0"),IF(AS24&gt;0,$AT$44*AS24/SUMIF($AS$8:$AS$39,"&gt;0"),""))),IF(SUMIF(AJ25:$AJ$39,"=" &amp; AJ24,AI25:$AI$39)=0,"",SUMIF(AJ25:$AJ$39,"=" &amp; AJ24,AI25:$AI$39)))</f>
        <v>3.8095238095238099E-2</v>
      </c>
      <c r="AJ24" s="139">
        <f t="shared" si="34"/>
        <v>3</v>
      </c>
      <c r="AK24" s="453">
        <f t="shared" si="27"/>
        <v>2</v>
      </c>
      <c r="AL24" s="146" t="str">
        <f t="shared" si="28"/>
        <v/>
      </c>
      <c r="AM24" s="146" t="str">
        <f t="shared" si="35"/>
        <v/>
      </c>
      <c r="AN24" s="146" t="str">
        <f t="shared" si="5"/>
        <v/>
      </c>
      <c r="AO24" s="146" t="str">
        <f t="shared" si="6"/>
        <v/>
      </c>
      <c r="AP24" s="453" t="b">
        <f t="shared" si="7"/>
        <v>1</v>
      </c>
      <c r="AQ24" s="140">
        <f t="shared" si="29"/>
        <v>4</v>
      </c>
      <c r="AR24" s="141" t="str">
        <f t="shared" si="8"/>
        <v/>
      </c>
      <c r="AS24" s="142">
        <f t="shared" si="30"/>
        <v>0</v>
      </c>
      <c r="AT24" s="141" t="str">
        <f t="shared" si="9"/>
        <v/>
      </c>
      <c r="AU24" s="143">
        <f t="shared" si="10"/>
        <v>0</v>
      </c>
      <c r="AV24" s="144" t="str">
        <f t="shared" si="11"/>
        <v/>
      </c>
      <c r="AW24" s="143" t="b">
        <f t="shared" si="12"/>
        <v>0</v>
      </c>
      <c r="AX24" s="145" t="b">
        <f t="shared" si="13"/>
        <v>1</v>
      </c>
      <c r="AY24" s="143" t="b">
        <f t="shared" si="14"/>
        <v>0</v>
      </c>
      <c r="AZ24" s="145" t="b">
        <f t="shared" si="15"/>
        <v>0</v>
      </c>
      <c r="BA24" s="453" t="b">
        <f t="shared" si="16"/>
        <v>0</v>
      </c>
      <c r="BB24" s="453" t="b">
        <f t="shared" si="17"/>
        <v>0</v>
      </c>
      <c r="BC24" s="143" t="b">
        <f t="shared" si="18"/>
        <v>0</v>
      </c>
      <c r="BD24" s="146" t="b">
        <f t="shared" si="31"/>
        <v>0</v>
      </c>
      <c r="BE24" s="145" t="b">
        <f t="shared" si="37"/>
        <v>0</v>
      </c>
      <c r="BF24" s="147" t="b">
        <f t="shared" si="20"/>
        <v>0</v>
      </c>
      <c r="BG24" s="453" t="b">
        <f t="shared" si="38"/>
        <v>1</v>
      </c>
      <c r="BH24" s="453">
        <f t="shared" si="32"/>
        <v>1</v>
      </c>
      <c r="BI24" s="453">
        <f t="shared" si="22"/>
        <v>2</v>
      </c>
      <c r="BJ24" s="453" t="str">
        <f t="shared" si="23"/>
        <v>2</v>
      </c>
      <c r="BK24" s="453">
        <f t="shared" si="24"/>
        <v>3</v>
      </c>
      <c r="BL24" s="148">
        <f t="shared" si="33"/>
        <v>1</v>
      </c>
      <c r="BM24" s="453">
        <f t="shared" si="25"/>
        <v>2</v>
      </c>
      <c r="BN24" s="453">
        <f t="shared" si="26"/>
        <v>3</v>
      </c>
      <c r="BO24" s="936"/>
      <c r="BP24" s="300" t="s">
        <v>362</v>
      </c>
      <c r="BQ24" s="165">
        <f t="shared" si="36"/>
        <v>0.6</v>
      </c>
      <c r="BR24" s="166">
        <f t="shared" si="36"/>
        <v>0.9</v>
      </c>
      <c r="BS24" s="166">
        <f t="shared" si="36"/>
        <v>0.93330000000000002</v>
      </c>
      <c r="BT24" s="166">
        <f t="shared" si="36"/>
        <v>0.9667</v>
      </c>
      <c r="BU24" s="167">
        <f t="shared" si="36"/>
        <v>1</v>
      </c>
    </row>
    <row r="25" spans="2:73" s="94" customFormat="1" ht="12.95" customHeight="1" x14ac:dyDescent="0.2">
      <c r="B25" s="151">
        <f>IF(ISNA(Z25),"",IF(OR(Z25=1,Z25=2),"    ",MAX($B$8:B24)+1))</f>
        <v>14</v>
      </c>
      <c r="C25" s="904" t="str">
        <f t="shared" si="0"/>
        <v xml:space="preserve">      - Yaw damper divergence QE (3.8%)</v>
      </c>
      <c r="D25" s="904"/>
      <c r="E25" s="904"/>
      <c r="F25" s="905"/>
      <c r="G25" s="133">
        <f t="shared" si="1"/>
        <v>1</v>
      </c>
      <c r="H25" s="134" t="str">
        <f t="shared" si="2"/>
        <v>1</v>
      </c>
      <c r="I25" s="152">
        <f t="shared" si="2"/>
        <v>3</v>
      </c>
      <c r="J25" s="157"/>
      <c r="K25" s="154"/>
      <c r="L25" s="1015"/>
      <c r="M25" s="1016"/>
      <c r="N25" s="1016"/>
      <c r="O25" s="1016"/>
      <c r="P25" s="1016"/>
      <c r="Q25" s="1016"/>
      <c r="R25" s="1017"/>
      <c r="T25" s="99">
        <v>18</v>
      </c>
      <c r="U25" s="88" t="s">
        <v>814</v>
      </c>
      <c r="V25" s="453">
        <v>1</v>
      </c>
      <c r="W25" s="453">
        <v>4</v>
      </c>
      <c r="X25" s="453" t="s">
        <v>340</v>
      </c>
      <c r="Y25" s="453" t="s">
        <v>340</v>
      </c>
      <c r="Z25" s="146" t="s">
        <v>340</v>
      </c>
      <c r="AA25" s="146">
        <v>2</v>
      </c>
      <c r="AB25" s="146">
        <v>1</v>
      </c>
      <c r="AC25" s="453">
        <v>3</v>
      </c>
      <c r="AD25" s="453">
        <v>1</v>
      </c>
      <c r="AE25" s="453">
        <v>0</v>
      </c>
      <c r="AF25" s="453" t="b">
        <v>1</v>
      </c>
      <c r="AG25" s="453">
        <f t="shared" si="3"/>
        <v>3</v>
      </c>
      <c r="AH25" s="453">
        <f t="shared" si="4"/>
        <v>2</v>
      </c>
      <c r="AI25" s="138">
        <f>IF(NOT(OR(Z25=1,Z25=2)),IF(AQ25&gt;0,$AR$44*AQ25/SUMIF($AQ$8:$AQ$39,"&gt;0"),IF(AU25&gt;0,$AV$44*AU25/SUMIF($AU$8:$AU$39,"&gt;0"),IF(AS25&gt;0,$AT$44*AS25/SUMIF($AS$8:$AS$39,"&gt;0"),""))),IF(SUMIF(AJ26:$AJ$39,"=" &amp; AJ25,AI26:$AI$39)=0,"",SUMIF(AJ26:$AJ$39,"=" &amp; AJ25,AI26:$AI$39)))</f>
        <v>3.8095238095238099E-2</v>
      </c>
      <c r="AJ25" s="139">
        <f t="shared" si="34"/>
        <v>3</v>
      </c>
      <c r="AK25" s="453">
        <f t="shared" si="27"/>
        <v>1</v>
      </c>
      <c r="AL25" s="146" t="str">
        <f t="shared" si="28"/>
        <v/>
      </c>
      <c r="AM25" s="146" t="str">
        <f t="shared" si="35"/>
        <v/>
      </c>
      <c r="AN25" s="146" t="str">
        <f t="shared" si="5"/>
        <v/>
      </c>
      <c r="AO25" s="146" t="str">
        <f t="shared" si="6"/>
        <v/>
      </c>
      <c r="AP25" s="453" t="b">
        <f t="shared" si="7"/>
        <v>1</v>
      </c>
      <c r="AQ25" s="140">
        <f t="shared" si="29"/>
        <v>4</v>
      </c>
      <c r="AR25" s="141" t="str">
        <f t="shared" si="8"/>
        <v/>
      </c>
      <c r="AS25" s="142">
        <f t="shared" si="30"/>
        <v>0</v>
      </c>
      <c r="AT25" s="141" t="str">
        <f t="shared" si="9"/>
        <v/>
      </c>
      <c r="AU25" s="143">
        <f t="shared" si="10"/>
        <v>0</v>
      </c>
      <c r="AV25" s="144" t="str">
        <f t="shared" si="11"/>
        <v/>
      </c>
      <c r="AW25" s="143" t="b">
        <f t="shared" si="12"/>
        <v>0</v>
      </c>
      <c r="AX25" s="145" t="b">
        <f t="shared" si="13"/>
        <v>1</v>
      </c>
      <c r="AY25" s="143" t="b">
        <f t="shared" si="14"/>
        <v>0</v>
      </c>
      <c r="AZ25" s="145" t="b">
        <f t="shared" si="15"/>
        <v>0</v>
      </c>
      <c r="BA25" s="453" t="b">
        <f t="shared" si="16"/>
        <v>0</v>
      </c>
      <c r="BB25" s="453" t="b">
        <f t="shared" si="17"/>
        <v>0</v>
      </c>
      <c r="BC25" s="143" t="b">
        <f t="shared" si="18"/>
        <v>0</v>
      </c>
      <c r="BD25" s="146" t="b">
        <f t="shared" si="31"/>
        <v>0</v>
      </c>
      <c r="BE25" s="145" t="b">
        <f t="shared" si="37"/>
        <v>0</v>
      </c>
      <c r="BF25" s="147" t="b">
        <f t="shared" si="20"/>
        <v>0</v>
      </c>
      <c r="BG25" s="453" t="b">
        <f t="shared" si="38"/>
        <v>1</v>
      </c>
      <c r="BH25" s="453">
        <f t="shared" si="32"/>
        <v>1</v>
      </c>
      <c r="BI25" s="453">
        <f t="shared" si="22"/>
        <v>1</v>
      </c>
      <c r="BJ25" s="453" t="str">
        <f t="shared" si="23"/>
        <v>1</v>
      </c>
      <c r="BK25" s="453">
        <f t="shared" si="24"/>
        <v>3</v>
      </c>
      <c r="BL25" s="148">
        <f t="shared" si="33"/>
        <v>1</v>
      </c>
      <c r="BM25" s="453">
        <f t="shared" si="25"/>
        <v>1</v>
      </c>
      <c r="BN25" s="453">
        <f t="shared" si="26"/>
        <v>3</v>
      </c>
      <c r="BO25" s="936"/>
      <c r="BP25" s="300" t="s">
        <v>363</v>
      </c>
      <c r="BQ25" s="165">
        <f t="shared" si="36"/>
        <v>0.6</v>
      </c>
      <c r="BR25" s="166">
        <f t="shared" si="36"/>
        <v>0.7</v>
      </c>
      <c r="BS25" s="166">
        <f t="shared" si="36"/>
        <v>0.9</v>
      </c>
      <c r="BT25" s="166">
        <f t="shared" si="36"/>
        <v>0.95</v>
      </c>
      <c r="BU25" s="167">
        <f t="shared" si="36"/>
        <v>1</v>
      </c>
    </row>
    <row r="26" spans="2:73" s="94" customFormat="1" ht="12.95" customHeight="1" x14ac:dyDescent="0.2">
      <c r="B26" s="151">
        <f>IF(ISNA(Z26),"",IF(OR(Z26=1,Z26=2),"    ",MAX($B$8:B25)+1))</f>
        <v>15</v>
      </c>
      <c r="C26" s="904" t="str">
        <f t="shared" si="0"/>
        <v xml:space="preserve">      - High gain rudder roll tracking (3.8%)</v>
      </c>
      <c r="D26" s="904"/>
      <c r="E26" s="904"/>
      <c r="F26" s="905"/>
      <c r="G26" s="133">
        <f t="shared" si="1"/>
        <v>1</v>
      </c>
      <c r="H26" s="134" t="str">
        <f t="shared" si="2"/>
        <v>2</v>
      </c>
      <c r="I26" s="152">
        <f t="shared" si="2"/>
        <v>3</v>
      </c>
      <c r="J26" s="157"/>
      <c r="K26" s="154"/>
      <c r="L26" s="1015"/>
      <c r="M26" s="1016"/>
      <c r="N26" s="1016"/>
      <c r="O26" s="1016"/>
      <c r="P26" s="1016"/>
      <c r="Q26" s="1016"/>
      <c r="R26" s="1017"/>
      <c r="T26" s="99">
        <v>19</v>
      </c>
      <c r="U26" s="88" t="s">
        <v>815</v>
      </c>
      <c r="V26" s="453">
        <v>1</v>
      </c>
      <c r="W26" s="453">
        <v>4</v>
      </c>
      <c r="X26" s="453" t="s">
        <v>340</v>
      </c>
      <c r="Y26" s="453" t="s">
        <v>340</v>
      </c>
      <c r="Z26" s="146" t="s">
        <v>340</v>
      </c>
      <c r="AA26" s="146">
        <v>2</v>
      </c>
      <c r="AB26" s="146">
        <v>1</v>
      </c>
      <c r="AC26" s="453">
        <v>3</v>
      </c>
      <c r="AD26" s="453">
        <v>2</v>
      </c>
      <c r="AE26" s="453">
        <v>0</v>
      </c>
      <c r="AF26" s="453" t="b">
        <v>1</v>
      </c>
      <c r="AG26" s="453">
        <f t="shared" si="3"/>
        <v>3</v>
      </c>
      <c r="AH26" s="453">
        <f t="shared" si="4"/>
        <v>2</v>
      </c>
      <c r="AI26" s="138">
        <f>IF(NOT(OR(Z26=1,Z26=2)),IF(AQ26&gt;0,$AR$44*AQ26/SUMIF($AQ$8:$AQ$39,"&gt;0"),IF(AU26&gt;0,$AV$44*AU26/SUMIF($AU$8:$AU$39,"&gt;0"),IF(AS26&gt;0,$AT$44*AS26/SUMIF($AS$8:$AS$39,"&gt;0"),""))),IF(SUMIF(AJ27:$AJ$39,"=" &amp; AJ26,AI27:$AI$39)=0,"",SUMIF(AJ27:$AJ$39,"=" &amp; AJ26,AI27:$AI$39)))</f>
        <v>3.8095238095238099E-2</v>
      </c>
      <c r="AJ26" s="139">
        <f t="shared" si="34"/>
        <v>3</v>
      </c>
      <c r="AK26" s="453">
        <f t="shared" si="27"/>
        <v>2</v>
      </c>
      <c r="AL26" s="146" t="str">
        <f t="shared" si="28"/>
        <v/>
      </c>
      <c r="AM26" s="146" t="str">
        <f t="shared" si="35"/>
        <v/>
      </c>
      <c r="AN26" s="146" t="str">
        <f t="shared" si="5"/>
        <v/>
      </c>
      <c r="AO26" s="146" t="str">
        <f t="shared" si="6"/>
        <v/>
      </c>
      <c r="AP26" s="453" t="b">
        <f t="shared" si="7"/>
        <v>1</v>
      </c>
      <c r="AQ26" s="140">
        <f t="shared" si="29"/>
        <v>4</v>
      </c>
      <c r="AR26" s="141" t="str">
        <f t="shared" si="8"/>
        <v/>
      </c>
      <c r="AS26" s="142">
        <f t="shared" si="30"/>
        <v>0</v>
      </c>
      <c r="AT26" s="141" t="str">
        <f t="shared" si="9"/>
        <v/>
      </c>
      <c r="AU26" s="143">
        <f t="shared" si="10"/>
        <v>0</v>
      </c>
      <c r="AV26" s="144" t="str">
        <f t="shared" si="11"/>
        <v/>
      </c>
      <c r="AW26" s="143" t="b">
        <f t="shared" si="12"/>
        <v>0</v>
      </c>
      <c r="AX26" s="145" t="b">
        <f t="shared" si="13"/>
        <v>1</v>
      </c>
      <c r="AY26" s="143" t="b">
        <f t="shared" si="14"/>
        <v>0</v>
      </c>
      <c r="AZ26" s="145" t="b">
        <f t="shared" si="15"/>
        <v>0</v>
      </c>
      <c r="BA26" s="453" t="b">
        <f t="shared" si="16"/>
        <v>0</v>
      </c>
      <c r="BB26" s="453" t="b">
        <f t="shared" si="17"/>
        <v>0</v>
      </c>
      <c r="BC26" s="143" t="b">
        <f t="shared" si="18"/>
        <v>0</v>
      </c>
      <c r="BD26" s="146" t="b">
        <f t="shared" si="31"/>
        <v>0</v>
      </c>
      <c r="BE26" s="145" t="b">
        <f t="shared" si="37"/>
        <v>0</v>
      </c>
      <c r="BF26" s="147" t="b">
        <f t="shared" si="20"/>
        <v>0</v>
      </c>
      <c r="BG26" s="453" t="b">
        <f t="shared" si="38"/>
        <v>1</v>
      </c>
      <c r="BH26" s="453">
        <f t="shared" si="32"/>
        <v>1</v>
      </c>
      <c r="BI26" s="453">
        <f t="shared" si="22"/>
        <v>2</v>
      </c>
      <c r="BJ26" s="453" t="str">
        <f t="shared" si="23"/>
        <v>2</v>
      </c>
      <c r="BK26" s="453">
        <f t="shared" si="24"/>
        <v>3</v>
      </c>
      <c r="BL26" s="148">
        <f t="shared" si="33"/>
        <v>1</v>
      </c>
      <c r="BM26" s="453">
        <f t="shared" si="25"/>
        <v>2</v>
      </c>
      <c r="BN26" s="453">
        <f t="shared" si="26"/>
        <v>3</v>
      </c>
      <c r="BO26" s="936"/>
      <c r="BP26" s="300" t="s">
        <v>364</v>
      </c>
      <c r="BQ26" s="165">
        <f t="shared" si="36"/>
        <v>0.6</v>
      </c>
      <c r="BR26" s="166">
        <f t="shared" si="36"/>
        <v>0.7</v>
      </c>
      <c r="BS26" s="166">
        <f t="shared" si="36"/>
        <v>0.8</v>
      </c>
      <c r="BT26" s="166">
        <f t="shared" si="36"/>
        <v>0.9</v>
      </c>
      <c r="BU26" s="167">
        <f t="shared" si="36"/>
        <v>1</v>
      </c>
    </row>
    <row r="27" spans="2:73" s="94" customFormat="1" ht="12.95" customHeight="1" x14ac:dyDescent="0.2">
      <c r="B27" s="151">
        <f>IF(ISNA(Z27),"",IF(OR(Z27=1,Z27=2),"    ",MAX($B$8:B26)+1))</f>
        <v>16</v>
      </c>
      <c r="C27" s="904" t="str">
        <f t="shared" si="0"/>
        <v xml:space="preserve">      - SISPIO for rudder roll control (3.8%)</v>
      </c>
      <c r="D27" s="904"/>
      <c r="E27" s="904"/>
      <c r="F27" s="905"/>
      <c r="G27" s="133">
        <f t="shared" si="1"/>
        <v>1</v>
      </c>
      <c r="H27" s="134" t="str">
        <f t="shared" si="2"/>
        <v>2</v>
      </c>
      <c r="I27" s="152">
        <f t="shared" si="2"/>
        <v>3</v>
      </c>
      <c r="J27" s="157"/>
      <c r="K27" s="154"/>
      <c r="L27" s="1015"/>
      <c r="M27" s="1016"/>
      <c r="N27" s="1016"/>
      <c r="O27" s="1016"/>
      <c r="P27" s="1016"/>
      <c r="Q27" s="1016"/>
      <c r="R27" s="1017"/>
      <c r="T27" s="99">
        <v>20</v>
      </c>
      <c r="U27" s="88" t="s">
        <v>816</v>
      </c>
      <c r="V27" s="453">
        <v>1</v>
      </c>
      <c r="W27" s="453">
        <v>4</v>
      </c>
      <c r="X27" s="453" t="s">
        <v>340</v>
      </c>
      <c r="Y27" s="453" t="s">
        <v>340</v>
      </c>
      <c r="Z27" s="146" t="s">
        <v>340</v>
      </c>
      <c r="AA27" s="146">
        <v>2</v>
      </c>
      <c r="AB27" s="146">
        <v>1</v>
      </c>
      <c r="AC27" s="453">
        <v>3</v>
      </c>
      <c r="AD27" s="453">
        <v>2</v>
      </c>
      <c r="AE27" s="453">
        <v>0</v>
      </c>
      <c r="AF27" s="453" t="b">
        <v>1</v>
      </c>
      <c r="AG27" s="453">
        <f t="shared" si="3"/>
        <v>3</v>
      </c>
      <c r="AH27" s="453">
        <f t="shared" si="4"/>
        <v>2</v>
      </c>
      <c r="AI27" s="138">
        <f>IF(NOT(OR(Z27=1,Z27=2)),IF(AQ27&gt;0,$AR$44*AQ27/SUMIF($AQ$8:$AQ$39,"&gt;0"),IF(AU27&gt;0,$AV$44*AU27/SUMIF($AU$8:$AU$39,"&gt;0"),IF(AS27&gt;0,$AT$44*AS27/SUMIF($AS$8:$AS$39,"&gt;0"),""))),IF(SUMIF(AJ28:$AJ$39,"=" &amp; AJ27,AI28:$AI$39)=0,"",SUMIF(AJ28:$AJ$39,"=" &amp; AJ27,AI28:$AI$39)))</f>
        <v>3.8095238095238099E-2</v>
      </c>
      <c r="AJ27" s="139">
        <f t="shared" si="34"/>
        <v>3</v>
      </c>
      <c r="AK27" s="453">
        <f t="shared" si="27"/>
        <v>2</v>
      </c>
      <c r="AL27" s="146" t="str">
        <f t="shared" si="28"/>
        <v/>
      </c>
      <c r="AM27" s="146" t="str">
        <f t="shared" si="35"/>
        <v/>
      </c>
      <c r="AN27" s="146" t="str">
        <f t="shared" si="5"/>
        <v/>
      </c>
      <c r="AO27" s="146" t="str">
        <f t="shared" si="6"/>
        <v/>
      </c>
      <c r="AP27" s="453" t="b">
        <f t="shared" si="7"/>
        <v>1</v>
      </c>
      <c r="AQ27" s="140">
        <f t="shared" si="29"/>
        <v>4</v>
      </c>
      <c r="AR27" s="141" t="str">
        <f t="shared" si="8"/>
        <v/>
      </c>
      <c r="AS27" s="142">
        <f t="shared" si="30"/>
        <v>0</v>
      </c>
      <c r="AT27" s="141" t="str">
        <f t="shared" si="9"/>
        <v/>
      </c>
      <c r="AU27" s="143">
        <f t="shared" si="10"/>
        <v>0</v>
      </c>
      <c r="AV27" s="144" t="str">
        <f t="shared" si="11"/>
        <v/>
      </c>
      <c r="AW27" s="143" t="b">
        <f t="shared" si="12"/>
        <v>0</v>
      </c>
      <c r="AX27" s="145" t="b">
        <f t="shared" si="13"/>
        <v>1</v>
      </c>
      <c r="AY27" s="143" t="b">
        <f t="shared" si="14"/>
        <v>0</v>
      </c>
      <c r="AZ27" s="145" t="b">
        <f t="shared" si="15"/>
        <v>0</v>
      </c>
      <c r="BA27" s="453" t="b">
        <f t="shared" si="16"/>
        <v>0</v>
      </c>
      <c r="BB27" s="453" t="b">
        <f t="shared" si="17"/>
        <v>0</v>
      </c>
      <c r="BC27" s="143" t="b">
        <f t="shared" si="18"/>
        <v>0</v>
      </c>
      <c r="BD27" s="146" t="b">
        <f t="shared" si="31"/>
        <v>0</v>
      </c>
      <c r="BE27" s="145" t="b">
        <f t="shared" si="37"/>
        <v>0</v>
      </c>
      <c r="BF27" s="147" t="b">
        <f t="shared" si="20"/>
        <v>0</v>
      </c>
      <c r="BG27" s="453" t="b">
        <f t="shared" si="38"/>
        <v>1</v>
      </c>
      <c r="BH27" s="453">
        <f t="shared" si="32"/>
        <v>1</v>
      </c>
      <c r="BI27" s="453">
        <f t="shared" si="22"/>
        <v>2</v>
      </c>
      <c r="BJ27" s="453" t="str">
        <f t="shared" si="23"/>
        <v>2</v>
      </c>
      <c r="BK27" s="453">
        <f t="shared" si="24"/>
        <v>3</v>
      </c>
      <c r="BL27" s="148">
        <f t="shared" si="33"/>
        <v>1</v>
      </c>
      <c r="BM27" s="453">
        <f t="shared" si="25"/>
        <v>2</v>
      </c>
      <c r="BN27" s="453">
        <f t="shared" si="26"/>
        <v>3</v>
      </c>
      <c r="BO27" s="936"/>
      <c r="BP27" s="300" t="s">
        <v>365</v>
      </c>
      <c r="BQ27" s="165">
        <f t="shared" si="36"/>
        <v>0.3</v>
      </c>
      <c r="BR27" s="166">
        <f t="shared" si="36"/>
        <v>0.6</v>
      </c>
      <c r="BS27" s="166">
        <f t="shared" si="36"/>
        <v>0.9</v>
      </c>
      <c r="BT27" s="166">
        <f t="shared" si="36"/>
        <v>0.95</v>
      </c>
      <c r="BU27" s="167">
        <f t="shared" si="36"/>
        <v>1</v>
      </c>
    </row>
    <row r="28" spans="2:73" s="94" customFormat="1" ht="12.95" customHeight="1" x14ac:dyDescent="0.2">
      <c r="B28" s="151">
        <f>IF(ISNA(Z28),"",IF(OR(Z28=1,Z28=2),"    ",MAX($B$8:B27)+1))</f>
        <v>17</v>
      </c>
      <c r="C28" s="904" t="str">
        <f t="shared" si="0"/>
        <v xml:space="preserve">      - HQR for rudder roll tracking (7.6%)</v>
      </c>
      <c r="D28" s="904"/>
      <c r="E28" s="904"/>
      <c r="F28" s="905"/>
      <c r="G28" s="133">
        <f t="shared" si="1"/>
        <v>1</v>
      </c>
      <c r="H28" s="134" t="str">
        <f t="shared" si="2"/>
        <v>2</v>
      </c>
      <c r="I28" s="152">
        <f t="shared" si="2"/>
        <v>3</v>
      </c>
      <c r="J28" s="157"/>
      <c r="K28" s="154"/>
      <c r="L28" s="1015"/>
      <c r="M28" s="1016"/>
      <c r="N28" s="1016"/>
      <c r="O28" s="1016"/>
      <c r="P28" s="1016"/>
      <c r="Q28" s="1016"/>
      <c r="R28" s="1017"/>
      <c r="T28" s="99">
        <v>21</v>
      </c>
      <c r="U28" s="88" t="s">
        <v>817</v>
      </c>
      <c r="V28" s="453">
        <v>1</v>
      </c>
      <c r="W28" s="453">
        <v>8</v>
      </c>
      <c r="X28" s="453" t="s">
        <v>340</v>
      </c>
      <c r="Y28" s="453" t="s">
        <v>340</v>
      </c>
      <c r="Z28" s="146" t="s">
        <v>340</v>
      </c>
      <c r="AA28" s="146">
        <v>2</v>
      </c>
      <c r="AB28" s="146">
        <v>1</v>
      </c>
      <c r="AC28" s="453">
        <v>3</v>
      </c>
      <c r="AD28" s="453">
        <v>2</v>
      </c>
      <c r="AE28" s="453">
        <v>0</v>
      </c>
      <c r="AF28" s="453" t="b">
        <v>1</v>
      </c>
      <c r="AG28" s="453">
        <f t="shared" si="3"/>
        <v>3</v>
      </c>
      <c r="AH28" s="453">
        <f t="shared" si="4"/>
        <v>2</v>
      </c>
      <c r="AI28" s="138">
        <f>IF(NOT(OR(Z28=1,Z28=2)),IF(AQ28&gt;0,$AR$44*AQ28/SUMIF($AQ$8:$AQ$39,"&gt;0"),IF(AU28&gt;0,$AV$44*AU28/SUMIF($AU$8:$AU$39,"&gt;0"),IF(AS28&gt;0,$AT$44*AS28/SUMIF($AS$8:$AS$39,"&gt;0"),""))),IF(SUMIF(AJ29:$AJ$39,"=" &amp; AJ28,AI29:$AI$39)=0,"",SUMIF(AJ29:$AJ$39,"=" &amp; AJ28,AI29:$AI$39)))</f>
        <v>7.6190476190476197E-2</v>
      </c>
      <c r="AJ28" s="139">
        <f t="shared" si="34"/>
        <v>3</v>
      </c>
      <c r="AK28" s="453">
        <f t="shared" si="27"/>
        <v>2</v>
      </c>
      <c r="AL28" s="146" t="str">
        <f t="shared" si="28"/>
        <v/>
      </c>
      <c r="AM28" s="146" t="str">
        <f t="shared" si="35"/>
        <v/>
      </c>
      <c r="AN28" s="146" t="str">
        <f t="shared" si="5"/>
        <v/>
      </c>
      <c r="AO28" s="146" t="str">
        <f t="shared" si="6"/>
        <v/>
      </c>
      <c r="AP28" s="453" t="b">
        <f t="shared" si="7"/>
        <v>1</v>
      </c>
      <c r="AQ28" s="140">
        <f t="shared" si="29"/>
        <v>8</v>
      </c>
      <c r="AR28" s="141" t="str">
        <f t="shared" si="8"/>
        <v/>
      </c>
      <c r="AS28" s="142">
        <f t="shared" si="30"/>
        <v>0</v>
      </c>
      <c r="AT28" s="141" t="str">
        <f t="shared" si="9"/>
        <v/>
      </c>
      <c r="AU28" s="143">
        <f t="shared" si="10"/>
        <v>0</v>
      </c>
      <c r="AV28" s="144" t="str">
        <f t="shared" si="11"/>
        <v/>
      </c>
      <c r="AW28" s="143" t="b">
        <f t="shared" si="12"/>
        <v>0</v>
      </c>
      <c r="AX28" s="145" t="b">
        <f t="shared" si="13"/>
        <v>1</v>
      </c>
      <c r="AY28" s="143" t="b">
        <f t="shared" si="14"/>
        <v>0</v>
      </c>
      <c r="AZ28" s="145" t="b">
        <f t="shared" si="15"/>
        <v>0</v>
      </c>
      <c r="BA28" s="453" t="b">
        <f t="shared" si="16"/>
        <v>0</v>
      </c>
      <c r="BB28" s="453" t="b">
        <f t="shared" si="17"/>
        <v>0</v>
      </c>
      <c r="BC28" s="143" t="b">
        <f t="shared" si="18"/>
        <v>0</v>
      </c>
      <c r="BD28" s="146" t="b">
        <f t="shared" si="31"/>
        <v>0</v>
      </c>
      <c r="BE28" s="145" t="b">
        <f t="shared" si="37"/>
        <v>0</v>
      </c>
      <c r="BF28" s="147" t="b">
        <f t="shared" si="20"/>
        <v>0</v>
      </c>
      <c r="BG28" s="453" t="b">
        <f t="shared" si="38"/>
        <v>1</v>
      </c>
      <c r="BH28" s="453">
        <f t="shared" si="32"/>
        <v>1</v>
      </c>
      <c r="BI28" s="453">
        <f t="shared" si="22"/>
        <v>2</v>
      </c>
      <c r="BJ28" s="453" t="str">
        <f t="shared" si="23"/>
        <v>2</v>
      </c>
      <c r="BK28" s="453">
        <f t="shared" si="24"/>
        <v>3</v>
      </c>
      <c r="BL28" s="148">
        <f t="shared" si="33"/>
        <v>1</v>
      </c>
      <c r="BM28" s="453">
        <f t="shared" si="25"/>
        <v>2</v>
      </c>
      <c r="BN28" s="453">
        <f t="shared" si="26"/>
        <v>3</v>
      </c>
      <c r="BO28" s="936"/>
      <c r="BP28" s="300" t="s">
        <v>366</v>
      </c>
      <c r="BQ28" s="165">
        <f t="shared" si="36"/>
        <v>0.3</v>
      </c>
      <c r="BR28" s="166">
        <f t="shared" si="36"/>
        <v>0.6</v>
      </c>
      <c r="BS28" s="166">
        <f t="shared" si="36"/>
        <v>0.7</v>
      </c>
      <c r="BT28" s="166">
        <f t="shared" si="36"/>
        <v>0.9</v>
      </c>
      <c r="BU28" s="167">
        <f t="shared" si="36"/>
        <v>1</v>
      </c>
    </row>
    <row r="29" spans="2:73" s="94" customFormat="1" ht="12.95" customHeight="1" x14ac:dyDescent="0.2">
      <c r="B29" s="151" t="str">
        <f>IF(ISNA(Z29),"",IF(OR(Z29=1,Z29=2),"    ",MAX($B$8:B28)+1))</f>
        <v xml:space="preserve">    </v>
      </c>
      <c r="C29" s="904" t="str">
        <f t="shared" si="0"/>
        <v>0.9 Mach Longitudinal Investigation (19.0%)</v>
      </c>
      <c r="D29" s="904"/>
      <c r="E29" s="904"/>
      <c r="F29" s="905"/>
      <c r="G29" s="133" t="str">
        <f t="shared" si="1"/>
        <v/>
      </c>
      <c r="H29" s="134" t="str">
        <f t="shared" si="2"/>
        <v/>
      </c>
      <c r="I29" s="152" t="str">
        <f t="shared" si="2"/>
        <v/>
      </c>
      <c r="J29" s="158"/>
      <c r="K29" s="159"/>
      <c r="L29" s="1015"/>
      <c r="M29" s="1016"/>
      <c r="N29" s="1016"/>
      <c r="O29" s="1016"/>
      <c r="P29" s="1016"/>
      <c r="Q29" s="1016"/>
      <c r="R29" s="1017"/>
      <c r="T29" s="99">
        <v>22</v>
      </c>
      <c r="U29" s="88" t="s">
        <v>818</v>
      </c>
      <c r="V29" s="453" t="s">
        <v>340</v>
      </c>
      <c r="W29" s="453" t="s">
        <v>340</v>
      </c>
      <c r="X29" s="453" t="s">
        <v>340</v>
      </c>
      <c r="Y29" s="453" t="s">
        <v>340</v>
      </c>
      <c r="Z29" s="146">
        <v>2</v>
      </c>
      <c r="AA29" s="146">
        <v>1</v>
      </c>
      <c r="AB29" s="146">
        <v>1</v>
      </c>
      <c r="AC29" s="453" t="s">
        <v>340</v>
      </c>
      <c r="AD29" s="453" t="s">
        <v>340</v>
      </c>
      <c r="AE29" s="453" t="s">
        <v>340</v>
      </c>
      <c r="AF29" s="453" t="s">
        <v>340</v>
      </c>
      <c r="AG29" s="453" t="str">
        <f t="shared" si="3"/>
        <v/>
      </c>
      <c r="AH29" s="453" t="str">
        <f t="shared" si="4"/>
        <v/>
      </c>
      <c r="AI29" s="138">
        <f>IF(NOT(OR(Z29=1,Z29=2)),IF(AQ29&gt;0,$AR$44*AQ29/SUMIF($AQ$8:$AQ$39,"&gt;0"),IF(AU29&gt;0,$AV$44*AU29/SUMIF($AU$8:$AU$39,"&gt;0"),IF(AS29&gt;0,$AT$44*AS29/SUMIF($AS$8:$AS$39,"&gt;0"),""))),IF(SUMIF(AJ30:$AJ$39,"=" &amp; AJ29,AI30:$AI$39)=0,"",SUMIF(AJ30:$AJ$39,"=" &amp; AJ29,AI30:$AI$39)))</f>
        <v>0.19047619047619049</v>
      </c>
      <c r="AJ29" s="139">
        <f t="shared" si="34"/>
        <v>4</v>
      </c>
      <c r="AK29" s="453" t="str">
        <f t="shared" si="27"/>
        <v/>
      </c>
      <c r="AL29" s="146" t="str">
        <f t="shared" si="28"/>
        <v/>
      </c>
      <c r="AM29" s="146" t="str">
        <f t="shared" si="35"/>
        <v/>
      </c>
      <c r="AN29" s="146" t="str">
        <f t="shared" si="5"/>
        <v/>
      </c>
      <c r="AO29" s="146" t="str">
        <f t="shared" si="6"/>
        <v/>
      </c>
      <c r="AP29" s="453" t="str">
        <f t="shared" si="7"/>
        <v/>
      </c>
      <c r="AQ29" s="140">
        <f t="shared" si="29"/>
        <v>0</v>
      </c>
      <c r="AR29" s="141" t="str">
        <f t="shared" si="8"/>
        <v/>
      </c>
      <c r="AS29" s="142">
        <f t="shared" si="30"/>
        <v>0</v>
      </c>
      <c r="AT29" s="141" t="str">
        <f t="shared" si="9"/>
        <v/>
      </c>
      <c r="AU29" s="143">
        <f t="shared" si="10"/>
        <v>0</v>
      </c>
      <c r="AV29" s="144" t="str">
        <f t="shared" si="11"/>
        <v/>
      </c>
      <c r="AW29" s="143" t="b">
        <f t="shared" si="12"/>
        <v>0</v>
      </c>
      <c r="AX29" s="145" t="b">
        <f t="shared" si="13"/>
        <v>0</v>
      </c>
      <c r="AY29" s="143" t="b">
        <f t="shared" si="14"/>
        <v>0</v>
      </c>
      <c r="AZ29" s="145" t="b">
        <f t="shared" si="15"/>
        <v>0</v>
      </c>
      <c r="BA29" s="453" t="b">
        <f t="shared" si="16"/>
        <v>0</v>
      </c>
      <c r="BB29" s="453" t="b">
        <f t="shared" si="17"/>
        <v>0</v>
      </c>
      <c r="BC29" s="143" t="b">
        <f t="shared" si="18"/>
        <v>0</v>
      </c>
      <c r="BD29" s="146" t="b">
        <f t="shared" si="31"/>
        <v>0</v>
      </c>
      <c r="BE29" s="145" t="b">
        <f t="shared" si="37"/>
        <v>0</v>
      </c>
      <c r="BF29" s="147" t="b">
        <f t="shared" si="20"/>
        <v>0</v>
      </c>
      <c r="BG29" s="453" t="b">
        <f t="shared" si="38"/>
        <v>0</v>
      </c>
      <c r="BH29" s="453" t="str">
        <f t="shared" si="32"/>
        <v/>
      </c>
      <c r="BI29" s="453" t="str">
        <f t="shared" si="22"/>
        <v/>
      </c>
      <c r="BJ29" s="453" t="str">
        <f t="shared" si="23"/>
        <v/>
      </c>
      <c r="BK29" s="453" t="str">
        <f t="shared" si="24"/>
        <v/>
      </c>
      <c r="BL29" s="148" t="str">
        <f t="shared" si="33"/>
        <v/>
      </c>
      <c r="BM29" s="453" t="str">
        <f t="shared" si="25"/>
        <v/>
      </c>
      <c r="BN29" s="453" t="str">
        <f t="shared" si="26"/>
        <v/>
      </c>
      <c r="BO29" s="936"/>
      <c r="BP29" s="300" t="s">
        <v>367</v>
      </c>
      <c r="BQ29" s="168">
        <f t="shared" si="36"/>
        <v>0</v>
      </c>
      <c r="BR29" s="169">
        <f t="shared" si="36"/>
        <v>0.3</v>
      </c>
      <c r="BS29" s="169">
        <f t="shared" si="36"/>
        <v>0.6</v>
      </c>
      <c r="BT29" s="169">
        <f t="shared" si="36"/>
        <v>0.9</v>
      </c>
      <c r="BU29" s="170">
        <f t="shared" si="36"/>
        <v>1</v>
      </c>
    </row>
    <row r="30" spans="2:73" s="94" customFormat="1" ht="12.95" customHeight="1" x14ac:dyDescent="0.2">
      <c r="B30" s="151">
        <f>IF(ISNA(Z30),"",IF(OR(Z30=1,Z30=2),"    ",MAX($B$8:B29)+1))</f>
        <v>18</v>
      </c>
      <c r="C30" s="904" t="str">
        <f t="shared" si="0"/>
        <v xml:space="preserve">      - Short period open loop data (3.8%)</v>
      </c>
      <c r="D30" s="904"/>
      <c r="E30" s="904"/>
      <c r="F30" s="905"/>
      <c r="G30" s="133">
        <f t="shared" si="1"/>
        <v>1</v>
      </c>
      <c r="H30" s="134" t="str">
        <f t="shared" si="2"/>
        <v>2</v>
      </c>
      <c r="I30" s="152">
        <f t="shared" si="2"/>
        <v>3</v>
      </c>
      <c r="J30" s="157"/>
      <c r="K30" s="154"/>
      <c r="L30" s="1015"/>
      <c r="M30" s="1016"/>
      <c r="N30" s="1016"/>
      <c r="O30" s="1016"/>
      <c r="P30" s="1016"/>
      <c r="Q30" s="1016"/>
      <c r="R30" s="1017"/>
      <c r="T30" s="99">
        <v>23</v>
      </c>
      <c r="U30" s="88" t="s">
        <v>819</v>
      </c>
      <c r="V30" s="453">
        <v>1</v>
      </c>
      <c r="W30" s="453">
        <v>4</v>
      </c>
      <c r="X30" s="453" t="s">
        <v>340</v>
      </c>
      <c r="Y30" s="453" t="s">
        <v>340</v>
      </c>
      <c r="Z30" s="146" t="s">
        <v>340</v>
      </c>
      <c r="AA30" s="146">
        <v>2</v>
      </c>
      <c r="AB30" s="146">
        <v>1</v>
      </c>
      <c r="AC30" s="453">
        <v>3</v>
      </c>
      <c r="AD30" s="453">
        <v>2</v>
      </c>
      <c r="AE30" s="453">
        <v>0</v>
      </c>
      <c r="AF30" s="453" t="b">
        <v>1</v>
      </c>
      <c r="AG30" s="453">
        <f t="shared" si="3"/>
        <v>3</v>
      </c>
      <c r="AH30" s="453">
        <f t="shared" si="4"/>
        <v>2</v>
      </c>
      <c r="AI30" s="138">
        <f>IF(NOT(OR(Z30=1,Z30=2)),IF(AQ30&gt;0,$AR$44*AQ30/SUMIF($AQ$8:$AQ$39,"&gt;0"),IF(AU30&gt;0,$AV$44*AU30/SUMIF($AU$8:$AU$39,"&gt;0"),IF(AS30&gt;0,$AT$44*AS30/SUMIF($AS$8:$AS$39,"&gt;0"),""))),IF(SUMIF(AJ31:$AJ$39,"=" &amp; AJ30,AI31:$AI$39)=0,"",SUMIF(AJ31:$AJ$39,"=" &amp; AJ30,AI31:$AI$39)))</f>
        <v>3.8095238095238099E-2</v>
      </c>
      <c r="AJ30" s="139">
        <f t="shared" si="34"/>
        <v>4</v>
      </c>
      <c r="AK30" s="453">
        <f t="shared" si="27"/>
        <v>2</v>
      </c>
      <c r="AL30" s="146" t="str">
        <f t="shared" si="28"/>
        <v/>
      </c>
      <c r="AM30" s="146" t="str">
        <f t="shared" si="35"/>
        <v/>
      </c>
      <c r="AN30" s="146" t="str">
        <f t="shared" si="5"/>
        <v/>
      </c>
      <c r="AO30" s="146" t="str">
        <f t="shared" si="6"/>
        <v/>
      </c>
      <c r="AP30" s="453" t="b">
        <f t="shared" si="7"/>
        <v>1</v>
      </c>
      <c r="AQ30" s="140">
        <f t="shared" si="29"/>
        <v>4</v>
      </c>
      <c r="AR30" s="141" t="str">
        <f t="shared" si="8"/>
        <v/>
      </c>
      <c r="AS30" s="142">
        <f t="shared" si="30"/>
        <v>0</v>
      </c>
      <c r="AT30" s="141" t="str">
        <f t="shared" si="9"/>
        <v/>
      </c>
      <c r="AU30" s="143">
        <f t="shared" si="10"/>
        <v>0</v>
      </c>
      <c r="AV30" s="144" t="str">
        <f t="shared" si="11"/>
        <v/>
      </c>
      <c r="AW30" s="143" t="b">
        <f t="shared" si="12"/>
        <v>0</v>
      </c>
      <c r="AX30" s="145" t="b">
        <f t="shared" si="13"/>
        <v>1</v>
      </c>
      <c r="AY30" s="143" t="b">
        <f t="shared" si="14"/>
        <v>0</v>
      </c>
      <c r="AZ30" s="145" t="b">
        <f t="shared" si="15"/>
        <v>0</v>
      </c>
      <c r="BA30" s="453" t="b">
        <f t="shared" si="16"/>
        <v>0</v>
      </c>
      <c r="BB30" s="453" t="b">
        <f t="shared" si="17"/>
        <v>0</v>
      </c>
      <c r="BC30" s="143" t="b">
        <f t="shared" si="18"/>
        <v>0</v>
      </c>
      <c r="BD30" s="146" t="b">
        <f t="shared" si="31"/>
        <v>0</v>
      </c>
      <c r="BE30" s="145" t="b">
        <f t="shared" si="37"/>
        <v>0</v>
      </c>
      <c r="BF30" s="147" t="b">
        <f t="shared" si="20"/>
        <v>0</v>
      </c>
      <c r="BG30" s="453" t="b">
        <f t="shared" si="38"/>
        <v>1</v>
      </c>
      <c r="BH30" s="453">
        <f t="shared" si="32"/>
        <v>1</v>
      </c>
      <c r="BI30" s="453">
        <f t="shared" si="22"/>
        <v>2</v>
      </c>
      <c r="BJ30" s="453" t="str">
        <f t="shared" si="23"/>
        <v>2</v>
      </c>
      <c r="BK30" s="453">
        <f t="shared" si="24"/>
        <v>3</v>
      </c>
      <c r="BL30" s="148">
        <f t="shared" si="33"/>
        <v>1</v>
      </c>
      <c r="BM30" s="453">
        <f t="shared" si="25"/>
        <v>2</v>
      </c>
      <c r="BN30" s="453">
        <f t="shared" si="26"/>
        <v>3</v>
      </c>
      <c r="BO30" s="90"/>
    </row>
    <row r="31" spans="2:73" s="94" customFormat="1" ht="12.95" customHeight="1" x14ac:dyDescent="0.2">
      <c r="B31" s="151">
        <f>IF(ISNA(Z31),"",IF(OR(Z31=1,Z31=2),"    ",MAX($B$8:B30)+1))</f>
        <v>19</v>
      </c>
      <c r="C31" s="904" t="str">
        <f t="shared" si="0"/>
        <v xml:space="preserve">      - Stick force per g (7.6%)</v>
      </c>
      <c r="D31" s="904"/>
      <c r="E31" s="904"/>
      <c r="F31" s="905"/>
      <c r="G31" s="133">
        <f t="shared" si="1"/>
        <v>1</v>
      </c>
      <c r="H31" s="134" t="str">
        <f t="shared" si="2"/>
        <v>2</v>
      </c>
      <c r="I31" s="152">
        <f t="shared" si="2"/>
        <v>3</v>
      </c>
      <c r="J31" s="157"/>
      <c r="K31" s="154"/>
      <c r="L31" s="1015"/>
      <c r="M31" s="1016"/>
      <c r="N31" s="1016"/>
      <c r="O31" s="1016"/>
      <c r="P31" s="1016"/>
      <c r="Q31" s="1016"/>
      <c r="R31" s="1017"/>
      <c r="T31" s="99">
        <v>24</v>
      </c>
      <c r="U31" s="88" t="s">
        <v>820</v>
      </c>
      <c r="V31" s="453">
        <v>1</v>
      </c>
      <c r="W31" s="453">
        <v>8</v>
      </c>
      <c r="X31" s="453" t="s">
        <v>340</v>
      </c>
      <c r="Y31" s="453" t="s">
        <v>340</v>
      </c>
      <c r="Z31" s="146" t="s">
        <v>340</v>
      </c>
      <c r="AA31" s="146">
        <v>2</v>
      </c>
      <c r="AB31" s="146">
        <v>1</v>
      </c>
      <c r="AC31" s="453">
        <v>3</v>
      </c>
      <c r="AD31" s="453">
        <v>2</v>
      </c>
      <c r="AE31" s="453">
        <v>0</v>
      </c>
      <c r="AF31" s="453" t="b">
        <v>1</v>
      </c>
      <c r="AG31" s="453">
        <f t="shared" si="3"/>
        <v>3</v>
      </c>
      <c r="AH31" s="453">
        <f t="shared" si="4"/>
        <v>2</v>
      </c>
      <c r="AI31" s="138">
        <f>IF(NOT(OR(Z31=1,Z31=2)),IF(AQ31&gt;0,$AR$44*AQ31/SUMIF($AQ$8:$AQ$39,"&gt;0"),IF(AU31&gt;0,$AV$44*AU31/SUMIF($AU$8:$AU$39,"&gt;0"),IF(AS31&gt;0,$AT$44*AS31/SUMIF($AS$8:$AS$39,"&gt;0"),""))),IF(SUMIF(AJ32:$AJ$39,"=" &amp; AJ31,AI32:$AI$39)=0,"",SUMIF(AJ32:$AJ$39,"=" &amp; AJ31,AI32:$AI$39)))</f>
        <v>7.6190476190476197E-2</v>
      </c>
      <c r="AJ31" s="139">
        <f t="shared" si="34"/>
        <v>4</v>
      </c>
      <c r="AK31" s="453">
        <f t="shared" si="27"/>
        <v>2</v>
      </c>
      <c r="AL31" s="146" t="str">
        <f t="shared" si="28"/>
        <v/>
      </c>
      <c r="AM31" s="146" t="str">
        <f t="shared" si="35"/>
        <v/>
      </c>
      <c r="AN31" s="146" t="str">
        <f t="shared" si="5"/>
        <v/>
      </c>
      <c r="AO31" s="146" t="str">
        <f t="shared" si="6"/>
        <v/>
      </c>
      <c r="AP31" s="453" t="b">
        <f t="shared" si="7"/>
        <v>1</v>
      </c>
      <c r="AQ31" s="140">
        <f t="shared" si="29"/>
        <v>8</v>
      </c>
      <c r="AR31" s="141" t="str">
        <f t="shared" si="8"/>
        <v/>
      </c>
      <c r="AS31" s="142">
        <f t="shared" si="30"/>
        <v>0</v>
      </c>
      <c r="AT31" s="141" t="str">
        <f t="shared" si="9"/>
        <v/>
      </c>
      <c r="AU31" s="143">
        <f t="shared" si="10"/>
        <v>0</v>
      </c>
      <c r="AV31" s="144" t="str">
        <f t="shared" si="11"/>
        <v/>
      </c>
      <c r="AW31" s="143" t="b">
        <f t="shared" si="12"/>
        <v>0</v>
      </c>
      <c r="AX31" s="145" t="b">
        <f t="shared" si="13"/>
        <v>1</v>
      </c>
      <c r="AY31" s="143" t="b">
        <f t="shared" si="14"/>
        <v>0</v>
      </c>
      <c r="AZ31" s="145" t="b">
        <f t="shared" si="15"/>
        <v>0</v>
      </c>
      <c r="BA31" s="453" t="b">
        <f t="shared" si="16"/>
        <v>0</v>
      </c>
      <c r="BB31" s="453" t="b">
        <f t="shared" si="17"/>
        <v>0</v>
      </c>
      <c r="BC31" s="143" t="b">
        <f t="shared" si="18"/>
        <v>0</v>
      </c>
      <c r="BD31" s="146" t="b">
        <f>IF(OR(ISNA($Z31),ISNUMBER($Z31),NOT(ISNUMBER(K31))),FALSE,OR(NOT(ISNUMBER(J31)),J31=0,AND(J31=0,K31&lt;&gt;0)))</f>
        <v>0</v>
      </c>
      <c r="BE31" s="145" t="b">
        <f t="shared" si="37"/>
        <v>0</v>
      </c>
      <c r="BF31" s="147" t="b">
        <f>IF(OR(ISNA($Z31),H31&lt;&gt;"NG"),FALSE,IF(AND(J31="NA",K31&lt;&gt;""),TRUE,FALSE))</f>
        <v>0</v>
      </c>
      <c r="BG31" s="453" t="b">
        <f t="shared" si="38"/>
        <v>1</v>
      </c>
      <c r="BH31" s="453">
        <f t="shared" si="32"/>
        <v>1</v>
      </c>
      <c r="BI31" s="453">
        <f t="shared" si="22"/>
        <v>2</v>
      </c>
      <c r="BJ31" s="453" t="str">
        <f t="shared" si="23"/>
        <v>2</v>
      </c>
      <c r="BK31" s="453">
        <f t="shared" si="24"/>
        <v>3</v>
      </c>
      <c r="BL31" s="148">
        <f t="shared" si="33"/>
        <v>1</v>
      </c>
      <c r="BM31" s="453">
        <f t="shared" si="25"/>
        <v>2</v>
      </c>
      <c r="BN31" s="453">
        <f t="shared" si="26"/>
        <v>3</v>
      </c>
      <c r="BO31" s="155" t="s">
        <v>368</v>
      </c>
      <c r="BP31" s="161" t="s">
        <v>369</v>
      </c>
    </row>
    <row r="32" spans="2:73" s="94" customFormat="1" ht="12.95" customHeight="1" x14ac:dyDescent="0.2">
      <c r="B32" s="151">
        <f>IF(ISNA(Z32),"",IF(OR(Z32=1,Z32=2),"    ",MAX($B$8:B31)+1))</f>
        <v>20</v>
      </c>
      <c r="C32" s="904" t="str">
        <f t="shared" si="0"/>
        <v xml:space="preserve">      - Transient Fs/g (inc delay) (3.8%)</v>
      </c>
      <c r="D32" s="904"/>
      <c r="E32" s="904"/>
      <c r="F32" s="905"/>
      <c r="G32" s="133">
        <f t="shared" si="1"/>
        <v>1</v>
      </c>
      <c r="H32" s="134" t="str">
        <f t="shared" si="2"/>
        <v>1</v>
      </c>
      <c r="I32" s="152">
        <f t="shared" si="2"/>
        <v>3</v>
      </c>
      <c r="J32" s="157"/>
      <c r="K32" s="154"/>
      <c r="L32" s="1015"/>
      <c r="M32" s="1016"/>
      <c r="N32" s="1016"/>
      <c r="O32" s="1016"/>
      <c r="P32" s="1016"/>
      <c r="Q32" s="1016"/>
      <c r="R32" s="1017"/>
      <c r="T32" s="99">
        <v>25</v>
      </c>
      <c r="U32" s="88" t="s">
        <v>821</v>
      </c>
      <c r="V32" s="453">
        <v>1</v>
      </c>
      <c r="W32" s="453">
        <v>4</v>
      </c>
      <c r="X32" s="453" t="s">
        <v>340</v>
      </c>
      <c r="Y32" s="453" t="s">
        <v>340</v>
      </c>
      <c r="Z32" s="146" t="s">
        <v>340</v>
      </c>
      <c r="AA32" s="146">
        <v>2</v>
      </c>
      <c r="AB32" s="146">
        <v>1</v>
      </c>
      <c r="AC32" s="453">
        <v>3</v>
      </c>
      <c r="AD32" s="453">
        <v>1</v>
      </c>
      <c r="AE32" s="453">
        <v>0</v>
      </c>
      <c r="AF32" s="453" t="b">
        <v>1</v>
      </c>
      <c r="AG32" s="453">
        <f t="shared" si="3"/>
        <v>3</v>
      </c>
      <c r="AH32" s="453">
        <f t="shared" si="4"/>
        <v>2</v>
      </c>
      <c r="AI32" s="138">
        <f>IF(NOT(OR(Z32=1,Z32=2)),IF(AQ32&gt;0,$AR$44*AQ32/SUMIF($AQ$8:$AQ$39,"&gt;0"),IF(AU32&gt;0,$AV$44*AU32/SUMIF($AU$8:$AU$39,"&gt;0"),IF(AS32&gt;0,$AT$44*AS32/SUMIF($AS$8:$AS$39,"&gt;0"),""))),IF(SUMIF(AJ33:$AJ$39,"=" &amp; AJ32,AI33:$AI$39)=0,"",SUMIF(AJ33:$AJ$39,"=" &amp; AJ32,AI33:$AI$39)))</f>
        <v>3.8095238095238099E-2</v>
      </c>
      <c r="AJ32" s="139">
        <f t="shared" si="34"/>
        <v>4</v>
      </c>
      <c r="AK32" s="453">
        <f t="shared" si="27"/>
        <v>1</v>
      </c>
      <c r="AL32" s="146" t="str">
        <f t="shared" si="28"/>
        <v/>
      </c>
      <c r="AM32" s="146" t="str">
        <f t="shared" si="35"/>
        <v/>
      </c>
      <c r="AN32" s="146" t="str">
        <f t="shared" si="5"/>
        <v/>
      </c>
      <c r="AO32" s="146" t="str">
        <f t="shared" si="6"/>
        <v/>
      </c>
      <c r="AP32" s="453" t="b">
        <f t="shared" si="7"/>
        <v>1</v>
      </c>
      <c r="AQ32" s="140">
        <f t="shared" si="29"/>
        <v>4</v>
      </c>
      <c r="AR32" s="141" t="str">
        <f t="shared" si="8"/>
        <v/>
      </c>
      <c r="AS32" s="142">
        <f t="shared" si="30"/>
        <v>0</v>
      </c>
      <c r="AT32" s="141" t="str">
        <f t="shared" si="9"/>
        <v/>
      </c>
      <c r="AU32" s="143">
        <f t="shared" si="10"/>
        <v>0</v>
      </c>
      <c r="AV32" s="144" t="str">
        <f t="shared" si="11"/>
        <v/>
      </c>
      <c r="AW32" s="143" t="b">
        <f t="shared" si="12"/>
        <v>0</v>
      </c>
      <c r="AX32" s="145" t="b">
        <f t="shared" si="13"/>
        <v>1</v>
      </c>
      <c r="AY32" s="143" t="b">
        <f t="shared" si="14"/>
        <v>0</v>
      </c>
      <c r="AZ32" s="145" t="b">
        <f t="shared" si="15"/>
        <v>0</v>
      </c>
      <c r="BA32" s="453" t="b">
        <f t="shared" si="16"/>
        <v>0</v>
      </c>
      <c r="BB32" s="453" t="b">
        <f t="shared" si="17"/>
        <v>0</v>
      </c>
      <c r="BC32" s="143" t="b">
        <f t="shared" si="18"/>
        <v>0</v>
      </c>
      <c r="BD32" s="146" t="b">
        <f t="shared" si="31"/>
        <v>0</v>
      </c>
      <c r="BE32" s="145" t="b">
        <f t="shared" si="37"/>
        <v>0</v>
      </c>
      <c r="BF32" s="147" t="b">
        <f t="shared" ref="BF32:BF39" si="39">IF(OR(ISNA($Z32),H32&lt;&gt;"NG"),FALSE,IF(AND(J32="NA",K32&lt;&gt;""),TRUE,FALSE))</f>
        <v>0</v>
      </c>
      <c r="BG32" s="453" t="b">
        <f t="shared" si="38"/>
        <v>1</v>
      </c>
      <c r="BH32" s="453">
        <f t="shared" si="32"/>
        <v>1</v>
      </c>
      <c r="BI32" s="453">
        <f t="shared" si="22"/>
        <v>1</v>
      </c>
      <c r="BJ32" s="453" t="str">
        <f t="shared" si="23"/>
        <v>1</v>
      </c>
      <c r="BK32" s="453">
        <f t="shared" si="24"/>
        <v>3</v>
      </c>
      <c r="BL32" s="148">
        <f t="shared" si="33"/>
        <v>1</v>
      </c>
      <c r="BM32" s="453">
        <f t="shared" si="25"/>
        <v>1</v>
      </c>
      <c r="BN32" s="453">
        <f t="shared" si="26"/>
        <v>3</v>
      </c>
      <c r="BO32" s="155" t="s">
        <v>370</v>
      </c>
      <c r="BP32" s="161" t="s">
        <v>371</v>
      </c>
    </row>
    <row r="33" spans="2:73" s="94" customFormat="1" ht="12.95" customHeight="1" x14ac:dyDescent="0.2">
      <c r="B33" s="151">
        <f>IF(ISNA(Z33),"",IF(OR(Z33=1,Z33=2),"    ",MAX($B$8:B32)+1))</f>
        <v>21</v>
      </c>
      <c r="C33" s="904" t="str">
        <f t="shared" si="0"/>
        <v xml:space="preserve">      - 180 phase assessment (3.8%)</v>
      </c>
      <c r="D33" s="904"/>
      <c r="E33" s="904"/>
      <c r="F33" s="905"/>
      <c r="G33" s="133">
        <f t="shared" si="1"/>
        <v>1</v>
      </c>
      <c r="H33" s="134" t="str">
        <f t="shared" si="2"/>
        <v>1</v>
      </c>
      <c r="I33" s="152">
        <f t="shared" si="2"/>
        <v>3</v>
      </c>
      <c r="J33" s="157"/>
      <c r="K33" s="154"/>
      <c r="L33" s="1015"/>
      <c r="M33" s="1016"/>
      <c r="N33" s="1016"/>
      <c r="O33" s="1016"/>
      <c r="P33" s="1016"/>
      <c r="Q33" s="1016"/>
      <c r="R33" s="1017"/>
      <c r="T33" s="99">
        <v>26</v>
      </c>
      <c r="U33" s="88" t="s">
        <v>822</v>
      </c>
      <c r="V33" s="453">
        <v>1</v>
      </c>
      <c r="W33" s="453">
        <v>4</v>
      </c>
      <c r="X33" s="453" t="s">
        <v>340</v>
      </c>
      <c r="Y33" s="453" t="s">
        <v>340</v>
      </c>
      <c r="Z33" s="146" t="s">
        <v>340</v>
      </c>
      <c r="AA33" s="146">
        <v>2</v>
      </c>
      <c r="AB33" s="146">
        <v>1</v>
      </c>
      <c r="AC33" s="453">
        <v>3</v>
      </c>
      <c r="AD33" s="453">
        <v>1</v>
      </c>
      <c r="AE33" s="453">
        <v>0</v>
      </c>
      <c r="AF33" s="453" t="b">
        <v>1</v>
      </c>
      <c r="AG33" s="453">
        <f t="shared" si="3"/>
        <v>3</v>
      </c>
      <c r="AH33" s="453">
        <f t="shared" si="4"/>
        <v>2</v>
      </c>
      <c r="AI33" s="138">
        <f>IF(NOT(OR(Z33=1,Z33=2)),IF(AQ33&gt;0,$AR$44*AQ33/SUMIF($AQ$8:$AQ$39,"&gt;0"),IF(AU33&gt;0,$AV$44*AU33/SUMIF($AU$8:$AU$39,"&gt;0"),IF(AS33&gt;0,$AT$44*AS33/SUMIF($AS$8:$AS$39,"&gt;0"),""))),IF(SUMIF(AJ34:$AJ$39,"=" &amp; AJ33,AI34:$AI$39)=0,"",SUMIF(AJ34:$AJ$39,"=" &amp; AJ33,AI34:$AI$39)))</f>
        <v>3.8095238095238099E-2</v>
      </c>
      <c r="AJ33" s="139">
        <f t="shared" si="34"/>
        <v>4</v>
      </c>
      <c r="AK33" s="453">
        <f t="shared" si="27"/>
        <v>1</v>
      </c>
      <c r="AL33" s="146" t="str">
        <f t="shared" si="28"/>
        <v/>
      </c>
      <c r="AM33" s="146" t="str">
        <f t="shared" si="35"/>
        <v/>
      </c>
      <c r="AN33" s="146" t="str">
        <f t="shared" si="5"/>
        <v/>
      </c>
      <c r="AO33" s="146" t="str">
        <f t="shared" si="6"/>
        <v/>
      </c>
      <c r="AP33" s="453" t="b">
        <f t="shared" si="7"/>
        <v>1</v>
      </c>
      <c r="AQ33" s="140">
        <f t="shared" si="29"/>
        <v>4</v>
      </c>
      <c r="AR33" s="141" t="str">
        <f t="shared" si="8"/>
        <v/>
      </c>
      <c r="AS33" s="142">
        <f t="shared" si="30"/>
        <v>0</v>
      </c>
      <c r="AT33" s="141" t="str">
        <f t="shared" si="9"/>
        <v/>
      </c>
      <c r="AU33" s="143">
        <f t="shared" si="10"/>
        <v>0</v>
      </c>
      <c r="AV33" s="144" t="str">
        <f t="shared" si="11"/>
        <v/>
      </c>
      <c r="AW33" s="143" t="b">
        <f t="shared" si="12"/>
        <v>0</v>
      </c>
      <c r="AX33" s="145" t="b">
        <f t="shared" si="13"/>
        <v>1</v>
      </c>
      <c r="AY33" s="143" t="b">
        <f t="shared" si="14"/>
        <v>0</v>
      </c>
      <c r="AZ33" s="145" t="b">
        <f t="shared" si="15"/>
        <v>0</v>
      </c>
      <c r="BA33" s="453" t="b">
        <f t="shared" si="16"/>
        <v>0</v>
      </c>
      <c r="BB33" s="453" t="b">
        <f t="shared" si="17"/>
        <v>0</v>
      </c>
      <c r="BC33" s="143" t="b">
        <f t="shared" si="18"/>
        <v>0</v>
      </c>
      <c r="BD33" s="146" t="b">
        <f t="shared" si="31"/>
        <v>0</v>
      </c>
      <c r="BE33" s="145" t="b">
        <f t="shared" si="37"/>
        <v>0</v>
      </c>
      <c r="BF33" s="147" t="b">
        <f t="shared" si="39"/>
        <v>0</v>
      </c>
      <c r="BG33" s="453" t="b">
        <f t="shared" si="38"/>
        <v>1</v>
      </c>
      <c r="BH33" s="453">
        <f t="shared" si="32"/>
        <v>1</v>
      </c>
      <c r="BI33" s="453">
        <f t="shared" si="22"/>
        <v>1</v>
      </c>
      <c r="BJ33" s="453" t="str">
        <f t="shared" si="23"/>
        <v>1</v>
      </c>
      <c r="BK33" s="453">
        <f t="shared" si="24"/>
        <v>3</v>
      </c>
      <c r="BL33" s="148">
        <f t="shared" si="33"/>
        <v>1</v>
      </c>
      <c r="BM33" s="453">
        <f t="shared" si="25"/>
        <v>1</v>
      </c>
      <c r="BN33" s="453">
        <f t="shared" si="26"/>
        <v>3</v>
      </c>
      <c r="BO33" s="150" t="s">
        <v>372</v>
      </c>
      <c r="BP33" s="161"/>
      <c r="BQ33" s="161"/>
      <c r="BR33" s="161"/>
      <c r="BS33" s="161"/>
      <c r="BT33" s="161"/>
      <c r="BU33" s="161"/>
    </row>
    <row r="34" spans="2:73" s="94" customFormat="1" ht="12.95" customHeight="1" x14ac:dyDescent="0.2">
      <c r="B34" s="151" t="str">
        <f>IF(ISNA(Z34),"",IF(OR(Z34=1,Z34=2),"    ",MAX($B$8:B33)+1))</f>
        <v/>
      </c>
      <c r="C34" s="904" t="str">
        <f t="shared" si="0"/>
        <v/>
      </c>
      <c r="D34" s="904"/>
      <c r="E34" s="904"/>
      <c r="F34" s="905"/>
      <c r="G34" s="133" t="str">
        <f t="shared" si="1"/>
        <v/>
      </c>
      <c r="H34" s="134" t="str">
        <f t="shared" si="2"/>
        <v/>
      </c>
      <c r="I34" s="152" t="str">
        <f t="shared" si="2"/>
        <v/>
      </c>
      <c r="J34" s="158"/>
      <c r="K34" s="159"/>
      <c r="L34" s="1015"/>
      <c r="M34" s="1016"/>
      <c r="N34" s="1016"/>
      <c r="O34" s="1016"/>
      <c r="P34" s="1016"/>
      <c r="Q34" s="1016"/>
      <c r="R34" s="1017"/>
      <c r="T34" s="99">
        <v>27</v>
      </c>
      <c r="U34" s="88" t="e">
        <v>#N/A</v>
      </c>
      <c r="V34" s="453" t="e">
        <v>#N/A</v>
      </c>
      <c r="W34" s="453" t="e">
        <v>#N/A</v>
      </c>
      <c r="X34" s="453" t="e">
        <v>#N/A</v>
      </c>
      <c r="Y34" s="453" t="e">
        <v>#N/A</v>
      </c>
      <c r="Z34" s="146" t="e">
        <v>#N/A</v>
      </c>
      <c r="AA34" s="146" t="e">
        <v>#N/A</v>
      </c>
      <c r="AB34" s="146" t="e">
        <v>#N/A</v>
      </c>
      <c r="AC34" s="453" t="e">
        <v>#N/A</v>
      </c>
      <c r="AD34" s="453" t="e">
        <v>#N/A</v>
      </c>
      <c r="AE34" s="453" t="e">
        <v>#N/A</v>
      </c>
      <c r="AF34" s="453" t="e">
        <v>#N/A</v>
      </c>
      <c r="AG34" s="453" t="e">
        <f t="shared" si="3"/>
        <v>#N/A</v>
      </c>
      <c r="AH34" s="453" t="str">
        <f t="shared" si="4"/>
        <v/>
      </c>
      <c r="AI34" s="138" t="e">
        <f>IF(NOT(OR(Z34=1,Z34=2)),IF(AQ34&gt;0,$AR$44*AQ34/SUMIF($AQ$8:$AQ$39,"&gt;0"),IF(AU34&gt;0,$AV$44*AU34/SUMIF($AU$8:$AU$39,"&gt;0"),IF(AS34&gt;0,$AT$44*AS34/SUMIF($AS$8:$AS$39,"&gt;0"),""))),IF(SUMIF(AJ35:$AJ$39,"=" &amp; AJ34,AI35:$AI$39)=0,"",SUMIF(AJ35:$AJ$39,"=" &amp; AJ34,AI35:$AI$39)))</f>
        <v>#N/A</v>
      </c>
      <c r="AJ34" s="139" t="e">
        <f t="shared" si="34"/>
        <v>#N/A</v>
      </c>
      <c r="AK34" s="453" t="str">
        <f t="shared" si="27"/>
        <v/>
      </c>
      <c r="AL34" s="146" t="str">
        <f t="shared" si="28"/>
        <v/>
      </c>
      <c r="AM34" s="146" t="str">
        <f t="shared" si="35"/>
        <v/>
      </c>
      <c r="AN34" s="146" t="str">
        <f t="shared" si="5"/>
        <v/>
      </c>
      <c r="AO34" s="146" t="e">
        <f t="shared" si="6"/>
        <v>#N/A</v>
      </c>
      <c r="AP34" s="453" t="str">
        <f t="shared" si="7"/>
        <v/>
      </c>
      <c r="AQ34" s="140">
        <f t="shared" si="29"/>
        <v>0</v>
      </c>
      <c r="AR34" s="141" t="str">
        <f t="shared" si="8"/>
        <v/>
      </c>
      <c r="AS34" s="142">
        <f t="shared" si="30"/>
        <v>0</v>
      </c>
      <c r="AT34" s="141" t="str">
        <f t="shared" si="9"/>
        <v/>
      </c>
      <c r="AU34" s="143">
        <f t="shared" si="10"/>
        <v>0</v>
      </c>
      <c r="AV34" s="144" t="str">
        <f t="shared" si="11"/>
        <v/>
      </c>
      <c r="AW34" s="143" t="b">
        <f t="shared" si="12"/>
        <v>0</v>
      </c>
      <c r="AX34" s="145" t="b">
        <f t="shared" si="13"/>
        <v>0</v>
      </c>
      <c r="AY34" s="143" t="b">
        <f t="shared" si="14"/>
        <v>0</v>
      </c>
      <c r="AZ34" s="145" t="b">
        <f t="shared" si="15"/>
        <v>0</v>
      </c>
      <c r="BA34" s="453" t="b">
        <f t="shared" si="16"/>
        <v>0</v>
      </c>
      <c r="BB34" s="453" t="b">
        <f t="shared" si="17"/>
        <v>0</v>
      </c>
      <c r="BC34" s="143" t="b">
        <f t="shared" si="18"/>
        <v>0</v>
      </c>
      <c r="BD34" s="146" t="b">
        <f t="shared" si="31"/>
        <v>0</v>
      </c>
      <c r="BE34" s="145" t="b">
        <f t="shared" si="37"/>
        <v>0</v>
      </c>
      <c r="BF34" s="147" t="b">
        <f t="shared" si="39"/>
        <v>0</v>
      </c>
      <c r="BG34" s="453" t="str">
        <f t="shared" si="38"/>
        <v>NA</v>
      </c>
      <c r="BH34" s="453" t="str">
        <f t="shared" si="32"/>
        <v/>
      </c>
      <c r="BI34" s="453" t="str">
        <f t="shared" si="22"/>
        <v/>
      </c>
      <c r="BJ34" s="453" t="str">
        <f t="shared" si="23"/>
        <v/>
      </c>
      <c r="BK34" s="453" t="str">
        <f t="shared" si="24"/>
        <v/>
      </c>
      <c r="BL34" s="148" t="str">
        <f t="shared" si="33"/>
        <v/>
      </c>
      <c r="BM34" s="453" t="str">
        <f t="shared" si="25"/>
        <v/>
      </c>
      <c r="BN34" s="453" t="str">
        <f t="shared" si="26"/>
        <v/>
      </c>
      <c r="BO34" s="1023"/>
      <c r="BP34" s="1024"/>
      <c r="BQ34" s="1024"/>
      <c r="BR34" s="1024"/>
      <c r="BS34" s="1024"/>
      <c r="BT34" s="1024"/>
      <c r="BU34" s="1025"/>
    </row>
    <row r="35" spans="2:73" s="94" customFormat="1" ht="12.95" customHeight="1" x14ac:dyDescent="0.2">
      <c r="B35" s="151" t="str">
        <f>IF(ISNA(Z35),"",IF(OR(Z35=1,Z35=2),"    ",MAX($B$8:B34)+1))</f>
        <v/>
      </c>
      <c r="C35" s="904" t="str">
        <f t="shared" si="0"/>
        <v/>
      </c>
      <c r="D35" s="904"/>
      <c r="E35" s="904"/>
      <c r="F35" s="905"/>
      <c r="G35" s="133" t="str">
        <f t="shared" si="1"/>
        <v/>
      </c>
      <c r="H35" s="134" t="str">
        <f t="shared" si="2"/>
        <v/>
      </c>
      <c r="I35" s="152" t="str">
        <f t="shared" si="2"/>
        <v/>
      </c>
      <c r="J35" s="158"/>
      <c r="K35" s="159"/>
      <c r="L35" s="1015"/>
      <c r="M35" s="1016"/>
      <c r="N35" s="1016"/>
      <c r="O35" s="1016"/>
      <c r="P35" s="1016"/>
      <c r="Q35" s="1016"/>
      <c r="R35" s="1017"/>
      <c r="T35" s="99">
        <v>28</v>
      </c>
      <c r="U35" s="88" t="e">
        <v>#N/A</v>
      </c>
      <c r="V35" s="453" t="e">
        <v>#N/A</v>
      </c>
      <c r="W35" s="453" t="e">
        <v>#N/A</v>
      </c>
      <c r="X35" s="453" t="e">
        <v>#N/A</v>
      </c>
      <c r="Y35" s="453" t="e">
        <v>#N/A</v>
      </c>
      <c r="Z35" s="146" t="e">
        <v>#N/A</v>
      </c>
      <c r="AA35" s="146" t="e">
        <v>#N/A</v>
      </c>
      <c r="AB35" s="146" t="e">
        <v>#N/A</v>
      </c>
      <c r="AC35" s="453" t="e">
        <v>#N/A</v>
      </c>
      <c r="AD35" s="453" t="e">
        <v>#N/A</v>
      </c>
      <c r="AE35" s="453" t="e">
        <v>#N/A</v>
      </c>
      <c r="AF35" s="453" t="e">
        <v>#N/A</v>
      </c>
      <c r="AG35" s="453" t="e">
        <f t="shared" si="3"/>
        <v>#N/A</v>
      </c>
      <c r="AH35" s="453" t="str">
        <f t="shared" si="4"/>
        <v/>
      </c>
      <c r="AI35" s="138" t="e">
        <f>IF(NOT(OR(Z35=1,Z35=2)),IF(AQ35&gt;0,$AR$44*AQ35/SUMIF($AQ$8:$AQ$39,"&gt;0"),IF(AU35&gt;0,$AV$44*AU35/SUMIF($AU$8:$AU$39,"&gt;0"),IF(AS35&gt;0,$AT$44*AS35/SUMIF($AS$8:$AS$39,"&gt;0"),""))),IF(SUMIF(AJ36:$AJ$39,"=" &amp; AJ35,AI36:$AI$39)=0,"",SUMIF(AJ36:$AJ$39,"=" &amp; AJ35,AI36:$AI$39)))</f>
        <v>#N/A</v>
      </c>
      <c r="AJ35" s="139" t="e">
        <f t="shared" si="34"/>
        <v>#N/A</v>
      </c>
      <c r="AK35" s="453" t="str">
        <f t="shared" si="27"/>
        <v/>
      </c>
      <c r="AL35" s="146" t="str">
        <f t="shared" si="28"/>
        <v/>
      </c>
      <c r="AM35" s="146" t="str">
        <f t="shared" si="35"/>
        <v/>
      </c>
      <c r="AN35" s="146" t="str">
        <f t="shared" si="5"/>
        <v/>
      </c>
      <c r="AO35" s="146" t="e">
        <f t="shared" si="6"/>
        <v>#N/A</v>
      </c>
      <c r="AP35" s="453" t="str">
        <f t="shared" si="7"/>
        <v/>
      </c>
      <c r="AQ35" s="140">
        <f t="shared" si="29"/>
        <v>0</v>
      </c>
      <c r="AR35" s="141" t="str">
        <f t="shared" si="8"/>
        <v/>
      </c>
      <c r="AS35" s="142">
        <f t="shared" si="30"/>
        <v>0</v>
      </c>
      <c r="AT35" s="141" t="str">
        <f t="shared" si="9"/>
        <v/>
      </c>
      <c r="AU35" s="143">
        <f t="shared" si="10"/>
        <v>0</v>
      </c>
      <c r="AV35" s="144" t="str">
        <f t="shared" si="11"/>
        <v/>
      </c>
      <c r="AW35" s="143" t="b">
        <f t="shared" si="12"/>
        <v>0</v>
      </c>
      <c r="AX35" s="145" t="b">
        <f t="shared" si="13"/>
        <v>0</v>
      </c>
      <c r="AY35" s="143" t="b">
        <f t="shared" si="14"/>
        <v>0</v>
      </c>
      <c r="AZ35" s="145" t="b">
        <f t="shared" si="15"/>
        <v>0</v>
      </c>
      <c r="BA35" s="453" t="b">
        <f t="shared" si="16"/>
        <v>0</v>
      </c>
      <c r="BB35" s="453" t="b">
        <f t="shared" si="17"/>
        <v>0</v>
      </c>
      <c r="BC35" s="143" t="b">
        <f t="shared" si="18"/>
        <v>0</v>
      </c>
      <c r="BD35" s="146" t="b">
        <f t="shared" si="31"/>
        <v>0</v>
      </c>
      <c r="BE35" s="145" t="b">
        <f t="shared" si="37"/>
        <v>0</v>
      </c>
      <c r="BF35" s="147" t="b">
        <f t="shared" si="39"/>
        <v>0</v>
      </c>
      <c r="BG35" s="453" t="str">
        <f t="shared" si="38"/>
        <v>NA</v>
      </c>
      <c r="BH35" s="453" t="str">
        <f t="shared" si="32"/>
        <v/>
      </c>
      <c r="BI35" s="453" t="str">
        <f t="shared" si="22"/>
        <v/>
      </c>
      <c r="BJ35" s="453" t="str">
        <f t="shared" si="23"/>
        <v/>
      </c>
      <c r="BK35" s="453" t="str">
        <f t="shared" si="24"/>
        <v/>
      </c>
      <c r="BL35" s="148" t="str">
        <f t="shared" si="33"/>
        <v/>
      </c>
      <c r="BM35" s="453" t="str">
        <f t="shared" si="25"/>
        <v/>
      </c>
      <c r="BN35" s="453" t="str">
        <f t="shared" si="26"/>
        <v/>
      </c>
      <c r="BO35" s="1026"/>
      <c r="BP35" s="1027"/>
      <c r="BQ35" s="1027"/>
      <c r="BR35" s="1027"/>
      <c r="BS35" s="1027"/>
      <c r="BT35" s="1027"/>
      <c r="BU35" s="1028"/>
    </row>
    <row r="36" spans="2:73" s="94" customFormat="1" ht="12.95" customHeight="1" x14ac:dyDescent="0.2">
      <c r="B36" s="151" t="str">
        <f>IF(ISNA(Z36),"",IF(OR(Z36=1,Z36=2),"    ",MAX($B$8:B35)+1))</f>
        <v/>
      </c>
      <c r="C36" s="904" t="str">
        <f t="shared" si="0"/>
        <v/>
      </c>
      <c r="D36" s="904"/>
      <c r="E36" s="904"/>
      <c r="F36" s="905"/>
      <c r="G36" s="133" t="str">
        <f t="shared" si="1"/>
        <v/>
      </c>
      <c r="H36" s="134" t="str">
        <f t="shared" si="2"/>
        <v/>
      </c>
      <c r="I36" s="152" t="str">
        <f t="shared" si="2"/>
        <v/>
      </c>
      <c r="J36" s="158"/>
      <c r="K36" s="159"/>
      <c r="L36" s="1015"/>
      <c r="M36" s="1016"/>
      <c r="N36" s="1016"/>
      <c r="O36" s="1016"/>
      <c r="P36" s="1016"/>
      <c r="Q36" s="1016"/>
      <c r="R36" s="1017"/>
      <c r="T36" s="99">
        <v>29</v>
      </c>
      <c r="U36" s="88" t="e">
        <v>#N/A</v>
      </c>
      <c r="V36" s="453" t="e">
        <v>#N/A</v>
      </c>
      <c r="W36" s="453" t="e">
        <v>#N/A</v>
      </c>
      <c r="X36" s="453" t="e">
        <v>#N/A</v>
      </c>
      <c r="Y36" s="453" t="e">
        <v>#N/A</v>
      </c>
      <c r="Z36" s="146" t="e">
        <v>#N/A</v>
      </c>
      <c r="AA36" s="146" t="e">
        <v>#N/A</v>
      </c>
      <c r="AB36" s="146" t="e">
        <v>#N/A</v>
      </c>
      <c r="AC36" s="453" t="e">
        <v>#N/A</v>
      </c>
      <c r="AD36" s="453" t="e">
        <v>#N/A</v>
      </c>
      <c r="AE36" s="453" t="e">
        <v>#N/A</v>
      </c>
      <c r="AF36" s="453" t="e">
        <v>#N/A</v>
      </c>
      <c r="AG36" s="453" t="e">
        <f t="shared" si="3"/>
        <v>#N/A</v>
      </c>
      <c r="AH36" s="453" t="str">
        <f t="shared" si="4"/>
        <v/>
      </c>
      <c r="AI36" s="138" t="e">
        <f>IF(NOT(OR(Z36=1,Z36=2)),IF(AQ36&gt;0,$AR$44*AQ36/SUMIF($AQ$8:$AQ$39,"&gt;0"),IF(AU36&gt;0,$AV$44*AU36/SUMIF($AU$8:$AU$39,"&gt;0"),IF(AS36&gt;0,$AT$44*AS36/SUMIF($AS$8:$AS$39,"&gt;0"),""))),IF(SUMIF(AJ37:$AJ$39,"=" &amp; AJ36,AI37:$AI$39)=0,"",SUMIF(AJ37:$AJ$39,"=" &amp; AJ36,AI37:$AI$39)))</f>
        <v>#N/A</v>
      </c>
      <c r="AJ36" s="139" t="e">
        <f t="shared" si="34"/>
        <v>#N/A</v>
      </c>
      <c r="AK36" s="453" t="str">
        <f t="shared" si="27"/>
        <v/>
      </c>
      <c r="AL36" s="146" t="str">
        <f t="shared" si="28"/>
        <v/>
      </c>
      <c r="AM36" s="146" t="str">
        <f t="shared" si="35"/>
        <v/>
      </c>
      <c r="AN36" s="146" t="str">
        <f t="shared" si="5"/>
        <v/>
      </c>
      <c r="AO36" s="146" t="e">
        <f t="shared" si="6"/>
        <v>#N/A</v>
      </c>
      <c r="AP36" s="453" t="str">
        <f t="shared" si="7"/>
        <v/>
      </c>
      <c r="AQ36" s="140">
        <f t="shared" si="29"/>
        <v>0</v>
      </c>
      <c r="AR36" s="141" t="str">
        <f t="shared" si="8"/>
        <v/>
      </c>
      <c r="AS36" s="142">
        <f t="shared" si="30"/>
        <v>0</v>
      </c>
      <c r="AT36" s="141" t="str">
        <f t="shared" si="9"/>
        <v/>
      </c>
      <c r="AU36" s="143">
        <f t="shared" si="10"/>
        <v>0</v>
      </c>
      <c r="AV36" s="144" t="str">
        <f t="shared" si="11"/>
        <v/>
      </c>
      <c r="AW36" s="143" t="b">
        <f t="shared" si="12"/>
        <v>0</v>
      </c>
      <c r="AX36" s="145" t="b">
        <f t="shared" si="13"/>
        <v>0</v>
      </c>
      <c r="AY36" s="143" t="b">
        <f t="shared" si="14"/>
        <v>0</v>
      </c>
      <c r="AZ36" s="145" t="b">
        <f t="shared" si="15"/>
        <v>0</v>
      </c>
      <c r="BA36" s="453" t="b">
        <f t="shared" si="16"/>
        <v>0</v>
      </c>
      <c r="BB36" s="453" t="b">
        <f t="shared" si="17"/>
        <v>0</v>
      </c>
      <c r="BC36" s="143" t="b">
        <f t="shared" si="18"/>
        <v>0</v>
      </c>
      <c r="BD36" s="146" t="b">
        <f t="shared" si="31"/>
        <v>0</v>
      </c>
      <c r="BE36" s="145" t="b">
        <f t="shared" si="37"/>
        <v>0</v>
      </c>
      <c r="BF36" s="147" t="b">
        <f t="shared" si="39"/>
        <v>0</v>
      </c>
      <c r="BG36" s="453" t="str">
        <f t="shared" si="38"/>
        <v>NA</v>
      </c>
      <c r="BH36" s="453" t="str">
        <f t="shared" si="32"/>
        <v/>
      </c>
      <c r="BI36" s="453" t="str">
        <f t="shared" si="22"/>
        <v/>
      </c>
      <c r="BJ36" s="453" t="str">
        <f t="shared" si="23"/>
        <v/>
      </c>
      <c r="BK36" s="453" t="str">
        <f t="shared" si="24"/>
        <v/>
      </c>
      <c r="BL36" s="148" t="str">
        <f t="shared" si="33"/>
        <v/>
      </c>
      <c r="BM36" s="453" t="str">
        <f t="shared" si="25"/>
        <v/>
      </c>
      <c r="BN36" s="453" t="str">
        <f t="shared" si="26"/>
        <v/>
      </c>
      <c r="BO36" s="1026"/>
      <c r="BP36" s="1027"/>
      <c r="BQ36" s="1027"/>
      <c r="BR36" s="1027"/>
      <c r="BS36" s="1027"/>
      <c r="BT36" s="1027"/>
      <c r="BU36" s="1028"/>
    </row>
    <row r="37" spans="2:73" s="94" customFormat="1" ht="12.95" customHeight="1" x14ac:dyDescent="0.2">
      <c r="B37" s="151" t="str">
        <f>IF(ISNA(Z37),"",IF(OR(Z37=1,Z37=2),"    ",MAX($B$8:B36)+1))</f>
        <v/>
      </c>
      <c r="C37" s="904" t="str">
        <f>IF(ISNA(Z37),"",CONCATENATE($U37,IF(ISNUMBER(AI37),TEXT(ROUND($AI37,3)," (0.0%)"),""),IF(AU37&gt;0," Bonus","")))</f>
        <v/>
      </c>
      <c r="D37" s="904"/>
      <c r="E37" s="904"/>
      <c r="F37" s="905"/>
      <c r="G37" s="133" t="str">
        <f t="shared" si="1"/>
        <v/>
      </c>
      <c r="H37" s="134" t="str">
        <f t="shared" si="2"/>
        <v/>
      </c>
      <c r="I37" s="152" t="str">
        <f t="shared" si="2"/>
        <v/>
      </c>
      <c r="J37" s="158"/>
      <c r="K37" s="159"/>
      <c r="L37" s="1015"/>
      <c r="M37" s="1016"/>
      <c r="N37" s="1016"/>
      <c r="O37" s="1016"/>
      <c r="P37" s="1016"/>
      <c r="Q37" s="1016"/>
      <c r="R37" s="1017"/>
      <c r="T37" s="99">
        <v>30</v>
      </c>
      <c r="U37" s="88" t="e">
        <v>#N/A</v>
      </c>
      <c r="V37" s="453" t="e">
        <v>#N/A</v>
      </c>
      <c r="W37" s="453" t="e">
        <v>#N/A</v>
      </c>
      <c r="X37" s="453" t="e">
        <v>#N/A</v>
      </c>
      <c r="Y37" s="453" t="e">
        <v>#N/A</v>
      </c>
      <c r="Z37" s="146" t="e">
        <v>#N/A</v>
      </c>
      <c r="AA37" s="146" t="e">
        <v>#N/A</v>
      </c>
      <c r="AB37" s="146" t="e">
        <v>#N/A</v>
      </c>
      <c r="AC37" s="453" t="e">
        <v>#N/A</v>
      </c>
      <c r="AD37" s="453" t="e">
        <v>#N/A</v>
      </c>
      <c r="AE37" s="453" t="e">
        <v>#N/A</v>
      </c>
      <c r="AF37" s="453" t="e">
        <v>#N/A</v>
      </c>
      <c r="AG37" s="453" t="e">
        <f t="shared" si="3"/>
        <v>#N/A</v>
      </c>
      <c r="AH37" s="453" t="str">
        <f t="shared" si="4"/>
        <v/>
      </c>
      <c r="AI37" s="138" t="e">
        <f>IF(NOT(OR(Z37=1,Z37=2)),IF(AQ37&gt;0,$AR$44*AQ37/SUMIF($AQ$8:$AQ$39,"&gt;0"),IF(AU37&gt;0,$AV$44*AU37/SUMIF($AU$8:$AU$39,"&gt;0"),IF(AS37&gt;0,$AT$44*AS37/SUMIF($AS$8:$AS$39,"&gt;0"),""))),IF(SUMIF(AJ38:$AJ$39,"=" &amp; AJ37,AI38:$AI$39)=0,"",SUMIF(AJ38:$AJ$39,"=" &amp; AJ37,AI38:$AI$39)))</f>
        <v>#N/A</v>
      </c>
      <c r="AJ37" s="139" t="e">
        <f t="shared" si="34"/>
        <v>#N/A</v>
      </c>
      <c r="AK37" s="453" t="str">
        <f t="shared" si="27"/>
        <v/>
      </c>
      <c r="AL37" s="146" t="str">
        <f t="shared" si="28"/>
        <v/>
      </c>
      <c r="AM37" s="146" t="str">
        <f t="shared" si="35"/>
        <v/>
      </c>
      <c r="AN37" s="146" t="str">
        <f>IF(ISNUMBER(AH37),IF(AND(AB37=0,ISNUMBER(AC37),ISNUMBER(AL37)),1,""),"")</f>
        <v/>
      </c>
      <c r="AO37" s="146" t="e">
        <f t="shared" si="6"/>
        <v>#N/A</v>
      </c>
      <c r="AP37" s="453" t="str">
        <f t="shared" si="7"/>
        <v/>
      </c>
      <c r="AQ37" s="140">
        <f t="shared" si="29"/>
        <v>0</v>
      </c>
      <c r="AR37" s="141" t="str">
        <f t="shared" si="8"/>
        <v/>
      </c>
      <c r="AS37" s="142">
        <f t="shared" si="30"/>
        <v>0</v>
      </c>
      <c r="AT37" s="141" t="str">
        <f t="shared" si="9"/>
        <v/>
      </c>
      <c r="AU37" s="143">
        <f t="shared" si="10"/>
        <v>0</v>
      </c>
      <c r="AV37" s="144" t="str">
        <f t="shared" si="11"/>
        <v/>
      </c>
      <c r="AW37" s="143" t="b">
        <f t="shared" si="12"/>
        <v>0</v>
      </c>
      <c r="AX37" s="145" t="b">
        <f t="shared" si="13"/>
        <v>0</v>
      </c>
      <c r="AY37" s="143" t="b">
        <f t="shared" si="14"/>
        <v>0</v>
      </c>
      <c r="AZ37" s="145" t="b">
        <f t="shared" si="15"/>
        <v>0</v>
      </c>
      <c r="BA37" s="453" t="b">
        <f t="shared" si="16"/>
        <v>0</v>
      </c>
      <c r="BB37" s="453" t="b">
        <f t="shared" si="17"/>
        <v>0</v>
      </c>
      <c r="BC37" s="143" t="b">
        <f t="shared" si="18"/>
        <v>0</v>
      </c>
      <c r="BD37" s="146" t="b">
        <f t="shared" si="31"/>
        <v>0</v>
      </c>
      <c r="BE37" s="145" t="b">
        <f t="shared" si="37"/>
        <v>0</v>
      </c>
      <c r="BF37" s="147" t="b">
        <f t="shared" si="39"/>
        <v>0</v>
      </c>
      <c r="BG37" s="453" t="str">
        <f t="shared" si="38"/>
        <v>NA</v>
      </c>
      <c r="BH37" s="453" t="str">
        <f t="shared" si="32"/>
        <v/>
      </c>
      <c r="BI37" s="453" t="str">
        <f t="shared" si="22"/>
        <v/>
      </c>
      <c r="BJ37" s="453" t="str">
        <f t="shared" si="23"/>
        <v/>
      </c>
      <c r="BK37" s="453" t="str">
        <f t="shared" si="24"/>
        <v/>
      </c>
      <c r="BL37" s="148" t="str">
        <f t="shared" si="33"/>
        <v/>
      </c>
      <c r="BM37" s="453" t="str">
        <f t="shared" si="25"/>
        <v/>
      </c>
      <c r="BN37" s="453" t="str">
        <f t="shared" si="26"/>
        <v/>
      </c>
      <c r="BO37" s="1029"/>
      <c r="BP37" s="1030"/>
      <c r="BQ37" s="1030"/>
      <c r="BR37" s="1030"/>
      <c r="BS37" s="1030"/>
      <c r="BT37" s="1030"/>
      <c r="BU37" s="1031"/>
    </row>
    <row r="38" spans="2:73" s="94" customFormat="1" ht="12.95" customHeight="1" x14ac:dyDescent="0.2">
      <c r="B38" s="151" t="str">
        <f>IF(ISNA(Z38),"",IF(OR(Z38=1,Z38=2),"    ",MAX($B$8:B37)+1))</f>
        <v/>
      </c>
      <c r="C38" s="904" t="str">
        <f t="shared" ref="C38:C39" si="40">IF(ISNA(Z38),"",CONCATENATE($U38,IF(ISNUMBER(AI38),TEXT(ROUND($AI38,3)," (0.0%)"),""),IF(AU38&gt;0," Bonus","")))</f>
        <v/>
      </c>
      <c r="D38" s="904"/>
      <c r="E38" s="904"/>
      <c r="F38" s="905"/>
      <c r="G38" s="133" t="str">
        <f t="shared" si="1"/>
        <v/>
      </c>
      <c r="H38" s="134" t="str">
        <f t="shared" si="2"/>
        <v/>
      </c>
      <c r="I38" s="152" t="str">
        <f t="shared" si="2"/>
        <v/>
      </c>
      <c r="J38" s="158"/>
      <c r="K38" s="159"/>
      <c r="L38" s="1015"/>
      <c r="M38" s="1016"/>
      <c r="N38" s="1016"/>
      <c r="O38" s="1016"/>
      <c r="P38" s="1016"/>
      <c r="Q38" s="1016"/>
      <c r="R38" s="1017"/>
      <c r="T38" s="99">
        <v>31</v>
      </c>
      <c r="U38" s="88" t="e">
        <v>#N/A</v>
      </c>
      <c r="V38" s="453" t="e">
        <v>#N/A</v>
      </c>
      <c r="W38" s="453" t="e">
        <v>#N/A</v>
      </c>
      <c r="X38" s="453" t="e">
        <v>#N/A</v>
      </c>
      <c r="Y38" s="453" t="e">
        <v>#N/A</v>
      </c>
      <c r="Z38" s="146" t="e">
        <v>#N/A</v>
      </c>
      <c r="AA38" s="146" t="e">
        <v>#N/A</v>
      </c>
      <c r="AB38" s="146" t="e">
        <v>#N/A</v>
      </c>
      <c r="AC38" s="453" t="e">
        <v>#N/A</v>
      </c>
      <c r="AD38" s="453" t="e">
        <v>#N/A</v>
      </c>
      <c r="AE38" s="453" t="e">
        <v>#N/A</v>
      </c>
      <c r="AF38" s="453" t="e">
        <v>#N/A</v>
      </c>
      <c r="AG38" s="453" t="e">
        <f t="shared" si="3"/>
        <v>#N/A</v>
      </c>
      <c r="AH38" s="453" t="str">
        <f t="shared" si="4"/>
        <v/>
      </c>
      <c r="AI38" s="138" t="e">
        <f>IF(NOT(OR(Z38=1,Z38=2)),IF(AQ38&gt;0,$AR$44*AQ38/SUMIF($AQ$8:$AQ$39,"&gt;0"),IF(AU38&gt;0,$AV$44*AU38/SUMIF($AU$8:$AU$39,"&gt;0"),IF(AS38&gt;0,$AT$44*AS38/SUMIF($AS$8:$AS$39,"&gt;0"),""))),IF(SUMIF(AJ39:$AJ$39,"=" &amp; AJ38,AI39:$AI$39)=0,"",SUMIF(AJ39:$AJ$39,"=" &amp; AJ38,AI39:$AI$39)))</f>
        <v>#N/A</v>
      </c>
      <c r="AJ38" s="139" t="e">
        <f t="shared" si="34"/>
        <v>#N/A</v>
      </c>
      <c r="AK38" s="453" t="str">
        <f t="shared" si="27"/>
        <v/>
      </c>
      <c r="AL38" s="146" t="str">
        <f t="shared" si="28"/>
        <v/>
      </c>
      <c r="AM38" s="146" t="str">
        <f t="shared" si="35"/>
        <v/>
      </c>
      <c r="AN38" s="146" t="str">
        <f>IF(ISNUMBER(AH38),IF(AND(AB38=0,ISNUMBER(AC38),ISNUMBER(AL38)),1,""),"")</f>
        <v/>
      </c>
      <c r="AO38" s="146" t="e">
        <f t="shared" si="6"/>
        <v>#N/A</v>
      </c>
      <c r="AP38" s="453" t="str">
        <f t="shared" si="7"/>
        <v/>
      </c>
      <c r="AQ38" s="140">
        <f t="shared" si="29"/>
        <v>0</v>
      </c>
      <c r="AR38" s="141" t="str">
        <f t="shared" si="8"/>
        <v/>
      </c>
      <c r="AS38" s="142">
        <f t="shared" si="30"/>
        <v>0</v>
      </c>
      <c r="AT38" s="141" t="str">
        <f t="shared" si="9"/>
        <v/>
      </c>
      <c r="AU38" s="143">
        <f t="shared" si="10"/>
        <v>0</v>
      </c>
      <c r="AV38" s="144" t="str">
        <f t="shared" si="11"/>
        <v/>
      </c>
      <c r="AW38" s="143" t="b">
        <f t="shared" si="12"/>
        <v>0</v>
      </c>
      <c r="AX38" s="145" t="b">
        <f t="shared" si="13"/>
        <v>0</v>
      </c>
      <c r="AY38" s="143" t="b">
        <f t="shared" si="14"/>
        <v>0</v>
      </c>
      <c r="AZ38" s="145" t="b">
        <f t="shared" si="15"/>
        <v>0</v>
      </c>
      <c r="BA38" s="453" t="b">
        <f t="shared" si="16"/>
        <v>0</v>
      </c>
      <c r="BB38" s="453" t="b">
        <f t="shared" si="17"/>
        <v>0</v>
      </c>
      <c r="BC38" s="143" t="b">
        <f t="shared" si="18"/>
        <v>0</v>
      </c>
      <c r="BD38" s="146" t="b">
        <f t="shared" si="31"/>
        <v>0</v>
      </c>
      <c r="BE38" s="145" t="b">
        <f t="shared" si="37"/>
        <v>0</v>
      </c>
      <c r="BF38" s="147" t="b">
        <f t="shared" si="39"/>
        <v>0</v>
      </c>
      <c r="BG38" s="453" t="str">
        <f t="shared" si="38"/>
        <v>NA</v>
      </c>
      <c r="BH38" s="453" t="str">
        <f t="shared" si="32"/>
        <v/>
      </c>
      <c r="BI38" s="453" t="str">
        <f t="shared" si="22"/>
        <v/>
      </c>
      <c r="BJ38" s="453" t="str">
        <f t="shared" si="23"/>
        <v/>
      </c>
      <c r="BK38" s="453" t="str">
        <f t="shared" si="24"/>
        <v/>
      </c>
      <c r="BL38" s="148" t="str">
        <f t="shared" si="33"/>
        <v/>
      </c>
      <c r="BM38" s="453" t="str">
        <f t="shared" si="25"/>
        <v/>
      </c>
      <c r="BN38" s="453" t="str">
        <f t="shared" si="26"/>
        <v/>
      </c>
      <c r="BO38" s="150" t="s">
        <v>373</v>
      </c>
      <c r="BP38" s="150"/>
      <c r="BQ38" s="150"/>
      <c r="BR38" s="150"/>
      <c r="BS38" s="150"/>
      <c r="BT38" s="150"/>
      <c r="BU38" s="150"/>
    </row>
    <row r="39" spans="2:73" s="94" customFormat="1" ht="12.95" customHeight="1" thickBot="1" x14ac:dyDescent="0.25">
      <c r="B39" s="151" t="str">
        <f>IF(ISNA(Z39),"",IF(OR(Z39=1,Z39=2),"    ",MAX($B$8:B38)+1))</f>
        <v/>
      </c>
      <c r="C39" s="904" t="str">
        <f t="shared" si="40"/>
        <v/>
      </c>
      <c r="D39" s="904"/>
      <c r="E39" s="904"/>
      <c r="F39" s="905"/>
      <c r="G39" s="171" t="str">
        <f t="shared" si="1"/>
        <v/>
      </c>
      <c r="H39" s="134" t="str">
        <f t="shared" si="2"/>
        <v/>
      </c>
      <c r="I39" s="172" t="str">
        <f t="shared" si="2"/>
        <v/>
      </c>
      <c r="J39" s="173"/>
      <c r="K39" s="174"/>
      <c r="L39" s="1018"/>
      <c r="M39" s="1019"/>
      <c r="N39" s="1019"/>
      <c r="O39" s="1019"/>
      <c r="P39" s="1019"/>
      <c r="Q39" s="1019"/>
      <c r="R39" s="1020"/>
      <c r="T39" s="99">
        <v>32</v>
      </c>
      <c r="U39" s="88" t="e">
        <v>#N/A</v>
      </c>
      <c r="V39" s="453" t="e">
        <v>#N/A</v>
      </c>
      <c r="W39" s="453" t="e">
        <v>#N/A</v>
      </c>
      <c r="X39" s="453" t="e">
        <v>#N/A</v>
      </c>
      <c r="Y39" s="453" t="e">
        <v>#N/A</v>
      </c>
      <c r="Z39" s="146" t="e">
        <v>#N/A</v>
      </c>
      <c r="AA39" s="146" t="e">
        <v>#N/A</v>
      </c>
      <c r="AB39" s="146" t="e">
        <v>#N/A</v>
      </c>
      <c r="AC39" s="453" t="e">
        <v>#N/A</v>
      </c>
      <c r="AD39" s="453" t="e">
        <v>#N/A</v>
      </c>
      <c r="AE39" s="453" t="e">
        <v>#N/A</v>
      </c>
      <c r="AF39" s="453" t="e">
        <v>#N/A</v>
      </c>
      <c r="AG39" s="453" t="e">
        <f t="shared" si="3"/>
        <v>#N/A</v>
      </c>
      <c r="AH39" s="453" t="str">
        <f t="shared" si="4"/>
        <v/>
      </c>
      <c r="AI39" s="138" t="e">
        <f>IF(NOT(OR(Z39=1,Z39=2)),IF(AQ39&gt;0,$AR$44*AQ39/SUMIF($AQ$8:$AQ$39,"&gt;0"),IF(AU39&gt;0,$AV$44*AU39/SUMIF($AU$8:$AU$39,"&gt;0"),IF(AS39&gt;0,$AT$44*AS39/SUMIF($AS$8:$AS$39,"&gt;0"),""))),IF(SUMIF(AJ$39:$AJ40,"=" &amp; AJ39,AI$39:$AI40)=0,"",SUMIF(AJ$39:$AJ40,"=" &amp; AJ39,AI$39:$AI40)))</f>
        <v>#N/A</v>
      </c>
      <c r="AJ39" s="139" t="e">
        <f t="shared" si="34"/>
        <v>#N/A</v>
      </c>
      <c r="AK39" s="453" t="str">
        <f t="shared" si="27"/>
        <v/>
      </c>
      <c r="AL39" s="146" t="str">
        <f t="shared" si="28"/>
        <v/>
      </c>
      <c r="AM39" s="146" t="str">
        <f t="shared" si="35"/>
        <v/>
      </c>
      <c r="AN39" s="146" t="str">
        <f>IF(ISNUMBER(AH39),IF(AND(AB39=0,ISNUMBER(AC39),ISNUMBER(AL39)),1,""),"")</f>
        <v/>
      </c>
      <c r="AO39" s="146" t="e">
        <f t="shared" si="6"/>
        <v>#N/A</v>
      </c>
      <c r="AP39" s="453" t="str">
        <f t="shared" si="7"/>
        <v/>
      </c>
      <c r="AQ39" s="140">
        <f t="shared" si="29"/>
        <v>0</v>
      </c>
      <c r="AR39" s="141" t="str">
        <f t="shared" si="8"/>
        <v/>
      </c>
      <c r="AS39" s="142">
        <f t="shared" si="30"/>
        <v>0</v>
      </c>
      <c r="AT39" s="141" t="str">
        <f t="shared" si="9"/>
        <v/>
      </c>
      <c r="AU39" s="143">
        <f t="shared" si="10"/>
        <v>0</v>
      </c>
      <c r="AV39" s="144" t="str">
        <f t="shared" si="11"/>
        <v/>
      </c>
      <c r="AW39" s="143" t="b">
        <f t="shared" si="12"/>
        <v>0</v>
      </c>
      <c r="AX39" s="145" t="b">
        <f t="shared" si="13"/>
        <v>0</v>
      </c>
      <c r="AY39" s="143" t="b">
        <f t="shared" si="14"/>
        <v>0</v>
      </c>
      <c r="AZ39" s="145" t="b">
        <f t="shared" si="15"/>
        <v>0</v>
      </c>
      <c r="BA39" s="453" t="b">
        <f t="shared" si="16"/>
        <v>0</v>
      </c>
      <c r="BB39" s="453" t="b">
        <f t="shared" si="17"/>
        <v>0</v>
      </c>
      <c r="BC39" s="143" t="b">
        <f t="shared" si="18"/>
        <v>0</v>
      </c>
      <c r="BD39" s="146" t="b">
        <f t="shared" si="31"/>
        <v>0</v>
      </c>
      <c r="BE39" s="145" t="b">
        <f t="shared" si="37"/>
        <v>0</v>
      </c>
      <c r="BF39" s="147" t="b">
        <f t="shared" si="39"/>
        <v>0</v>
      </c>
      <c r="BG39" s="453" t="str">
        <f t="shared" si="38"/>
        <v>NA</v>
      </c>
      <c r="BH39" s="453" t="str">
        <f t="shared" si="32"/>
        <v/>
      </c>
      <c r="BI39" s="453" t="str">
        <f t="shared" si="22"/>
        <v/>
      </c>
      <c r="BJ39" s="453" t="str">
        <f t="shared" si="23"/>
        <v/>
      </c>
      <c r="BK39" s="453" t="str">
        <f t="shared" si="24"/>
        <v/>
      </c>
      <c r="BL39" s="453" t="str">
        <f t="shared" si="33"/>
        <v/>
      </c>
      <c r="BM39" s="453" t="str">
        <f t="shared" si="25"/>
        <v/>
      </c>
      <c r="BN39" s="453" t="str">
        <f t="shared" si="26"/>
        <v/>
      </c>
      <c r="BO39" s="1023"/>
      <c r="BP39" s="1024"/>
      <c r="BQ39" s="1024"/>
      <c r="BR39" s="1024"/>
      <c r="BS39" s="1024"/>
      <c r="BT39" s="1024"/>
      <c r="BU39" s="1025"/>
    </row>
    <row r="40" spans="2:73" s="91" customFormat="1" ht="8.25" customHeight="1" x14ac:dyDescent="0.2">
      <c r="B40" s="915" t="s">
        <v>374</v>
      </c>
      <c r="C40" s="916"/>
      <c r="D40" s="917"/>
      <c r="E40" s="452" t="s">
        <v>375</v>
      </c>
      <c r="F40" s="918" t="s">
        <v>376</v>
      </c>
      <c r="G40" s="919"/>
      <c r="H40" s="919" t="s">
        <v>377</v>
      </c>
      <c r="I40" s="919"/>
      <c r="J40" s="920" t="s">
        <v>378</v>
      </c>
      <c r="K40" s="921"/>
      <c r="L40" s="175" t="s">
        <v>379</v>
      </c>
      <c r="M40" s="922" t="s">
        <v>380</v>
      </c>
      <c r="N40" s="922"/>
      <c r="O40" s="923" t="str">
        <f>IF(U44,"DO REVIEW","DO REV N/A")</f>
        <v>DO REVIEW</v>
      </c>
      <c r="P40" s="924"/>
      <c r="Q40" s="176" t="str">
        <f>IF(U45,"ED REVIEW","ED REV N/A")</f>
        <v>ED REVIEW</v>
      </c>
      <c r="R40" s="177"/>
      <c r="S40" s="178">
        <v>0</v>
      </c>
      <c r="AI40" s="179"/>
      <c r="AJ40" s="92"/>
      <c r="AK40" s="92"/>
      <c r="AL40" s="92"/>
      <c r="AM40" s="92"/>
      <c r="AN40" s="92"/>
      <c r="AO40" s="88"/>
      <c r="AP40" s="92"/>
      <c r="AQ40" s="180"/>
      <c r="AR40" s="92"/>
      <c r="AS40" s="180"/>
      <c r="AT40" s="92"/>
      <c r="AU40" s="180"/>
      <c r="AV40" s="181"/>
      <c r="AW40" s="92"/>
      <c r="AX40" s="92"/>
      <c r="AY40" s="92"/>
      <c r="AZ40" s="92"/>
      <c r="BA40" s="92"/>
      <c r="BB40" s="92"/>
      <c r="BC40" s="92"/>
      <c r="BD40" s="92"/>
      <c r="BE40" s="92"/>
      <c r="BF40" s="92"/>
      <c r="BG40" s="92"/>
      <c r="BH40" s="88"/>
      <c r="BI40" s="88"/>
      <c r="BJ40" s="88"/>
      <c r="BK40" s="88"/>
      <c r="BL40" s="88"/>
      <c r="BM40" s="88"/>
      <c r="BN40" s="88"/>
      <c r="BO40" s="1026"/>
      <c r="BP40" s="1027"/>
      <c r="BQ40" s="1027"/>
      <c r="BR40" s="1027"/>
      <c r="BS40" s="1027"/>
      <c r="BT40" s="1027"/>
      <c r="BU40" s="1028"/>
    </row>
    <row r="41" spans="2:73" ht="18.75" customHeight="1" thickBot="1" x14ac:dyDescent="0.25">
      <c r="B41" s="925" t="str">
        <f>IF(ISERROR(AR46),"",TEXT(AR45,"0.0%"))</f>
        <v>0.0%</v>
      </c>
      <c r="C41" s="926"/>
      <c r="D41" s="927"/>
      <c r="E41" s="182" t="str">
        <f>IF(AU41=0,"N/A",CONCATENATE(TEXT(AV45,"0.0%")," of ",TEXT(AV44,"0.0%")))</f>
        <v>N/A</v>
      </c>
      <c r="F41" s="929" t="str">
        <f>IF((graded_aca_events+graded_amn_events)&lt;1,"---",IF(AND(AW4,AX4),"INCOMPLETE",IF(AND(NOT(AW4),AX4),"ACA INC",IF(AND(AW4,NOT(AX4)),"AMN INC","COMPLETE"))))</f>
        <v>---</v>
      </c>
      <c r="G41" s="929"/>
      <c r="H41" s="929" t="str">
        <f>IF(AU4,IF(OR(AY4="UNK",NOT(AN6)),"---",IF(AY4,"UNSAT",IF(AVERAGEIFS(AT8:AT39,AS8:AS39,"&gt;0")&lt;0.9,"MARG","SAT"))),"N/A")</f>
        <v>---</v>
      </c>
      <c r="I41" s="929"/>
      <c r="J41" s="930" t="str">
        <f>IF(OR(AZ4="UNK",NOT(AM6)),"---",IF(OR(AZ4,AR45&lt;0.7),"FAIL","PASS"))</f>
        <v>---</v>
      </c>
      <c r="K41" s="931"/>
      <c r="L41" s="430"/>
      <c r="M41" s="932"/>
      <c r="N41" s="932"/>
      <c r="O41" s="1021" t="s">
        <v>265</v>
      </c>
      <c r="P41" s="1021"/>
      <c r="Q41" s="1021" t="s">
        <v>265</v>
      </c>
      <c r="R41" s="1022"/>
      <c r="S41" s="183"/>
      <c r="T41" s="99" t="s">
        <v>381</v>
      </c>
      <c r="U41" s="146" t="s">
        <v>382</v>
      </c>
      <c r="V41" s="184"/>
      <c r="W41" s="184"/>
      <c r="X41" s="184"/>
      <c r="Y41" s="184"/>
      <c r="Z41" s="184"/>
      <c r="AA41" s="184"/>
      <c r="AB41" s="184"/>
      <c r="AC41" s="184"/>
      <c r="AD41" s="184"/>
      <c r="AE41" s="184"/>
      <c r="AF41" s="184"/>
      <c r="AG41" s="184"/>
      <c r="AH41" s="184"/>
      <c r="AI41" s="86"/>
      <c r="AJ41" s="85"/>
      <c r="AK41" s="184"/>
      <c r="AL41" s="184"/>
      <c r="AM41" s="184">
        <f>SUM(AM8:AM39)</f>
        <v>0</v>
      </c>
      <c r="AN41" s="184">
        <f>SUM(AN8:AN39)</f>
        <v>0</v>
      </c>
      <c r="AO41" s="99"/>
      <c r="AP41" s="85"/>
      <c r="AQ41" s="185">
        <f>SUMIF(AQ8:AQ39,"&gt;0")</f>
        <v>84</v>
      </c>
      <c r="AR41" s="186">
        <f>IF(AQ41=0,0,SUMPRODUCT($AQ$8:$AQ$39,AR8:AR39)/SUM($AQ$8:$AQ$39))</f>
        <v>0</v>
      </c>
      <c r="AS41" s="187">
        <f>SUMIF(AS8:AS39,"&gt;0")</f>
        <v>20</v>
      </c>
      <c r="AT41" s="186">
        <f>IF(AS41=0,0,SUMPRODUCT($AS$8:$AS$39,AT8:AT39)/SUM($AS$8:$AS$39))</f>
        <v>0</v>
      </c>
      <c r="AU41" s="187">
        <f>SUM(AU9:AU39)</f>
        <v>0</v>
      </c>
      <c r="AV41" s="186">
        <f>IF(AU41=0,0,SUMPRODUCT($AU$8:$AU$39,AV8:AV39)/SUM($AU$8:$AU$39))</f>
        <v>0</v>
      </c>
      <c r="AW41" s="188"/>
      <c r="AX41" s="188"/>
      <c r="AY41" s="188"/>
      <c r="AZ41" s="188"/>
      <c r="BA41" s="188"/>
      <c r="BB41" s="188"/>
      <c r="BC41" s="88" t="s">
        <v>383</v>
      </c>
      <c r="BD41" s="88" t="s">
        <v>384</v>
      </c>
      <c r="BE41" s="88" t="s">
        <v>385</v>
      </c>
      <c r="BO41" s="1026"/>
      <c r="BP41" s="1027"/>
      <c r="BQ41" s="1027"/>
      <c r="BR41" s="1027"/>
      <c r="BS41" s="1027"/>
      <c r="BT41" s="1027"/>
      <c r="BU41" s="1028"/>
    </row>
    <row r="42" spans="2:73" ht="7.5" customHeight="1" thickTop="1" x14ac:dyDescent="0.2">
      <c r="L42" s="928" t="s">
        <v>823</v>
      </c>
      <c r="M42" s="928"/>
      <c r="N42" s="928"/>
      <c r="O42" s="928"/>
      <c r="P42" s="928"/>
      <c r="Q42" s="928"/>
      <c r="R42" s="928"/>
      <c r="AP42" s="184"/>
      <c r="AQ42" s="85"/>
      <c r="AR42" s="85"/>
      <c r="AT42" s="186"/>
      <c r="AU42" s="186"/>
      <c r="AV42" s="186"/>
      <c r="AW42" s="85"/>
      <c r="AX42" s="186"/>
      <c r="BO42" s="1029"/>
      <c r="BP42" s="1030"/>
      <c r="BQ42" s="1030"/>
      <c r="BR42" s="1030"/>
      <c r="BS42" s="1030"/>
      <c r="BT42" s="1030"/>
      <c r="BU42" s="1031"/>
    </row>
    <row r="43" spans="2:73" ht="30.75" customHeight="1" x14ac:dyDescent="0.2">
      <c r="T43" s="189" t="s">
        <v>386</v>
      </c>
      <c r="U43" s="146" t="b">
        <v>0</v>
      </c>
      <c r="AI43" s="89">
        <f ca="1">SUMIF(AJ8:$AJ$39,"=" &amp; AJ8,AI9:$AI$39)</f>
        <v>0.2</v>
      </c>
      <c r="AO43" s="190"/>
      <c r="AS43" s="118" t="s">
        <v>387</v>
      </c>
      <c r="AT43" s="191">
        <f>SUMIF(X8:X39,"&gt;0")/SUMIF(W8:W39,"&gt;0")</f>
        <v>0.23809523809523808</v>
      </c>
      <c r="AU43" s="118" t="s">
        <v>388</v>
      </c>
      <c r="AV43" s="192">
        <f>SUMIF(AU8:AU39,"&gt;0")/SUMIF(AQ8:AQ39,"&gt;0")</f>
        <v>0</v>
      </c>
      <c r="AW43" s="193"/>
      <c r="BE43" s="88" t="b">
        <f>AND(ISBLANK($K30),J30&gt;0)</f>
        <v>0</v>
      </c>
      <c r="BO43" s="88"/>
      <c r="BP43" s="88"/>
      <c r="BQ43" s="90"/>
    </row>
    <row r="44" spans="2:73" ht="30.75" customHeight="1" x14ac:dyDescent="0.2">
      <c r="J44" s="194"/>
      <c r="T44" s="195" t="s">
        <v>389</v>
      </c>
      <c r="U44" s="88" t="b">
        <f>IF(AND(Flight?,OR(AW4,AY4,BA4,AZ4,AR45&lt;0.7,H41="MARG")),TRUE,FALSE)</f>
        <v>1</v>
      </c>
      <c r="AO44" s="196"/>
      <c r="AQ44" s="118" t="s">
        <v>390</v>
      </c>
      <c r="AR44" s="191">
        <f>1-AT44</f>
        <v>0.8</v>
      </c>
      <c r="AS44" s="118" t="s">
        <v>391</v>
      </c>
      <c r="AT44" s="191">
        <f>MIN(AT43,AT6)</f>
        <v>0.2</v>
      </c>
      <c r="AU44" s="118" t="s">
        <v>392</v>
      </c>
      <c r="AV44" s="89">
        <f>MIN(AV43,AV6)</f>
        <v>0</v>
      </c>
      <c r="BO44" s="88"/>
      <c r="BP44" s="88"/>
      <c r="BQ44" s="90"/>
    </row>
    <row r="45" spans="2:73" ht="25.5" x14ac:dyDescent="0.2">
      <c r="T45" s="195" t="s">
        <v>393</v>
      </c>
      <c r="U45" s="88" t="b">
        <f>IF(OR(AX4,AY4,AZ4,BB4,AR45&lt;0.7),TRUE,FALSE)</f>
        <v>1</v>
      </c>
      <c r="AO45" s="197"/>
      <c r="AQ45" s="118" t="s">
        <v>394</v>
      </c>
      <c r="AR45" s="89">
        <f>AR41*(1-AT44)+(AT41*AT44)</f>
        <v>0</v>
      </c>
      <c r="AU45" s="88" t="s">
        <v>324</v>
      </c>
      <c r="AV45" s="89">
        <f>AV41*AV44</f>
        <v>0</v>
      </c>
      <c r="BO45" s="88"/>
      <c r="BP45" s="88"/>
      <c r="BQ45" s="90"/>
    </row>
    <row r="46" spans="2:73" ht="25.5" x14ac:dyDescent="0.2">
      <c r="T46" s="195" t="s">
        <v>395</v>
      </c>
      <c r="U46" s="88" t="b">
        <v>0</v>
      </c>
      <c r="AO46" s="197"/>
      <c r="AQ46" s="118" t="s">
        <v>396</v>
      </c>
      <c r="AR46" s="89">
        <f>IF(NOT(OR(AY4,AZ4)),AR45+AV45,MIN(0.69,AR45+AV45))</f>
        <v>0</v>
      </c>
      <c r="BO46" s="88"/>
      <c r="BP46" s="88"/>
      <c r="BQ46" s="90"/>
    </row>
    <row r="47" spans="2:73" x14ac:dyDescent="0.2">
      <c r="T47" s="195" t="s">
        <v>397</v>
      </c>
      <c r="U47" s="88" t="b">
        <f>IF(NOT(Flight?),TRUE,NOT(OR(ISBLANK(comments),ISBLANK(hdr_class),ISBLANK(hdr_date),ISBLANK(hdr_stud),ISBLANK(hdr_instr),ISBLANK(hdr_acft),ISBLANK(hdr_time),F41="---")))</f>
        <v>0</v>
      </c>
      <c r="AO47" s="197"/>
      <c r="AR47" s="118"/>
      <c r="AS47" s="89"/>
    </row>
    <row r="48" spans="2:73" x14ac:dyDescent="0.2">
      <c r="T48" s="195" t="s">
        <v>398</v>
      </c>
      <c r="U48" s="88" t="b">
        <f>IF(Flight?,TRUE,NOT(OR(ISBLANK(comments),ISBLANK(hdr_class),ISBLANK(hdr_date),ISBLANK(hdr_stud),ISBLANK(hdr_instr),F41="---")))</f>
        <v>1</v>
      </c>
      <c r="AO48" s="196"/>
      <c r="AP48" s="85" t="s">
        <v>399</v>
      </c>
      <c r="AQ48" s="85"/>
      <c r="AR48" s="85"/>
      <c r="AS48" s="85"/>
      <c r="AT48" s="85"/>
    </row>
    <row r="49" spans="20:50" x14ac:dyDescent="0.2">
      <c r="T49" s="195" t="s">
        <v>400</v>
      </c>
      <c r="U49" s="88" t="b">
        <f>AND(U47:U48)</f>
        <v>0</v>
      </c>
      <c r="AO49" s="196"/>
      <c r="AP49" s="85"/>
      <c r="AQ49" s="85"/>
      <c r="AR49" s="85">
        <v>0</v>
      </c>
      <c r="AS49" s="85">
        <v>1</v>
      </c>
      <c r="AT49" s="85">
        <v>2</v>
      </c>
      <c r="AU49" s="85">
        <v>3</v>
      </c>
      <c r="AV49" s="85">
        <v>4</v>
      </c>
    </row>
    <row r="50" spans="20:50" x14ac:dyDescent="0.2">
      <c r="AO50" s="196"/>
      <c r="AP50" s="85" t="s">
        <v>359</v>
      </c>
      <c r="AQ50" s="85">
        <v>1</v>
      </c>
      <c r="AR50" s="198">
        <v>0.7</v>
      </c>
      <c r="AS50" s="198">
        <v>0.9</v>
      </c>
      <c r="AT50" s="198">
        <v>0.93330000000000002</v>
      </c>
      <c r="AU50" s="198">
        <v>0.9667</v>
      </c>
      <c r="AV50" s="198">
        <v>1</v>
      </c>
    </row>
    <row r="51" spans="20:50" x14ac:dyDescent="0.2">
      <c r="AO51" s="196"/>
      <c r="AP51" s="85" t="s">
        <v>360</v>
      </c>
      <c r="AQ51" s="85">
        <v>2</v>
      </c>
      <c r="AR51" s="198">
        <v>0.7</v>
      </c>
      <c r="AS51" s="198">
        <v>0.8</v>
      </c>
      <c r="AT51" s="198">
        <v>0.9</v>
      </c>
      <c r="AU51" s="198">
        <v>0.95</v>
      </c>
      <c r="AV51" s="198">
        <v>1</v>
      </c>
    </row>
    <row r="52" spans="20:50" x14ac:dyDescent="0.2">
      <c r="AO52" s="196"/>
      <c r="AP52" s="85" t="s">
        <v>361</v>
      </c>
      <c r="AQ52" s="85">
        <v>3</v>
      </c>
      <c r="AR52" s="198">
        <v>0.7</v>
      </c>
      <c r="AS52" s="198">
        <v>0.76670000000000005</v>
      </c>
      <c r="AT52" s="198">
        <v>0.83330000000000004</v>
      </c>
      <c r="AU52" s="198">
        <v>0.9</v>
      </c>
      <c r="AV52" s="198">
        <v>1</v>
      </c>
    </row>
    <row r="53" spans="20:50" x14ac:dyDescent="0.2">
      <c r="AP53" s="199" t="s">
        <v>362</v>
      </c>
      <c r="AQ53" s="85">
        <v>11</v>
      </c>
      <c r="AR53" s="198">
        <v>0.6</v>
      </c>
      <c r="AS53" s="198">
        <v>0.9</v>
      </c>
      <c r="AT53" s="198">
        <v>0.93330000000000002</v>
      </c>
      <c r="AU53" s="198">
        <v>0.9667</v>
      </c>
      <c r="AV53" s="198">
        <v>1</v>
      </c>
    </row>
    <row r="54" spans="20:50" x14ac:dyDescent="0.2">
      <c r="AP54" s="199" t="s">
        <v>363</v>
      </c>
      <c r="AQ54" s="85">
        <v>12</v>
      </c>
      <c r="AR54" s="198">
        <v>0.6</v>
      </c>
      <c r="AS54" s="198">
        <v>0.7</v>
      </c>
      <c r="AT54" s="198">
        <v>0.9</v>
      </c>
      <c r="AU54" s="198">
        <v>0.95</v>
      </c>
      <c r="AV54" s="198">
        <v>1</v>
      </c>
    </row>
    <row r="55" spans="20:50" x14ac:dyDescent="0.2">
      <c r="AP55" s="199" t="s">
        <v>364</v>
      </c>
      <c r="AQ55" s="85">
        <v>13</v>
      </c>
      <c r="AR55" s="198">
        <v>0.6</v>
      </c>
      <c r="AS55" s="198">
        <v>0.7</v>
      </c>
      <c r="AT55" s="198">
        <v>0.8</v>
      </c>
      <c r="AU55" s="198">
        <v>0.9</v>
      </c>
      <c r="AV55" s="198">
        <v>1</v>
      </c>
    </row>
    <row r="56" spans="20:50" x14ac:dyDescent="0.2">
      <c r="AP56" s="199" t="s">
        <v>365</v>
      </c>
      <c r="AQ56" s="85">
        <v>22</v>
      </c>
      <c r="AR56" s="198">
        <v>0.3</v>
      </c>
      <c r="AS56" s="198">
        <v>0.6</v>
      </c>
      <c r="AT56" s="198">
        <v>0.9</v>
      </c>
      <c r="AU56" s="198">
        <v>0.95</v>
      </c>
      <c r="AV56" s="198">
        <v>1</v>
      </c>
    </row>
    <row r="57" spans="20:50" x14ac:dyDescent="0.2">
      <c r="AP57" s="199" t="s">
        <v>366</v>
      </c>
      <c r="AQ57" s="85">
        <v>23</v>
      </c>
      <c r="AR57" s="198">
        <v>0.3</v>
      </c>
      <c r="AS57" s="198">
        <v>0.6</v>
      </c>
      <c r="AT57" s="198">
        <v>0.7</v>
      </c>
      <c r="AU57" s="198">
        <v>0.9</v>
      </c>
      <c r="AV57" s="198">
        <v>1</v>
      </c>
    </row>
    <row r="58" spans="20:50" x14ac:dyDescent="0.2">
      <c r="AP58" s="199" t="s">
        <v>367</v>
      </c>
      <c r="AQ58" s="85">
        <v>33</v>
      </c>
      <c r="AR58" s="198">
        <v>0</v>
      </c>
      <c r="AS58" s="198">
        <v>0.3</v>
      </c>
      <c r="AT58" s="198">
        <v>0.6</v>
      </c>
      <c r="AU58" s="198">
        <v>0.9</v>
      </c>
      <c r="AV58" s="198">
        <v>1</v>
      </c>
      <c r="AW58" s="85"/>
    </row>
    <row r="60" spans="20:50" x14ac:dyDescent="0.2">
      <c r="AQ60" s="85"/>
      <c r="AW60" s="85"/>
      <c r="AX60" s="85"/>
    </row>
    <row r="61" spans="20:50" x14ac:dyDescent="0.2">
      <c r="AP61" s="200"/>
      <c r="AQ61" s="85"/>
      <c r="AW61" s="85"/>
      <c r="AX61" s="85"/>
    </row>
    <row r="62" spans="20:50" x14ac:dyDescent="0.2">
      <c r="AP62" s="85"/>
      <c r="AQ62" s="85"/>
      <c r="AW62" s="85"/>
      <c r="AX62" s="85"/>
    </row>
    <row r="63" spans="20:50" x14ac:dyDescent="0.2">
      <c r="AP63" s="85"/>
      <c r="AQ63" s="85"/>
      <c r="AW63" s="85"/>
    </row>
    <row r="64" spans="20:50" x14ac:dyDescent="0.2">
      <c r="AP64" s="85"/>
      <c r="AQ64" s="85"/>
      <c r="AW64" s="85"/>
    </row>
    <row r="65" spans="42:43" x14ac:dyDescent="0.2">
      <c r="AP65" s="85"/>
      <c r="AQ65" s="85"/>
    </row>
    <row r="66" spans="42:43" x14ac:dyDescent="0.2">
      <c r="AP66" s="85"/>
      <c r="AQ66" s="85"/>
    </row>
  </sheetData>
  <sheetProtection algorithmName="SHA-512" hashValue="BTACWqleZ68SPGxbllPReuRp945WQjE3iGg4xRpltpxLWzdfdIWoCNaqy83w4Y6O0EJTrmdfSkwvwwOp8gAAow==" saltValue="DakJapNcQWO6mrhkS3O2DQ==" spinCount="100000" sheet="1" selectLockedCells="1"/>
  <mergeCells count="76">
    <mergeCell ref="B3:G3"/>
    <mergeCell ref="H3:N3"/>
    <mergeCell ref="O3:P3"/>
    <mergeCell ref="Q3:R3"/>
    <mergeCell ref="BP3:BU4"/>
    <mergeCell ref="BL4:BN6"/>
    <mergeCell ref="B5:E5"/>
    <mergeCell ref="F5:G5"/>
    <mergeCell ref="H5:L5"/>
    <mergeCell ref="M5:N5"/>
    <mergeCell ref="O5:P5"/>
    <mergeCell ref="Q5:R5"/>
    <mergeCell ref="B6:E6"/>
    <mergeCell ref="F6:G6"/>
    <mergeCell ref="H6:L6"/>
    <mergeCell ref="B4:G4"/>
    <mergeCell ref="H4:N4"/>
    <mergeCell ref="O4:P4"/>
    <mergeCell ref="Q4:R4"/>
    <mergeCell ref="BH4:BK6"/>
    <mergeCell ref="C17:F17"/>
    <mergeCell ref="M6:N6"/>
    <mergeCell ref="O6:P6"/>
    <mergeCell ref="Q6:R6"/>
    <mergeCell ref="B7:F7"/>
    <mergeCell ref="L7:R7"/>
    <mergeCell ref="C8:F8"/>
    <mergeCell ref="L8:R39"/>
    <mergeCell ref="C9:F9"/>
    <mergeCell ref="C10:F10"/>
    <mergeCell ref="C11:F11"/>
    <mergeCell ref="C12:F12"/>
    <mergeCell ref="C32:F32"/>
    <mergeCell ref="C33:F33"/>
    <mergeCell ref="C34:F34"/>
    <mergeCell ref="C13:F13"/>
    <mergeCell ref="C14:F14"/>
    <mergeCell ref="C15:F15"/>
    <mergeCell ref="C16:F16"/>
    <mergeCell ref="C31:F31"/>
    <mergeCell ref="C18:F18"/>
    <mergeCell ref="C19:F19"/>
    <mergeCell ref="C30:F30"/>
    <mergeCell ref="BQ19:BU19"/>
    <mergeCell ref="C20:F20"/>
    <mergeCell ref="C21:F21"/>
    <mergeCell ref="BO21:BO29"/>
    <mergeCell ref="C22:F22"/>
    <mergeCell ref="C23:F23"/>
    <mergeCell ref="C24:F24"/>
    <mergeCell ref="C25:F25"/>
    <mergeCell ref="C26:F26"/>
    <mergeCell ref="C27:F27"/>
    <mergeCell ref="C28:F28"/>
    <mergeCell ref="C29:F29"/>
    <mergeCell ref="BO34:BU37"/>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s>
  <conditionalFormatting sqref="B8:F39">
    <cfRule type="expression" dxfId="187" priority="8" stopIfTrue="1">
      <formula>IF($Z8=1,TRUE,FALSE)</formula>
    </cfRule>
    <cfRule type="expression" dxfId="186" priority="9">
      <formula>IF($Z8=2,TRUE,FALSE)</formula>
    </cfRule>
  </conditionalFormatting>
  <conditionalFormatting sqref="C8:F39">
    <cfRule type="expression" dxfId="185" priority="1" stopIfTrue="1">
      <formula>IF($AF8=FALSE,TRUE,FALSE)</formula>
    </cfRule>
  </conditionalFormatting>
  <conditionalFormatting sqref="F5:G6 M5:P6">
    <cfRule type="expression" dxfId="184" priority="4" stopIfTrue="1">
      <formula>NOT($AU$4)</formula>
    </cfRule>
  </conditionalFormatting>
  <conditionalFormatting sqref="F6:G6">
    <cfRule type="cellIs" dxfId="183" priority="3" operator="equal">
      <formula>""</formula>
    </cfRule>
  </conditionalFormatting>
  <conditionalFormatting sqref="G8:K39">
    <cfRule type="expression" dxfId="182" priority="6" stopIfTrue="1">
      <formula>IF($Z8=1,TRUE,FALSE)</formula>
    </cfRule>
    <cfRule type="expression" dxfId="181" priority="7" stopIfTrue="1">
      <formula>IF($Z8=2,TRUE,FALSE)</formula>
    </cfRule>
  </conditionalFormatting>
  <conditionalFormatting sqref="H8:H39">
    <cfRule type="expression" dxfId="180" priority="10" stopIfTrue="1">
      <formula>IF($AB8=0,TRUE,FALSE)</formula>
    </cfRule>
  </conditionalFormatting>
  <conditionalFormatting sqref="H40:I41">
    <cfRule type="expression" dxfId="179" priority="2" stopIfTrue="1">
      <formula>IF($H$41="N/A",TRUE,FALSE)</formula>
    </cfRule>
  </conditionalFormatting>
  <conditionalFormatting sqref="H6:P6 O4:R4 B6 L8 L41 O41:R41">
    <cfRule type="containsBlanks" dxfId="178" priority="5">
      <formula>LEN(TRIM(B4))=0</formula>
    </cfRule>
  </conditionalFormatting>
  <conditionalFormatting sqref="J8:J39">
    <cfRule type="expression" dxfId="177" priority="14">
      <formula>IF($Z8=1,FALSE,OR($BE8,$BD8))</formula>
    </cfRule>
  </conditionalFormatting>
  <conditionalFormatting sqref="J8:K39 C8:F39">
    <cfRule type="expression" dxfId="176" priority="13">
      <formula>IF($Z8=1,FALSE,OR($AW8,$AX8,$AY8,$AZ8))</formula>
    </cfRule>
  </conditionalFormatting>
  <conditionalFormatting sqref="J8:K39">
    <cfRule type="expression" dxfId="175" priority="11" stopIfTrue="1">
      <formula>IF(ISNA($Z8),TRUE,FALSE)</formula>
    </cfRule>
  </conditionalFormatting>
  <conditionalFormatting sqref="K8:K39">
    <cfRule type="expression" dxfId="174" priority="12">
      <formula>IF(OR($Z8=1,$Z8=2),FALSE,OR($BC8,$BE8,$BF8))</formula>
    </cfRule>
  </conditionalFormatting>
  <dataValidations count="6">
    <dataValidation type="list" allowBlank="1" showInputMessage="1" showErrorMessage="1" sqref="F6:G6" xr:uid="{E556D1FA-C117-4919-AC27-BEFF1E1A72A1}">
      <formula1>"No,Yes"</formula1>
    </dataValidation>
    <dataValidation type="list" allowBlank="1" showInputMessage="1" showErrorMessage="1" sqref="J8:J39" xr:uid="{3114E254-F9FF-4699-85ED-A18D49DA555F}">
      <formula1>"NA,0,1,2,3,4,5,6,7,8,9,10,11,12,13,14,15"</formula1>
    </dataValidation>
    <dataValidation type="list" allowBlank="1" showInputMessage="1" showErrorMessage="1" sqref="K8:K39" xr:uid="{013D386F-5172-4C93-BED9-C37EC793E1E8}">
      <formula1>"D,0,1,2,3,4"</formula1>
    </dataValidation>
    <dataValidation showInputMessage="1" showErrorMessage="1" sqref="O41:R41" xr:uid="{E4D84A82-32D8-40AA-8662-375E685FFB7B}"/>
    <dataValidation type="decimal" allowBlank="1" showInputMessage="1" showErrorMessage="1" sqref="O6:P6" xr:uid="{C5FE0F80-784D-4621-BF7E-6AEA4242C7C8}">
      <formula1>0</formula1>
      <formula2>10</formula2>
    </dataValidation>
    <dataValidation type="date" allowBlank="1" showInputMessage="1" showErrorMessage="1" sqref="Q4:R4" xr:uid="{54A6A564-F134-45C5-83FB-77BE93F838EB}">
      <formula1>41151</formula1>
      <formula2>77433</formula2>
    </dataValidation>
  </dataValidations>
  <hyperlinks>
    <hyperlink ref="BP3" location="PF!A1" display="PF phase Summary Page" xr:uid="{7AE52077-99DA-4056-8E76-4BE22C419020}"/>
    <hyperlink ref="BP3:BU4" location="FQ!A1" display="FQ Summary Page" xr:uid="{289049C1-23E4-4B46-BEEF-0F164FF867FF}"/>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4739"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244740"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244741"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244742"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244743"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3BA6D-DC03-4D31-A49E-11DE14554A5C}">
  <sheetPr codeName="Sheet56">
    <tabColor rgb="FFFF0000"/>
    <pageSetUpPr autoPageBreaks="0"/>
  </sheetPr>
  <dimension ref="A1:BU66"/>
  <sheetViews>
    <sheetView showGridLines="0" topLeftCell="A2" zoomScaleNormal="100" zoomScaleSheetLayoutView="100" workbookViewId="0">
      <selection activeCell="BP3" sqref="BP3:BU4"/>
    </sheetView>
  </sheetViews>
  <sheetFormatPr defaultColWidth="9.140625" defaultRowHeight="12.75" x14ac:dyDescent="0.2"/>
  <cols>
    <col min="1" max="1" width="1.5703125" style="87" customWidth="1"/>
    <col min="2" max="2" width="3.5703125" style="87" customWidth="1"/>
    <col min="3" max="3" width="5.5703125" style="87" customWidth="1"/>
    <col min="4" max="4" width="9.140625" style="87" customWidth="1"/>
    <col min="5" max="5" width="14" style="87" customWidth="1"/>
    <col min="6" max="6" width="7.85546875" style="87" customWidth="1"/>
    <col min="7" max="11" width="5.140625" style="87" customWidth="1"/>
    <col min="12" max="12" width="21.5703125" style="87" customWidth="1"/>
    <col min="13" max="13" width="6.5703125" style="87" customWidth="1"/>
    <col min="14" max="14" width="12.5703125" style="87" customWidth="1"/>
    <col min="15" max="15" width="7.85546875" style="87" customWidth="1"/>
    <col min="16" max="16" width="2.7109375" style="87" customWidth="1"/>
    <col min="17" max="17" width="4.85546875" style="87" customWidth="1"/>
    <col min="18" max="18" width="7.28515625" style="87" customWidth="1"/>
    <col min="19" max="19" width="1.7109375" style="87" customWidth="1"/>
    <col min="20" max="20" width="19.140625" style="88" hidden="1" customWidth="1"/>
    <col min="21" max="21" width="31.140625" style="88" hidden="1" customWidth="1"/>
    <col min="22" max="22" width="5.140625" style="88" hidden="1" customWidth="1"/>
    <col min="23" max="24" width="6.28515625" style="88" hidden="1" customWidth="1"/>
    <col min="25" max="25" width="8.42578125" style="88" hidden="1" customWidth="1"/>
    <col min="26" max="26" width="7.85546875" style="88" hidden="1" customWidth="1"/>
    <col min="27" max="27" width="10.7109375" style="88" hidden="1" customWidth="1"/>
    <col min="28" max="28" width="8" style="88" hidden="1" customWidth="1"/>
    <col min="29" max="31" width="5.140625" style="88" hidden="1" customWidth="1"/>
    <col min="32" max="34" width="5.85546875" style="88" hidden="1" customWidth="1"/>
    <col min="35" max="35" width="8.5703125" style="89" hidden="1" customWidth="1"/>
    <col min="36" max="36" width="7" style="88" hidden="1" customWidth="1"/>
    <col min="37" max="38" width="5.28515625" style="88" hidden="1" customWidth="1"/>
    <col min="39" max="40" width="7" style="88" hidden="1" customWidth="1"/>
    <col min="41" max="41" width="5.140625" style="88" hidden="1" customWidth="1"/>
    <col min="42" max="42" width="11.28515625" style="88" hidden="1" customWidth="1"/>
    <col min="43" max="43" width="6.42578125" style="88" hidden="1" customWidth="1"/>
    <col min="44" max="44" width="8.28515625" style="88" hidden="1" customWidth="1"/>
    <col min="45" max="45" width="8.85546875" style="88" hidden="1" customWidth="1"/>
    <col min="46" max="46" width="10.7109375" style="88" hidden="1" customWidth="1"/>
    <col min="47" max="47" width="8.85546875" style="88" hidden="1" customWidth="1"/>
    <col min="48" max="48" width="6.28515625" style="88" hidden="1" customWidth="1"/>
    <col min="49" max="49" width="10" style="88" hidden="1" customWidth="1"/>
    <col min="50" max="50" width="7.5703125" style="88" hidden="1" customWidth="1"/>
    <col min="51" max="51" width="7" style="88" hidden="1" customWidth="1"/>
    <col min="52" max="52" width="8.140625" style="88" hidden="1" customWidth="1"/>
    <col min="53" max="53" width="12.5703125" style="88" hidden="1" customWidth="1"/>
    <col min="54" max="54" width="7.7109375" style="88" hidden="1" customWidth="1"/>
    <col min="55" max="55" width="12.7109375" style="88" hidden="1" customWidth="1"/>
    <col min="56" max="56" width="7" style="88" hidden="1" customWidth="1"/>
    <col min="57" max="57" width="15.5703125" style="88" hidden="1" customWidth="1"/>
    <col min="58" max="58" width="9.140625" style="88" hidden="1" customWidth="1"/>
    <col min="59" max="59" width="10" style="88" hidden="1" customWidth="1"/>
    <col min="60" max="60" width="5.28515625" style="88" hidden="1" customWidth="1"/>
    <col min="61" max="61" width="4" style="88" hidden="1" customWidth="1"/>
    <col min="62" max="62" width="4.7109375" style="88" hidden="1" customWidth="1"/>
    <col min="63" max="63" width="5.5703125" style="88" hidden="1" customWidth="1"/>
    <col min="64" max="64" width="5.28515625" style="88" hidden="1" customWidth="1"/>
    <col min="65" max="65" width="4" style="88" hidden="1" customWidth="1"/>
    <col min="66" max="66" width="5.5703125" style="88" hidden="1" customWidth="1"/>
    <col min="67" max="67" width="5.140625" style="90" customWidth="1"/>
    <col min="68" max="73" width="5.140625" style="87" customWidth="1"/>
    <col min="74" max="16384" width="9.140625" style="87"/>
  </cols>
  <sheetData>
    <row r="1" spans="2:73" s="84" customFormat="1" ht="12" hidden="1" x14ac:dyDescent="0.2">
      <c r="T1" s="85"/>
      <c r="U1" s="85"/>
      <c r="V1" s="85"/>
      <c r="W1" s="85"/>
      <c r="X1" s="85"/>
      <c r="Y1" s="85"/>
      <c r="Z1" s="85"/>
      <c r="AA1" s="85"/>
      <c r="AB1" s="85"/>
      <c r="AC1" s="85"/>
      <c r="AD1" s="85"/>
      <c r="AE1" s="85"/>
      <c r="AF1" s="85"/>
      <c r="AG1" s="85"/>
      <c r="AH1" s="85"/>
      <c r="AI1" s="86"/>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row>
    <row r="2" spans="2:73" ht="13.5" thickBot="1" x14ac:dyDescent="0.25"/>
    <row r="3" spans="2:73" ht="13.5" customHeight="1" thickTop="1" x14ac:dyDescent="0.2">
      <c r="B3" s="967" t="s">
        <v>267</v>
      </c>
      <c r="C3" s="968"/>
      <c r="D3" s="968"/>
      <c r="E3" s="968"/>
      <c r="F3" s="968"/>
      <c r="G3" s="969"/>
      <c r="H3" s="970" t="s">
        <v>604</v>
      </c>
      <c r="I3" s="971"/>
      <c r="J3" s="971"/>
      <c r="K3" s="971"/>
      <c r="L3" s="971"/>
      <c r="M3" s="971"/>
      <c r="N3" s="972"/>
      <c r="O3" s="973" t="s">
        <v>269</v>
      </c>
      <c r="P3" s="974"/>
      <c r="Q3" s="973" t="s">
        <v>270</v>
      </c>
      <c r="R3" s="975"/>
      <c r="S3" s="91"/>
      <c r="T3" s="92"/>
      <c r="U3" s="92"/>
      <c r="V3" s="92"/>
      <c r="W3" s="92"/>
      <c r="X3" s="92"/>
      <c r="Y3" s="92"/>
      <c r="Z3" s="92"/>
      <c r="AA3" s="92"/>
      <c r="AB3" s="92"/>
      <c r="AC3" s="92"/>
      <c r="AD3" s="92"/>
      <c r="AE3" s="92"/>
      <c r="AF3" s="92"/>
      <c r="AG3" s="92"/>
      <c r="AH3" s="92"/>
      <c r="AI3" s="93"/>
      <c r="AJ3" s="92"/>
      <c r="AK3" s="92"/>
      <c r="AL3" s="92"/>
      <c r="AM3" s="92"/>
      <c r="AN3" s="92"/>
      <c r="AO3" s="92"/>
      <c r="AP3" s="92"/>
      <c r="AQ3" s="85"/>
      <c r="AR3" s="85"/>
      <c r="AW3" s="88" t="s">
        <v>271</v>
      </c>
      <c r="AX3" s="88" t="s">
        <v>272</v>
      </c>
      <c r="AY3" s="88" t="s">
        <v>273</v>
      </c>
      <c r="AZ3" s="88" t="s">
        <v>274</v>
      </c>
      <c r="BA3" s="88" t="s">
        <v>275</v>
      </c>
      <c r="BB3" s="88" t="s">
        <v>276</v>
      </c>
      <c r="BP3" s="1032" t="s">
        <v>844</v>
      </c>
      <c r="BQ3" s="1032"/>
      <c r="BR3" s="1032"/>
      <c r="BS3" s="1032"/>
      <c r="BT3" s="1032"/>
      <c r="BU3" s="1032"/>
    </row>
    <row r="4" spans="2:73" s="94" customFormat="1" ht="15.75" customHeight="1" x14ac:dyDescent="0.2">
      <c r="B4" s="994" t="s">
        <v>277</v>
      </c>
      <c r="C4" s="995"/>
      <c r="D4" s="995"/>
      <c r="E4" s="995"/>
      <c r="F4" s="995"/>
      <c r="G4" s="996"/>
      <c r="H4" s="937" t="s">
        <v>620</v>
      </c>
      <c r="I4" s="938"/>
      <c r="J4" s="938"/>
      <c r="K4" s="938"/>
      <c r="L4" s="938"/>
      <c r="M4" s="938"/>
      <c r="N4" s="939"/>
      <c r="O4" s="997"/>
      <c r="P4" s="998"/>
      <c r="Q4" s="999"/>
      <c r="R4" s="1000"/>
      <c r="S4" s="95"/>
      <c r="T4" s="96"/>
      <c r="U4" s="96"/>
      <c r="V4" s="96"/>
      <c r="W4" s="96"/>
      <c r="X4" s="96"/>
      <c r="Y4" s="96"/>
      <c r="Z4" s="96"/>
      <c r="AA4" s="96"/>
      <c r="AB4" s="96"/>
      <c r="AC4" s="96"/>
      <c r="AD4" s="96"/>
      <c r="AE4" s="96"/>
      <c r="AF4" s="96"/>
      <c r="AG4" s="96"/>
      <c r="AH4" s="96"/>
      <c r="AI4" s="97"/>
      <c r="AJ4" s="96"/>
      <c r="AK4" s="96"/>
      <c r="AL4" s="96"/>
      <c r="AM4" s="96"/>
      <c r="AN4" s="96"/>
      <c r="AO4" s="96"/>
      <c r="AP4" s="96"/>
      <c r="AQ4" s="98"/>
      <c r="AR4" s="98"/>
      <c r="AS4" s="99"/>
      <c r="AT4" s="100" t="s">
        <v>278</v>
      </c>
      <c r="AU4" s="101" t="b">
        <v>1</v>
      </c>
      <c r="AV4" s="99">
        <v>0</v>
      </c>
      <c r="AW4" s="99" t="b">
        <f>IF(ISERR(OR(AW8:AW39)),"UNK",IF(AND(graded_aca_events&gt;=1,input_test),FALSE,OR(AW8:AW39)))</f>
        <v>1</v>
      </c>
      <c r="AX4" s="99" t="b">
        <f>IF(ISERR(OR(AX8:AX39)),"UNK",IF(AND(graded_aca_events&gt;=1,input_test),FALSE,OR(AX8:AX39)))</f>
        <v>1</v>
      </c>
      <c r="AY4" s="99" t="b">
        <f>IF(ISERR(OR(AY8:AY39)),"UNK",OR(AY8:AY39))</f>
        <v>0</v>
      </c>
      <c r="AZ4" s="99" t="b">
        <f>IF(ISERR(OR(AZ8:AZ39)),"UNK",OR(AZ8:AZ39))</f>
        <v>0</v>
      </c>
      <c r="BA4" s="99" t="b">
        <f>IF(ISERR(OR(BA8:BA39)),"UNK",OR(BA8:BA39))</f>
        <v>0</v>
      </c>
      <c r="BB4" s="99" t="b">
        <f>IF(ISERR(OR(BB8:BB39)),"UNK",OR(BB8:BB39))</f>
        <v>0</v>
      </c>
      <c r="BC4" s="102" t="b">
        <f>OR(BC8:BC39)</f>
        <v>0</v>
      </c>
      <c r="BD4" s="102" t="b">
        <f>OR(BD8:BD39)</f>
        <v>0</v>
      </c>
      <c r="BE4" s="102" t="b">
        <f>OR(BE8:BE39)</f>
        <v>0</v>
      </c>
      <c r="BF4" s="102"/>
      <c r="BG4" s="99"/>
      <c r="BH4" s="944" t="s">
        <v>279</v>
      </c>
      <c r="BI4" s="944"/>
      <c r="BJ4" s="944"/>
      <c r="BK4" s="944"/>
      <c r="BL4" s="977" t="s">
        <v>280</v>
      </c>
      <c r="BM4" s="977"/>
      <c r="BN4" s="977"/>
      <c r="BO4" s="90"/>
      <c r="BP4" s="1032"/>
      <c r="BQ4" s="1032"/>
      <c r="BR4" s="1032"/>
      <c r="BS4" s="1032"/>
      <c r="BT4" s="1032"/>
      <c r="BU4" s="1032"/>
    </row>
    <row r="5" spans="2:73" s="91" customFormat="1" ht="7.5" customHeight="1" x14ac:dyDescent="0.25">
      <c r="B5" s="978" t="s">
        <v>281</v>
      </c>
      <c r="C5" s="979"/>
      <c r="D5" s="979"/>
      <c r="E5" s="980"/>
      <c r="F5" s="981" t="s">
        <v>282</v>
      </c>
      <c r="G5" s="980"/>
      <c r="H5" s="981" t="s">
        <v>283</v>
      </c>
      <c r="I5" s="979"/>
      <c r="J5" s="979"/>
      <c r="K5" s="979"/>
      <c r="L5" s="980"/>
      <c r="M5" s="982" t="s">
        <v>284</v>
      </c>
      <c r="N5" s="983"/>
      <c r="O5" s="984" t="s">
        <v>285</v>
      </c>
      <c r="P5" s="985"/>
      <c r="Q5" s="981" t="str">
        <f>IF(AU41=0,"GRADE","GRADE (inc. bonus)")</f>
        <v>GRADE</v>
      </c>
      <c r="R5" s="986"/>
      <c r="T5" s="92"/>
      <c r="U5" s="92"/>
      <c r="V5" s="92"/>
      <c r="W5" s="92"/>
      <c r="X5" s="92"/>
      <c r="Y5" s="92"/>
      <c r="Z5" s="92"/>
      <c r="AA5" s="92"/>
      <c r="AB5" s="92"/>
      <c r="AC5" s="92"/>
      <c r="AD5" s="92"/>
      <c r="AE5" s="92"/>
      <c r="AF5" s="92"/>
      <c r="AG5" s="92"/>
      <c r="AH5" s="92"/>
      <c r="AI5" s="93"/>
      <c r="AJ5" s="92"/>
      <c r="AK5" s="92"/>
      <c r="AL5" s="92"/>
      <c r="AM5" s="92"/>
      <c r="AN5" s="92"/>
      <c r="AO5" s="92"/>
      <c r="AP5" s="92"/>
      <c r="AQ5" s="92"/>
      <c r="AR5" s="92"/>
      <c r="AS5" s="92"/>
      <c r="AT5" s="92"/>
      <c r="AU5" s="92"/>
      <c r="AV5" s="92"/>
      <c r="AW5" s="92"/>
      <c r="AX5" s="92"/>
      <c r="AY5" s="92"/>
      <c r="AZ5" s="92"/>
      <c r="BA5" s="92"/>
      <c r="BB5" s="92"/>
      <c r="BC5" s="92"/>
      <c r="BD5" s="92"/>
      <c r="BE5" s="92"/>
      <c r="BF5" s="92"/>
      <c r="BG5" s="92"/>
      <c r="BH5" s="944"/>
      <c r="BI5" s="944"/>
      <c r="BJ5" s="944"/>
      <c r="BK5" s="944"/>
      <c r="BL5" s="977"/>
      <c r="BM5" s="977"/>
      <c r="BN5" s="977"/>
      <c r="BO5" s="103"/>
    </row>
    <row r="6" spans="2:73" s="94" customFormat="1" ht="15.75" customHeight="1" thickBot="1" x14ac:dyDescent="0.25">
      <c r="B6" s="1001"/>
      <c r="C6" s="1002"/>
      <c r="D6" s="1002"/>
      <c r="E6" s="1003"/>
      <c r="F6" s="1004" t="s">
        <v>286</v>
      </c>
      <c r="G6" s="1005"/>
      <c r="H6" s="1006"/>
      <c r="I6" s="1007"/>
      <c r="J6" s="1007"/>
      <c r="K6" s="1007"/>
      <c r="L6" s="1005"/>
      <c r="M6" s="1008"/>
      <c r="N6" s="1009"/>
      <c r="O6" s="1010"/>
      <c r="P6" s="1011"/>
      <c r="Q6" s="949" t="str">
        <f>IF((graded_aca_events+graded_amn_events)&lt;1,"0",IF(ISERROR(AR46),"",IF(F41&lt;&gt;"COMPLETE","INCOMPLETE",AR46)))</f>
        <v>0</v>
      </c>
      <c r="R6" s="950"/>
      <c r="S6" s="87"/>
      <c r="T6" s="99"/>
      <c r="U6" s="99">
        <v>2</v>
      </c>
      <c r="V6" s="99">
        <v>3</v>
      </c>
      <c r="W6" s="99">
        <v>6</v>
      </c>
      <c r="X6" s="99">
        <v>7</v>
      </c>
      <c r="Y6" s="99">
        <v>11</v>
      </c>
      <c r="Z6" s="99">
        <v>8</v>
      </c>
      <c r="AA6" s="99">
        <v>9</v>
      </c>
      <c r="AB6" s="99">
        <v>10</v>
      </c>
      <c r="AC6" s="99">
        <v>5</v>
      </c>
      <c r="AD6" s="99">
        <v>4</v>
      </c>
      <c r="AE6" s="99">
        <v>12</v>
      </c>
      <c r="AF6" s="99">
        <v>13</v>
      </c>
      <c r="AG6" s="99"/>
      <c r="AH6" s="99"/>
      <c r="AI6" s="104"/>
      <c r="AJ6" s="105"/>
      <c r="AK6" s="105"/>
      <c r="AL6" s="105"/>
      <c r="AM6" s="105" t="b">
        <f>IF(COUNT(AM8:AM39)&gt;0,TRUE,FALSE)</f>
        <v>0</v>
      </c>
      <c r="AN6" s="105" t="b">
        <f>IF(COUNT(AN8:AN39)&gt;0,TRUE,FALSE)</f>
        <v>0</v>
      </c>
      <c r="AO6" s="99"/>
      <c r="AP6" s="99"/>
      <c r="AQ6" s="98"/>
      <c r="AR6" s="98"/>
      <c r="AS6" s="99"/>
      <c r="AT6" s="106">
        <v>0.2</v>
      </c>
      <c r="AU6" s="99"/>
      <c r="AV6" s="107">
        <f>0.01*input_maxb</f>
        <v>0</v>
      </c>
      <c r="AW6" s="108" t="s">
        <v>287</v>
      </c>
      <c r="AX6" s="109"/>
      <c r="AY6" s="108" t="s">
        <v>288</v>
      </c>
      <c r="AZ6" s="109"/>
      <c r="BA6" s="110" t="s">
        <v>289</v>
      </c>
      <c r="BB6" s="110"/>
      <c r="BC6" s="108" t="s">
        <v>290</v>
      </c>
      <c r="BD6" s="110"/>
      <c r="BE6" s="111"/>
      <c r="BF6" s="112"/>
      <c r="BG6" s="99" t="s">
        <v>291</v>
      </c>
      <c r="BH6" s="944"/>
      <c r="BI6" s="944"/>
      <c r="BJ6" s="944"/>
      <c r="BK6" s="944"/>
      <c r="BL6" s="977"/>
      <c r="BM6" s="977"/>
      <c r="BN6" s="977"/>
      <c r="BO6" s="90"/>
    </row>
    <row r="7" spans="2:73" ht="27" customHeight="1" thickBot="1" x14ac:dyDescent="0.25">
      <c r="B7" s="951" t="s">
        <v>292</v>
      </c>
      <c r="C7" s="952"/>
      <c r="D7" s="952"/>
      <c r="E7" s="952"/>
      <c r="F7" s="953"/>
      <c r="G7" s="113" t="s">
        <v>293</v>
      </c>
      <c r="H7" s="114" t="s">
        <v>294</v>
      </c>
      <c r="I7" s="115" t="s">
        <v>295</v>
      </c>
      <c r="J7" s="116" t="s">
        <v>296</v>
      </c>
      <c r="K7" s="117" t="s">
        <v>297</v>
      </c>
      <c r="L7" s="954" t="s">
        <v>298</v>
      </c>
      <c r="M7" s="952"/>
      <c r="N7" s="952"/>
      <c r="O7" s="952"/>
      <c r="P7" s="952"/>
      <c r="Q7" s="952"/>
      <c r="R7" s="955"/>
      <c r="T7" s="118" t="s">
        <v>299</v>
      </c>
      <c r="U7" s="118"/>
      <c r="V7" s="118" t="s">
        <v>300</v>
      </c>
      <c r="W7" s="118" t="s">
        <v>301</v>
      </c>
      <c r="X7" s="118" t="s">
        <v>302</v>
      </c>
      <c r="Y7" s="118" t="s">
        <v>303</v>
      </c>
      <c r="Z7" s="118" t="s">
        <v>304</v>
      </c>
      <c r="AA7" s="118" t="s">
        <v>305</v>
      </c>
      <c r="AB7" s="118" t="s">
        <v>306</v>
      </c>
      <c r="AC7" s="118" t="s">
        <v>307</v>
      </c>
      <c r="AD7" s="118" t="s">
        <v>308</v>
      </c>
      <c r="AE7" s="118" t="s">
        <v>309</v>
      </c>
      <c r="AF7" s="118" t="s">
        <v>310</v>
      </c>
      <c r="AG7" s="118" t="s">
        <v>311</v>
      </c>
      <c r="AH7" s="118" t="s">
        <v>312</v>
      </c>
      <c r="AI7" s="119" t="s">
        <v>313</v>
      </c>
      <c r="AJ7" s="120" t="s">
        <v>314</v>
      </c>
      <c r="AK7" s="121" t="s">
        <v>315</v>
      </c>
      <c r="AL7" s="121" t="s">
        <v>316</v>
      </c>
      <c r="AM7" s="121" t="s">
        <v>317</v>
      </c>
      <c r="AN7" s="121" t="s">
        <v>318</v>
      </c>
      <c r="AO7" s="120" t="s">
        <v>319</v>
      </c>
      <c r="AP7" s="120" t="s">
        <v>320</v>
      </c>
      <c r="AQ7" s="122" t="s">
        <v>321</v>
      </c>
      <c r="AR7" s="123" t="s">
        <v>1</v>
      </c>
      <c r="AS7" s="122" t="s">
        <v>322</v>
      </c>
      <c r="AT7" s="123" t="s">
        <v>1</v>
      </c>
      <c r="AU7" s="122" t="s">
        <v>323</v>
      </c>
      <c r="AV7" s="124" t="s">
        <v>324</v>
      </c>
      <c r="AW7" s="125" t="s">
        <v>325</v>
      </c>
      <c r="AX7" s="126" t="s">
        <v>326</v>
      </c>
      <c r="AY7" s="125" t="s">
        <v>327</v>
      </c>
      <c r="AZ7" s="126" t="s">
        <v>328</v>
      </c>
      <c r="BA7" s="127" t="s">
        <v>329</v>
      </c>
      <c r="BB7" s="127" t="s">
        <v>330</v>
      </c>
      <c r="BC7" s="128" t="s">
        <v>331</v>
      </c>
      <c r="BD7" s="129" t="s">
        <v>332</v>
      </c>
      <c r="BE7" s="130" t="s">
        <v>333</v>
      </c>
      <c r="BF7" s="131" t="s">
        <v>334</v>
      </c>
      <c r="BH7" s="88" t="s">
        <v>335</v>
      </c>
      <c r="BI7" s="88" t="s">
        <v>336</v>
      </c>
      <c r="BJ7" s="118" t="s">
        <v>337</v>
      </c>
      <c r="BK7" s="88" t="s">
        <v>338</v>
      </c>
      <c r="BL7" s="88" t="s">
        <v>335</v>
      </c>
      <c r="BM7" s="88" t="s">
        <v>336</v>
      </c>
      <c r="BN7" s="88" t="s">
        <v>338</v>
      </c>
    </row>
    <row r="8" spans="2:73" ht="12.95" customHeight="1" x14ac:dyDescent="0.2">
      <c r="B8" s="132" t="str">
        <f>IF(ISNA(Z8),"",IF(OR(Z8=1,Z8=2),"",1))</f>
        <v/>
      </c>
      <c r="C8" s="956" t="str">
        <f t="shared" ref="C8:C39" si="0">IF(ISNA(Z8),"",CONCATENATE($U8,IF(ISNUMBER(AI8),TEXT(ROUND($AI8,3)," (0.0%)"),""),IF(AU8&gt;0," Bonus","")))</f>
        <v>Airmanship Tasks (19.0%)</v>
      </c>
      <c r="D8" s="956"/>
      <c r="E8" s="956"/>
      <c r="F8" s="957"/>
      <c r="G8" s="133" t="str">
        <f t="shared" ref="G8:G39" si="1">BH8</f>
        <v/>
      </c>
      <c r="H8" s="134" t="str">
        <f t="shared" ref="H8:I39" si="2">BJ8</f>
        <v/>
      </c>
      <c r="I8" s="135" t="str">
        <f t="shared" si="2"/>
        <v/>
      </c>
      <c r="J8" s="136"/>
      <c r="K8" s="137"/>
      <c r="L8" s="1012"/>
      <c r="M8" s="1013"/>
      <c r="N8" s="1013"/>
      <c r="O8" s="1013"/>
      <c r="P8" s="1013"/>
      <c r="Q8" s="1013"/>
      <c r="R8" s="1014"/>
      <c r="T8" s="88">
        <v>1</v>
      </c>
      <c r="U8" s="88" t="s">
        <v>339</v>
      </c>
      <c r="V8" s="453" t="s">
        <v>340</v>
      </c>
      <c r="W8" s="453" t="s">
        <v>340</v>
      </c>
      <c r="X8" s="453" t="s">
        <v>340</v>
      </c>
      <c r="Y8" s="453" t="s">
        <v>340</v>
      </c>
      <c r="Z8" s="453">
        <v>1</v>
      </c>
      <c r="AA8" s="453">
        <v>0</v>
      </c>
      <c r="AB8" s="453">
        <v>0</v>
      </c>
      <c r="AC8" s="453" t="s">
        <v>340</v>
      </c>
      <c r="AD8" s="453" t="s">
        <v>340</v>
      </c>
      <c r="AE8" s="453">
        <v>0</v>
      </c>
      <c r="AF8" s="453" t="s">
        <v>340</v>
      </c>
      <c r="AG8" s="453" t="str">
        <f t="shared" ref="AG8:AG39" si="3">IF(CrewSoloQual="Yes",$AC8,$AD8)</f>
        <v/>
      </c>
      <c r="AH8" s="453" t="str">
        <f t="shared" ref="AH8:AH39" si="4">IF(ISNUMBER(AC8),IF(CrewSoloQual="Yes",$AC8-1,$AD8-1),"")</f>
        <v/>
      </c>
      <c r="AI8" s="138">
        <f>IF(NOT(OR(Z8=1,Z8=2)),IF(AQ8&gt;0,$AR$44*AQ8/SUMIF($AQ$8:$AQ$39,"&gt;0"),IF(AU8&gt;0,$AV$44*AU8/SUMIF($AU$8:$AU$39,"&gt;0"),IF(AS8&gt;0,$AT$44*AS8/SUMIF($AS$8:$AS$39,"&gt;0"),""))),IF(SUMIF(AJ9:$AJ$39,"=" &amp; AJ8,AI9:$AI$39)=0,"",SUMIF(AJ9:$AJ$39,"=" &amp; AJ8,AI9:$AI$39)))</f>
        <v>0.19047619047619047</v>
      </c>
      <c r="AJ8" s="139">
        <f>0</f>
        <v>0</v>
      </c>
      <c r="AK8" s="453" t="str">
        <f t="shared" ref="AK8:AK39" si="5">BI8</f>
        <v/>
      </c>
      <c r="AL8" s="453" t="str">
        <f t="shared" ref="AL8:AL39" si="6">IF(ISBLANK(K8),"",K8)</f>
        <v/>
      </c>
      <c r="AM8" s="453" t="str">
        <f t="shared" ref="AM8:AM39" si="7">IF(ISNUMBER(AK8),IF(ISNUMBER(AL8),1,""),"")</f>
        <v/>
      </c>
      <c r="AN8" s="453" t="str">
        <f t="shared" ref="AN8:AN39" si="8">IF(ISNUMBER(AH8),IF(AND(AB8=0,ISNUMBER(AC8),ISNUMBER(AL8)),1,""),"")</f>
        <v/>
      </c>
      <c r="AO8" s="453" t="str">
        <f t="shared" ref="AO8:AO39" si="9">IF(AB8=0,IF(CrewSoloQual="No",BI8,BK8),"")</f>
        <v/>
      </c>
      <c r="AP8" s="453" t="str">
        <f t="shared" ref="AP8:AP39" si="10">IF(ISNA(Z8),"",IF(AND(ISNUMBER(B8),G8&gt;=1,H8&lt;&gt;"NG"),IF(K8&lt;BK8,TRUE,FALSE),IF(AND(G8&gt;=1,J8="NA"),TRUE,IF(AND(AM8=1,G8=0,AL8&lt;BI8),TRUE,""))))</f>
        <v/>
      </c>
      <c r="AQ8" s="140">
        <f t="shared" ref="AQ8:AQ39" si="11">IF(ISNA(Z8),0,IF(OR(J8="NA",W8="",AB8=0),0,W8))</f>
        <v>0</v>
      </c>
      <c r="AR8" s="141" t="str">
        <f t="shared" ref="AR8:AR39" si="12">IF(ISNA(Z8),"",IF(AND(NOT(OR(Z8=1,Z8=2,AK8="NG",AB8=0)),IF(ISNUMBER(AL8),AL8&gt;=0,FALSE)),VLOOKUP((10*AD8+AC8),$AQ$50:$AV$58,2+AL8,FALSE),IF(AND(input_test=TRUE,ISNUMBER(AD8),V8&lt;&gt;0),VLOOKUP((10*AD8+AC8),$AQ$50:$AV$58,2,FALSE),"")))</f>
        <v/>
      </c>
      <c r="AS8" s="142">
        <f t="shared" ref="AS8:AS39" si="13">IF(ISNA(Z8),0,IF(OR(J8="NA",X8="",AB8=1),0,X8))</f>
        <v>0</v>
      </c>
      <c r="AT8" s="141" t="str">
        <f t="shared" ref="AT8:AT39" si="14">IF(ISNA(Z8),"",IF(AND(NOT(OR(Z8=1,Z8=2,AK8="NG",AB8=1)),IF(ISNUMBER(AL8),AL8&gt;=0,FALSE)),VLOOKUP((10*AH8+AG8),$AQ$50:$AV$58,2+AL8,FALSE),IF(AND(input_test=TRUE,ISNUMBER(AD8),V8&lt;&gt;0),VLOOKUP((10*AH8+AG8),$AQ$50:$AV$58,2,FALSE),"")))</f>
        <v/>
      </c>
      <c r="AU8" s="143">
        <f t="shared" ref="AU8:AU39" si="15">IF(ISNA(Z8),0,IF(OR(J8="NA",Y8=""),0,Y8))</f>
        <v>0</v>
      </c>
      <c r="AV8" s="144" t="str">
        <f t="shared" ref="AV8:AV39" si="16">AR8</f>
        <v/>
      </c>
      <c r="AW8" s="143" t="b">
        <f t="shared" ref="AW8:AW39" si="17">IF(ISNA(Z8),FALSE,IF(OR(AB8=1,G8=0,Z8=1,Z8=2),FALSE,IF(OR(J8="NA",J8&gt;=G8),FALSE,TRUE)))</f>
        <v>0</v>
      </c>
      <c r="AX8" s="145" t="b">
        <f t="shared" ref="AX8:AX39" si="18">IF(ISNA(Z8),FALSE,IF(OR(AB8=0,G8=0,Z8=1,Z8=2,J8="NA"),FALSE,IF(AK8="NG",IF(NOT(ISBLANK(K8)),FALSE,TRUE),IF(J8&gt;=G8,FALSE,TRUE))))</f>
        <v>0</v>
      </c>
      <c r="AY8" s="143" t="b">
        <f t="shared" ref="AY8:AY39" si="19">IF(ISNA(Z8),FALSE,IF(OR(AB8=1,G8&lt;1,Z8=1,Z8=2,AE8=0,ISBLANK(K8)),FALSE,IF(OR(J8="NA",K8&gt;=BI8),FALSE,TRUE)))</f>
        <v>0</v>
      </c>
      <c r="AZ8" s="145" t="b">
        <f t="shared" ref="AZ8:AZ39" si="20">IF(ISNA(Z8),FALSE,IF(OR(AB8=0,G8=0,Z8=1,Z8=2,AE8=0,BI8="NG",K8="",ISBLANK(K8)),FALSE,IF(OR(J8="NA",K8&gt;=AK8),FALSE,TRUE)))</f>
        <v>0</v>
      </c>
      <c r="BA8" s="453" t="b">
        <f t="shared" ref="BA8:BA39" si="21">IF(ISNA(Z8),FALSE,IF(OR(AB8=1,G8&lt;1,Z8=1,Z8=2,AE8=0),FALSE,IF(J8="NA",TRUE,FALSE)))</f>
        <v>0</v>
      </c>
      <c r="BB8" s="453" t="b">
        <f t="shared" ref="BB8:BB39" si="22">IF(ISNA(Z8),FALSE,IF(OR(AB8=0,G8=0,Z8=1,Z8=2),FALSE,IF(J8="NA",TRUE,FALSE)))</f>
        <v>0</v>
      </c>
      <c r="BC8" s="143" t="b">
        <f t="shared" ref="BC8:BC39" si="23">IF(OR(ISNA($Z8),ISNUMBER($Z8),NOT(ISNUMBER($J8)),K8="D"),FALSE,IF(AND(NOT(ISNUMBER($K8)),J8&gt;0),TRUE,FALSE))</f>
        <v>0</v>
      </c>
      <c r="BD8" s="146" t="b">
        <f t="shared" ref="BD8:BD39" si="24">IF(OR(ISNA($Z8),ISNUMBER($Z8),NOT(ISNUMBER(K8))),FALSE,OR(NOT(ISNUMBER(J8)),J8=0,AND(J8=0,K8&lt;&gt;0)))</f>
        <v>0</v>
      </c>
      <c r="BE8" s="145" t="b">
        <f t="shared" ref="BE8:BE39" si="25">IF(OR(ISNA($Z8),K8&lt;&gt;"D"),FALSE,IF(OR(AND(H8="NG",J8=0),AND(H8&lt;&gt;"NG",NOT(OR(J8="NA",J8=0)))),TRUE,FALSE))</f>
        <v>0</v>
      </c>
      <c r="BF8" s="147" t="b">
        <f t="shared" ref="BF8:BF39" si="26">IF(OR(ISNA($Z8),H8&lt;&gt;"NG"),FALSE,IF(AND(J8="NA",K8&lt;&gt;""),TRUE,FALSE))</f>
        <v>0</v>
      </c>
      <c r="BG8" s="453" t="b">
        <f t="shared" ref="BG8:BG39" si="27">IF(ISNA($Z8),"NA",IF(OR(AZ8,AY8,AX8,AW8,AP8,BA8,BB8),TRUE,FALSE))</f>
        <v>0</v>
      </c>
      <c r="BH8" s="148" t="str">
        <f t="shared" ref="BH8:BH39" si="28">IF(ISNA($Z8),"",IF(OR($Z8=1,$Z8=2),"",$V8))</f>
        <v/>
      </c>
      <c r="BI8" s="453" t="str">
        <f t="shared" ref="BI8:BI39" si="29">IF(ISNA($Z8),"",IF(OR($Z8=1,$Z8=2,$G8=""),"",IF(AB8=0,AH8,$AD8)))</f>
        <v/>
      </c>
      <c r="BJ8" s="453" t="str">
        <f t="shared" ref="BJ8:BJ39" si="30">IF(ISNA(AE8),"",IF(OR(Z8=1,Z8=2),"",IF(OR(AE8=0,AD8="NG"),TEXT(BI8,"0"),CONCATENATE(TEXT(BI8,"0"),"*"))))</f>
        <v/>
      </c>
      <c r="BK8" s="453" t="str">
        <f t="shared" ref="BK8:BK39" si="31">IF(ISNA($Z8),"",IF(OR($Z8=1,$Z8=2,$G8=""),"",IF(AB8=0,AG8,$AC8)))</f>
        <v/>
      </c>
      <c r="BL8" s="148" t="str">
        <f t="shared" ref="BL8:BL39" si="32">IF(ISBLANK(BH8),"",IF(BH8=0,"",BH8))</f>
        <v/>
      </c>
      <c r="BM8" s="453" t="str">
        <f t="shared" ref="BM8:BM39" si="33">IF($BH8=0,"",IF($BI8="NG","D",$BI8))</f>
        <v/>
      </c>
      <c r="BN8" s="453" t="str">
        <f t="shared" ref="BN8:BN39" si="34">IF(ISNA(U8),"",IF($BH8=0,"",IF($BI8="NG","D",BK8)))</f>
        <v/>
      </c>
      <c r="BO8" s="149" t="s">
        <v>341</v>
      </c>
      <c r="BP8" s="150"/>
    </row>
    <row r="9" spans="2:73" s="94" customFormat="1" ht="12.95" customHeight="1" x14ac:dyDescent="0.2">
      <c r="B9" s="151">
        <f>IF(ISNA(Z9),"",IF(OR(Z9=1,Z9=2),"    ",MAX($B$8:B8)+1))</f>
        <v>1</v>
      </c>
      <c r="C9" s="904" t="str">
        <f t="shared" si="0"/>
        <v>Basic Aircraft Procedures (3.8%)</v>
      </c>
      <c r="D9" s="904"/>
      <c r="E9" s="904"/>
      <c r="F9" s="905"/>
      <c r="G9" s="133">
        <f t="shared" si="1"/>
        <v>1</v>
      </c>
      <c r="H9" s="134" t="str">
        <f t="shared" si="2"/>
        <v>2*</v>
      </c>
      <c r="I9" s="152">
        <f t="shared" si="2"/>
        <v>3</v>
      </c>
      <c r="J9" s="153"/>
      <c r="K9" s="154"/>
      <c r="L9" s="1015"/>
      <c r="M9" s="1016"/>
      <c r="N9" s="1016"/>
      <c r="O9" s="1016"/>
      <c r="P9" s="1016"/>
      <c r="Q9" s="1016"/>
      <c r="R9" s="1017"/>
      <c r="T9" s="99">
        <v>2</v>
      </c>
      <c r="U9" s="88" t="s">
        <v>342</v>
      </c>
      <c r="V9" s="453">
        <v>1</v>
      </c>
      <c r="W9" s="453" t="s">
        <v>340</v>
      </c>
      <c r="X9" s="453">
        <v>1</v>
      </c>
      <c r="Y9" s="453" t="s">
        <v>340</v>
      </c>
      <c r="Z9" s="146" t="s">
        <v>340</v>
      </c>
      <c r="AA9" s="146">
        <v>1</v>
      </c>
      <c r="AB9" s="146">
        <v>0</v>
      </c>
      <c r="AC9" s="453">
        <v>3</v>
      </c>
      <c r="AD9" s="453">
        <v>2</v>
      </c>
      <c r="AE9" s="453">
        <v>1</v>
      </c>
      <c r="AF9" s="453" t="b">
        <v>1</v>
      </c>
      <c r="AG9" s="453">
        <f t="shared" si="3"/>
        <v>3</v>
      </c>
      <c r="AH9" s="453">
        <f t="shared" si="4"/>
        <v>2</v>
      </c>
      <c r="AI9" s="138">
        <f>IF(NOT(OR(Z9=1,Z9=2)),IF(AQ9&gt;0,$AR$44*AQ9/SUMIF($AQ$8:$AQ$39,"&gt;0"),IF(AU9&gt;0,$AV$44*AU9/SUMIF($AU$8:$AU$39,"&gt;0"),IF(AS9&gt;0,$AT$44*AS9/SUMIF($AS$8:$AS$39,"&gt;0"),""))),IF(SUMIF(AJ10:$AJ$39,"=" &amp; AJ9,AI10:$AI$39)=0,"",SUMIF(AJ10:$AJ$39,"=" &amp; AJ9,AI10:$AI$39)))</f>
        <v>3.8095238095238092E-2</v>
      </c>
      <c r="AJ9" s="139">
        <f t="shared" ref="AJ9:AJ39" si="35">IF(OR(Z9=1,Z9=2,AA9&lt;AA8),AJ8+1,AJ8)</f>
        <v>0</v>
      </c>
      <c r="AK9" s="453">
        <f t="shared" si="5"/>
        <v>2</v>
      </c>
      <c r="AL9" s="146" t="str">
        <f t="shared" si="6"/>
        <v/>
      </c>
      <c r="AM9" s="146" t="str">
        <f t="shared" si="7"/>
        <v/>
      </c>
      <c r="AN9" s="146" t="str">
        <f t="shared" si="8"/>
        <v/>
      </c>
      <c r="AO9" s="146">
        <f t="shared" si="9"/>
        <v>3</v>
      </c>
      <c r="AP9" s="453" t="b">
        <f t="shared" si="10"/>
        <v>1</v>
      </c>
      <c r="AQ9" s="140">
        <f t="shared" si="11"/>
        <v>0</v>
      </c>
      <c r="AR9" s="141" t="str">
        <f t="shared" si="12"/>
        <v/>
      </c>
      <c r="AS9" s="142">
        <f t="shared" si="13"/>
        <v>1</v>
      </c>
      <c r="AT9" s="141" t="str">
        <f t="shared" si="14"/>
        <v/>
      </c>
      <c r="AU9" s="143">
        <f t="shared" si="15"/>
        <v>0</v>
      </c>
      <c r="AV9" s="144" t="str">
        <f t="shared" si="16"/>
        <v/>
      </c>
      <c r="AW9" s="143" t="b">
        <f t="shared" si="17"/>
        <v>1</v>
      </c>
      <c r="AX9" s="145" t="b">
        <f t="shared" si="18"/>
        <v>0</v>
      </c>
      <c r="AY9" s="143" t="b">
        <f t="shared" si="19"/>
        <v>0</v>
      </c>
      <c r="AZ9" s="145" t="b">
        <f t="shared" si="20"/>
        <v>0</v>
      </c>
      <c r="BA9" s="453" t="b">
        <f t="shared" si="21"/>
        <v>0</v>
      </c>
      <c r="BB9" s="453" t="b">
        <f t="shared" si="22"/>
        <v>0</v>
      </c>
      <c r="BC9" s="143" t="b">
        <f t="shared" si="23"/>
        <v>0</v>
      </c>
      <c r="BD9" s="146" t="b">
        <f t="shared" si="24"/>
        <v>0</v>
      </c>
      <c r="BE9" s="145" t="b">
        <f t="shared" si="25"/>
        <v>0</v>
      </c>
      <c r="BF9" s="147" t="b">
        <f t="shared" si="26"/>
        <v>0</v>
      </c>
      <c r="BG9" s="453" t="b">
        <f t="shared" si="27"/>
        <v>1</v>
      </c>
      <c r="BH9" s="453">
        <f t="shared" si="28"/>
        <v>1</v>
      </c>
      <c r="BI9" s="453">
        <f t="shared" si="29"/>
        <v>2</v>
      </c>
      <c r="BJ9" s="453" t="str">
        <f t="shared" si="30"/>
        <v>2*</v>
      </c>
      <c r="BK9" s="453">
        <f t="shared" si="31"/>
        <v>3</v>
      </c>
      <c r="BL9" s="148">
        <f t="shared" si="32"/>
        <v>1</v>
      </c>
      <c r="BM9" s="453">
        <f t="shared" si="33"/>
        <v>2</v>
      </c>
      <c r="BN9" s="453">
        <f t="shared" si="34"/>
        <v>3</v>
      </c>
      <c r="BO9" s="155" t="s">
        <v>343</v>
      </c>
      <c r="BP9" s="156" t="s">
        <v>344</v>
      </c>
    </row>
    <row r="10" spans="2:73" s="94" customFormat="1" ht="12.95" customHeight="1" x14ac:dyDescent="0.2">
      <c r="B10" s="151">
        <f>IF(ISNA(Z10),"",IF(OR(Z10=1,Z10=2),"    ",MAX($B$8:B9)+1))</f>
        <v>2</v>
      </c>
      <c r="C10" s="904" t="str">
        <f t="shared" si="0"/>
        <v>Basic Aircraft Handling (3.8%)</v>
      </c>
      <c r="D10" s="904"/>
      <c r="E10" s="904"/>
      <c r="F10" s="905"/>
      <c r="G10" s="133">
        <f t="shared" si="1"/>
        <v>1</v>
      </c>
      <c r="H10" s="134" t="str">
        <f t="shared" si="2"/>
        <v>2*</v>
      </c>
      <c r="I10" s="152">
        <f t="shared" si="2"/>
        <v>3</v>
      </c>
      <c r="J10" s="157"/>
      <c r="K10" s="154"/>
      <c r="L10" s="1015"/>
      <c r="M10" s="1016"/>
      <c r="N10" s="1016"/>
      <c r="O10" s="1016"/>
      <c r="P10" s="1016"/>
      <c r="Q10" s="1016"/>
      <c r="R10" s="1017"/>
      <c r="T10" s="99">
        <v>3</v>
      </c>
      <c r="U10" s="88" t="s">
        <v>551</v>
      </c>
      <c r="V10" s="453">
        <v>1</v>
      </c>
      <c r="W10" s="453" t="s">
        <v>340</v>
      </c>
      <c r="X10" s="453">
        <v>1</v>
      </c>
      <c r="Y10" s="453" t="s">
        <v>340</v>
      </c>
      <c r="Z10" s="146" t="s">
        <v>340</v>
      </c>
      <c r="AA10" s="146">
        <v>1</v>
      </c>
      <c r="AB10" s="146">
        <v>0</v>
      </c>
      <c r="AC10" s="453">
        <v>3</v>
      </c>
      <c r="AD10" s="453">
        <v>2</v>
      </c>
      <c r="AE10" s="453">
        <v>1</v>
      </c>
      <c r="AF10" s="453" t="b">
        <v>1</v>
      </c>
      <c r="AG10" s="453">
        <f t="shared" si="3"/>
        <v>3</v>
      </c>
      <c r="AH10" s="453">
        <f t="shared" si="4"/>
        <v>2</v>
      </c>
      <c r="AI10" s="138">
        <f>IF(NOT(OR(Z10=1,Z10=2)),IF(AQ10&gt;0,$AR$44*AQ10/SUMIF($AQ$8:$AQ$39,"&gt;0"),IF(AU10&gt;0,$AV$44*AU10/SUMIF($AU$8:$AU$39,"&gt;0"),IF(AS10&gt;0,$AT$44*AS10/SUMIF($AS$8:$AS$39,"&gt;0"),""))),IF(SUMIF(AJ11:$AJ$39,"=" &amp; AJ10,AI11:$AI$39)=0,"",SUMIF(AJ11:$AJ$39,"=" &amp; AJ10,AI11:$AI$39)))</f>
        <v>3.8095238095238092E-2</v>
      </c>
      <c r="AJ10" s="139">
        <f t="shared" si="35"/>
        <v>0</v>
      </c>
      <c r="AK10" s="453">
        <f t="shared" si="5"/>
        <v>2</v>
      </c>
      <c r="AL10" s="146" t="str">
        <f t="shared" si="6"/>
        <v/>
      </c>
      <c r="AM10" s="146" t="str">
        <f t="shared" si="7"/>
        <v/>
      </c>
      <c r="AN10" s="146" t="str">
        <f t="shared" si="8"/>
        <v/>
      </c>
      <c r="AO10" s="146">
        <f t="shared" si="9"/>
        <v>3</v>
      </c>
      <c r="AP10" s="453" t="b">
        <f t="shared" si="10"/>
        <v>1</v>
      </c>
      <c r="AQ10" s="140">
        <f t="shared" si="11"/>
        <v>0</v>
      </c>
      <c r="AR10" s="141" t="str">
        <f t="shared" si="12"/>
        <v/>
      </c>
      <c r="AS10" s="142">
        <f t="shared" si="13"/>
        <v>1</v>
      </c>
      <c r="AT10" s="141" t="str">
        <f t="shared" si="14"/>
        <v/>
      </c>
      <c r="AU10" s="143">
        <f t="shared" si="15"/>
        <v>0</v>
      </c>
      <c r="AV10" s="144" t="str">
        <f t="shared" si="16"/>
        <v/>
      </c>
      <c r="AW10" s="143" t="b">
        <f t="shared" si="17"/>
        <v>1</v>
      </c>
      <c r="AX10" s="145" t="b">
        <f t="shared" si="18"/>
        <v>0</v>
      </c>
      <c r="AY10" s="143" t="b">
        <f t="shared" si="19"/>
        <v>0</v>
      </c>
      <c r="AZ10" s="145" t="b">
        <f t="shared" si="20"/>
        <v>0</v>
      </c>
      <c r="BA10" s="453" t="b">
        <f t="shared" si="21"/>
        <v>0</v>
      </c>
      <c r="BB10" s="453" t="b">
        <f t="shared" si="22"/>
        <v>0</v>
      </c>
      <c r="BC10" s="143" t="b">
        <f t="shared" si="23"/>
        <v>0</v>
      </c>
      <c r="BD10" s="146" t="b">
        <f t="shared" si="24"/>
        <v>0</v>
      </c>
      <c r="BE10" s="145" t="b">
        <f t="shared" si="25"/>
        <v>0</v>
      </c>
      <c r="BF10" s="147" t="b">
        <f t="shared" si="26"/>
        <v>0</v>
      </c>
      <c r="BG10" s="453" t="b">
        <f t="shared" si="27"/>
        <v>1</v>
      </c>
      <c r="BH10" s="453">
        <f t="shared" si="28"/>
        <v>1</v>
      </c>
      <c r="BI10" s="453">
        <f t="shared" si="29"/>
        <v>2</v>
      </c>
      <c r="BJ10" s="453" t="str">
        <f t="shared" si="30"/>
        <v>2*</v>
      </c>
      <c r="BK10" s="453">
        <f t="shared" si="31"/>
        <v>3</v>
      </c>
      <c r="BL10" s="148">
        <f t="shared" si="32"/>
        <v>1</v>
      </c>
      <c r="BM10" s="453">
        <f t="shared" si="33"/>
        <v>2</v>
      </c>
      <c r="BN10" s="453">
        <f t="shared" si="34"/>
        <v>3</v>
      </c>
      <c r="BO10" s="155">
        <v>0</v>
      </c>
      <c r="BP10" s="156" t="s">
        <v>346</v>
      </c>
    </row>
    <row r="11" spans="2:73" s="94" customFormat="1" ht="12.95" customHeight="1" x14ac:dyDescent="0.2">
      <c r="B11" s="151">
        <f>IF(ISNA(Z11),"",IF(OR(Z11=1,Z11=2),"    ",MAX($B$8:B10)+1))</f>
        <v>3</v>
      </c>
      <c r="C11" s="904" t="str">
        <f t="shared" si="0"/>
        <v>Local Area Proc./Orientation/Comm (3.8%)</v>
      </c>
      <c r="D11" s="904"/>
      <c r="E11" s="904"/>
      <c r="F11" s="905"/>
      <c r="G11" s="133">
        <f t="shared" si="1"/>
        <v>1</v>
      </c>
      <c r="H11" s="134" t="str">
        <f t="shared" si="2"/>
        <v>2*</v>
      </c>
      <c r="I11" s="152">
        <f t="shared" si="2"/>
        <v>3</v>
      </c>
      <c r="J11" s="157"/>
      <c r="K11" s="154"/>
      <c r="L11" s="1015"/>
      <c r="M11" s="1016"/>
      <c r="N11" s="1016"/>
      <c r="O11" s="1016"/>
      <c r="P11" s="1016"/>
      <c r="Q11" s="1016"/>
      <c r="R11" s="1017"/>
      <c r="T11" s="99">
        <v>4</v>
      </c>
      <c r="U11" s="88" t="s">
        <v>345</v>
      </c>
      <c r="V11" s="453">
        <v>1</v>
      </c>
      <c r="W11" s="453" t="s">
        <v>340</v>
      </c>
      <c r="X11" s="453">
        <v>1</v>
      </c>
      <c r="Y11" s="453" t="s">
        <v>340</v>
      </c>
      <c r="Z11" s="146" t="s">
        <v>340</v>
      </c>
      <c r="AA11" s="146">
        <v>1</v>
      </c>
      <c r="AB11" s="146">
        <v>0</v>
      </c>
      <c r="AC11" s="453">
        <v>3</v>
      </c>
      <c r="AD11" s="453">
        <v>2</v>
      </c>
      <c r="AE11" s="453">
        <v>1</v>
      </c>
      <c r="AF11" s="453" t="b">
        <v>1</v>
      </c>
      <c r="AG11" s="453">
        <f t="shared" si="3"/>
        <v>3</v>
      </c>
      <c r="AH11" s="453">
        <f t="shared" si="4"/>
        <v>2</v>
      </c>
      <c r="AI11" s="138">
        <f>IF(NOT(OR(Z11=1,Z11=2)),IF(AQ11&gt;0,$AR$44*AQ11/SUMIF($AQ$8:$AQ$39,"&gt;0"),IF(AU11&gt;0,$AV$44*AU11/SUMIF($AU$8:$AU$39,"&gt;0"),IF(AS11&gt;0,$AT$44*AS11/SUMIF($AS$8:$AS$39,"&gt;0"),""))),IF(SUMIF(AJ12:$AJ$39,"=" &amp; AJ11,AI12:$AI$39)=0,"",SUMIF(AJ12:$AJ$39,"=" &amp; AJ11,AI12:$AI$39)))</f>
        <v>3.8095238095238092E-2</v>
      </c>
      <c r="AJ11" s="139">
        <f t="shared" si="35"/>
        <v>0</v>
      </c>
      <c r="AK11" s="453">
        <f t="shared" si="5"/>
        <v>2</v>
      </c>
      <c r="AL11" s="146" t="str">
        <f t="shared" si="6"/>
        <v/>
      </c>
      <c r="AM11" s="146" t="str">
        <f t="shared" si="7"/>
        <v/>
      </c>
      <c r="AN11" s="146" t="str">
        <f t="shared" si="8"/>
        <v/>
      </c>
      <c r="AO11" s="146">
        <f t="shared" si="9"/>
        <v>3</v>
      </c>
      <c r="AP11" s="453" t="b">
        <f t="shared" si="10"/>
        <v>1</v>
      </c>
      <c r="AQ11" s="140">
        <f t="shared" si="11"/>
        <v>0</v>
      </c>
      <c r="AR11" s="141" t="str">
        <f t="shared" si="12"/>
        <v/>
      </c>
      <c r="AS11" s="142">
        <f t="shared" si="13"/>
        <v>1</v>
      </c>
      <c r="AT11" s="141" t="str">
        <f t="shared" si="14"/>
        <v/>
      </c>
      <c r="AU11" s="143">
        <f t="shared" si="15"/>
        <v>0</v>
      </c>
      <c r="AV11" s="144" t="str">
        <f t="shared" si="16"/>
        <v/>
      </c>
      <c r="AW11" s="143" t="b">
        <f t="shared" si="17"/>
        <v>1</v>
      </c>
      <c r="AX11" s="145" t="b">
        <f t="shared" si="18"/>
        <v>0</v>
      </c>
      <c r="AY11" s="143" t="b">
        <f t="shared" si="19"/>
        <v>0</v>
      </c>
      <c r="AZ11" s="145" t="b">
        <f t="shared" si="20"/>
        <v>0</v>
      </c>
      <c r="BA11" s="453" t="b">
        <f t="shared" si="21"/>
        <v>0</v>
      </c>
      <c r="BB11" s="453" t="b">
        <f t="shared" si="22"/>
        <v>0</v>
      </c>
      <c r="BC11" s="143" t="b">
        <f t="shared" si="23"/>
        <v>0</v>
      </c>
      <c r="BD11" s="146" t="b">
        <f t="shared" si="24"/>
        <v>0</v>
      </c>
      <c r="BE11" s="145" t="b">
        <f t="shared" si="25"/>
        <v>0</v>
      </c>
      <c r="BF11" s="147" t="b">
        <f t="shared" si="26"/>
        <v>0</v>
      </c>
      <c r="BG11" s="453" t="b">
        <f t="shared" si="27"/>
        <v>1</v>
      </c>
      <c r="BH11" s="453">
        <f t="shared" si="28"/>
        <v>1</v>
      </c>
      <c r="BI11" s="453">
        <f t="shared" si="29"/>
        <v>2</v>
      </c>
      <c r="BJ11" s="453" t="str">
        <f t="shared" si="30"/>
        <v>2*</v>
      </c>
      <c r="BK11" s="453">
        <f t="shared" si="31"/>
        <v>3</v>
      </c>
      <c r="BL11" s="148">
        <f t="shared" si="32"/>
        <v>1</v>
      </c>
      <c r="BM11" s="453">
        <f t="shared" si="33"/>
        <v>2</v>
      </c>
      <c r="BN11" s="453">
        <f t="shared" si="34"/>
        <v>3</v>
      </c>
      <c r="BO11" s="155">
        <v>1</v>
      </c>
      <c r="BP11" s="156" t="s">
        <v>348</v>
      </c>
    </row>
    <row r="12" spans="2:73" s="94" customFormat="1" ht="12.95" customHeight="1" x14ac:dyDescent="0.2">
      <c r="B12" s="151">
        <f>IF(ISNA(Z12),"",IF(OR(Z12=1,Z12=2),"    ",MAX($B$8:B11)+1))</f>
        <v>4</v>
      </c>
      <c r="C12" s="904" t="str">
        <f t="shared" si="0"/>
        <v>Situational Awareness/Judgement (3.8%)</v>
      </c>
      <c r="D12" s="904"/>
      <c r="E12" s="904"/>
      <c r="F12" s="905"/>
      <c r="G12" s="133">
        <f t="shared" si="1"/>
        <v>1</v>
      </c>
      <c r="H12" s="134" t="str">
        <f t="shared" si="2"/>
        <v>2*</v>
      </c>
      <c r="I12" s="152">
        <f t="shared" si="2"/>
        <v>3</v>
      </c>
      <c r="J12" s="157"/>
      <c r="K12" s="154"/>
      <c r="L12" s="1015"/>
      <c r="M12" s="1016"/>
      <c r="N12" s="1016"/>
      <c r="O12" s="1016"/>
      <c r="P12" s="1016"/>
      <c r="Q12" s="1016"/>
      <c r="R12" s="1017"/>
      <c r="T12" s="99">
        <v>5</v>
      </c>
      <c r="U12" s="88" t="s">
        <v>347</v>
      </c>
      <c r="V12" s="453">
        <v>1</v>
      </c>
      <c r="W12" s="453" t="s">
        <v>340</v>
      </c>
      <c r="X12" s="453">
        <v>1</v>
      </c>
      <c r="Y12" s="453" t="s">
        <v>340</v>
      </c>
      <c r="Z12" s="146" t="s">
        <v>340</v>
      </c>
      <c r="AA12" s="146">
        <v>1</v>
      </c>
      <c r="AB12" s="146">
        <v>0</v>
      </c>
      <c r="AC12" s="453">
        <v>3</v>
      </c>
      <c r="AD12" s="453">
        <v>2</v>
      </c>
      <c r="AE12" s="453">
        <v>1</v>
      </c>
      <c r="AF12" s="453" t="b">
        <v>1</v>
      </c>
      <c r="AG12" s="453">
        <f t="shared" si="3"/>
        <v>3</v>
      </c>
      <c r="AH12" s="453">
        <f t="shared" si="4"/>
        <v>2</v>
      </c>
      <c r="AI12" s="138">
        <f>IF(NOT(OR(Z12=1,Z12=2)),IF(AQ12&gt;0,$AR$44*AQ12/SUMIF($AQ$8:$AQ$39,"&gt;0"),IF(AU12&gt;0,$AV$44*AU12/SUMIF($AU$8:$AU$39,"&gt;0"),IF(AS12&gt;0,$AT$44*AS12/SUMIF($AS$8:$AS$39,"&gt;0"),""))),IF(SUMIF(AJ13:$AJ$39,"=" &amp; AJ12,AI13:$AI$39)=0,"",SUMIF(AJ13:$AJ$39,"=" &amp; AJ12,AI13:$AI$39)))</f>
        <v>3.8095238095238092E-2</v>
      </c>
      <c r="AJ12" s="139">
        <f t="shared" si="35"/>
        <v>0</v>
      </c>
      <c r="AK12" s="453">
        <f t="shared" si="5"/>
        <v>2</v>
      </c>
      <c r="AL12" s="146" t="str">
        <f t="shared" si="6"/>
        <v/>
      </c>
      <c r="AM12" s="146" t="str">
        <f t="shared" si="7"/>
        <v/>
      </c>
      <c r="AN12" s="146" t="str">
        <f t="shared" si="8"/>
        <v/>
      </c>
      <c r="AO12" s="146">
        <f t="shared" si="9"/>
        <v>3</v>
      </c>
      <c r="AP12" s="453" t="b">
        <f t="shared" si="10"/>
        <v>1</v>
      </c>
      <c r="AQ12" s="140">
        <f t="shared" si="11"/>
        <v>0</v>
      </c>
      <c r="AR12" s="141" t="str">
        <f t="shared" si="12"/>
        <v/>
      </c>
      <c r="AS12" s="142">
        <f t="shared" si="13"/>
        <v>1</v>
      </c>
      <c r="AT12" s="141" t="str">
        <f t="shared" si="14"/>
        <v/>
      </c>
      <c r="AU12" s="143">
        <f t="shared" si="15"/>
        <v>0</v>
      </c>
      <c r="AV12" s="144" t="str">
        <f t="shared" si="16"/>
        <v/>
      </c>
      <c r="AW12" s="143" t="b">
        <f t="shared" si="17"/>
        <v>1</v>
      </c>
      <c r="AX12" s="145" t="b">
        <f t="shared" si="18"/>
        <v>0</v>
      </c>
      <c r="AY12" s="143" t="b">
        <f t="shared" si="19"/>
        <v>0</v>
      </c>
      <c r="AZ12" s="145" t="b">
        <f t="shared" si="20"/>
        <v>0</v>
      </c>
      <c r="BA12" s="453" t="b">
        <f t="shared" si="21"/>
        <v>0</v>
      </c>
      <c r="BB12" s="453" t="b">
        <f t="shared" si="22"/>
        <v>0</v>
      </c>
      <c r="BC12" s="143" t="b">
        <f t="shared" si="23"/>
        <v>0</v>
      </c>
      <c r="BD12" s="146" t="b">
        <f t="shared" si="24"/>
        <v>0</v>
      </c>
      <c r="BE12" s="145" t="b">
        <f t="shared" si="25"/>
        <v>0</v>
      </c>
      <c r="BF12" s="147" t="b">
        <f t="shared" si="26"/>
        <v>0</v>
      </c>
      <c r="BG12" s="453" t="b">
        <f t="shared" si="27"/>
        <v>1</v>
      </c>
      <c r="BH12" s="453">
        <f t="shared" si="28"/>
        <v>1</v>
      </c>
      <c r="BI12" s="453">
        <f t="shared" si="29"/>
        <v>2</v>
      </c>
      <c r="BJ12" s="453" t="str">
        <f t="shared" si="30"/>
        <v>2*</v>
      </c>
      <c r="BK12" s="453">
        <f t="shared" si="31"/>
        <v>3</v>
      </c>
      <c r="BL12" s="148">
        <f t="shared" si="32"/>
        <v>1</v>
      </c>
      <c r="BM12" s="453">
        <f t="shared" si="33"/>
        <v>2</v>
      </c>
      <c r="BN12" s="453">
        <f t="shared" si="34"/>
        <v>3</v>
      </c>
      <c r="BO12" s="155">
        <v>2</v>
      </c>
      <c r="BP12" s="156" t="s">
        <v>350</v>
      </c>
    </row>
    <row r="13" spans="2:73" s="94" customFormat="1" ht="12.95" customHeight="1" x14ac:dyDescent="0.2">
      <c r="B13" s="151">
        <f>IF(ISNA(Z13),"",IF(OR(Z13=1,Z13=2),"    ",MAX($B$8:B12)+1))</f>
        <v>5</v>
      </c>
      <c r="C13" s="904" t="str">
        <f t="shared" si="0"/>
        <v>Clearing/Visual Lookout (3.8%)</v>
      </c>
      <c r="D13" s="904"/>
      <c r="E13" s="904"/>
      <c r="F13" s="905"/>
      <c r="G13" s="133">
        <f t="shared" si="1"/>
        <v>1</v>
      </c>
      <c r="H13" s="134" t="str">
        <f t="shared" si="2"/>
        <v>2*</v>
      </c>
      <c r="I13" s="152">
        <f t="shared" si="2"/>
        <v>3</v>
      </c>
      <c r="J13" s="157"/>
      <c r="K13" s="154"/>
      <c r="L13" s="1015"/>
      <c r="M13" s="1016"/>
      <c r="N13" s="1016"/>
      <c r="O13" s="1016"/>
      <c r="P13" s="1016"/>
      <c r="Q13" s="1016"/>
      <c r="R13" s="1017"/>
      <c r="T13" s="99">
        <v>6</v>
      </c>
      <c r="U13" s="88" t="s">
        <v>349</v>
      </c>
      <c r="V13" s="453">
        <v>1</v>
      </c>
      <c r="W13" s="453" t="s">
        <v>340</v>
      </c>
      <c r="X13" s="453">
        <v>1</v>
      </c>
      <c r="Y13" s="453" t="s">
        <v>340</v>
      </c>
      <c r="Z13" s="146" t="s">
        <v>340</v>
      </c>
      <c r="AA13" s="146">
        <v>1</v>
      </c>
      <c r="AB13" s="146">
        <v>0</v>
      </c>
      <c r="AC13" s="453">
        <v>3</v>
      </c>
      <c r="AD13" s="453">
        <v>2</v>
      </c>
      <c r="AE13" s="453">
        <v>1</v>
      </c>
      <c r="AF13" s="453" t="b">
        <v>1</v>
      </c>
      <c r="AG13" s="453">
        <f t="shared" si="3"/>
        <v>3</v>
      </c>
      <c r="AH13" s="453">
        <f t="shared" si="4"/>
        <v>2</v>
      </c>
      <c r="AI13" s="138">
        <f>IF(NOT(OR(Z13=1,Z13=2)),IF(AQ13&gt;0,$AR$44*AQ13/SUMIF($AQ$8:$AQ$39,"&gt;0"),IF(AU13&gt;0,$AV$44*AU13/SUMIF($AU$8:$AU$39,"&gt;0"),IF(AS13&gt;0,$AT$44*AS13/SUMIF($AS$8:$AS$39,"&gt;0"),""))),IF(SUMIF(AJ14:$AJ$39,"=" &amp; AJ13,AI14:$AI$39)=0,"",SUMIF(AJ14:$AJ$39,"=" &amp; AJ13,AI14:$AI$39)))</f>
        <v>3.8095238095238092E-2</v>
      </c>
      <c r="AJ13" s="139">
        <f t="shared" si="35"/>
        <v>0</v>
      </c>
      <c r="AK13" s="453">
        <f t="shared" si="5"/>
        <v>2</v>
      </c>
      <c r="AL13" s="146" t="str">
        <f t="shared" si="6"/>
        <v/>
      </c>
      <c r="AM13" s="146" t="str">
        <f t="shared" si="7"/>
        <v/>
      </c>
      <c r="AN13" s="146" t="str">
        <f t="shared" si="8"/>
        <v/>
      </c>
      <c r="AO13" s="146">
        <f t="shared" si="9"/>
        <v>3</v>
      </c>
      <c r="AP13" s="453" t="b">
        <f t="shared" si="10"/>
        <v>1</v>
      </c>
      <c r="AQ13" s="140">
        <f t="shared" si="11"/>
        <v>0</v>
      </c>
      <c r="AR13" s="141" t="str">
        <f t="shared" si="12"/>
        <v/>
      </c>
      <c r="AS13" s="142">
        <f t="shared" si="13"/>
        <v>1</v>
      </c>
      <c r="AT13" s="141" t="str">
        <f t="shared" si="14"/>
        <v/>
      </c>
      <c r="AU13" s="143">
        <f t="shared" si="15"/>
        <v>0</v>
      </c>
      <c r="AV13" s="144" t="str">
        <f t="shared" si="16"/>
        <v/>
      </c>
      <c r="AW13" s="143" t="b">
        <f t="shared" si="17"/>
        <v>1</v>
      </c>
      <c r="AX13" s="145" t="b">
        <f t="shared" si="18"/>
        <v>0</v>
      </c>
      <c r="AY13" s="143" t="b">
        <f t="shared" si="19"/>
        <v>0</v>
      </c>
      <c r="AZ13" s="145" t="b">
        <f t="shared" si="20"/>
        <v>0</v>
      </c>
      <c r="BA13" s="453" t="b">
        <f t="shared" si="21"/>
        <v>0</v>
      </c>
      <c r="BB13" s="453" t="b">
        <f t="shared" si="22"/>
        <v>0</v>
      </c>
      <c r="BC13" s="143" t="b">
        <f t="shared" si="23"/>
        <v>0</v>
      </c>
      <c r="BD13" s="146" t="b">
        <f t="shared" si="24"/>
        <v>0</v>
      </c>
      <c r="BE13" s="145" t="b">
        <f t="shared" si="25"/>
        <v>0</v>
      </c>
      <c r="BF13" s="147" t="b">
        <f t="shared" si="26"/>
        <v>0</v>
      </c>
      <c r="BG13" s="453" t="b">
        <f t="shared" si="27"/>
        <v>1</v>
      </c>
      <c r="BH13" s="453">
        <f t="shared" si="28"/>
        <v>1</v>
      </c>
      <c r="BI13" s="453">
        <f t="shared" si="29"/>
        <v>2</v>
      </c>
      <c r="BJ13" s="453" t="str">
        <f t="shared" si="30"/>
        <v>2*</v>
      </c>
      <c r="BK13" s="453">
        <f t="shared" si="31"/>
        <v>3</v>
      </c>
      <c r="BL13" s="148">
        <f t="shared" si="32"/>
        <v>1</v>
      </c>
      <c r="BM13" s="453">
        <f t="shared" si="33"/>
        <v>2</v>
      </c>
      <c r="BN13" s="453">
        <f t="shared" si="34"/>
        <v>3</v>
      </c>
      <c r="BO13" s="155">
        <v>3</v>
      </c>
      <c r="BP13" s="156" t="s">
        <v>352</v>
      </c>
    </row>
    <row r="14" spans="2:73" s="94" customFormat="1" ht="12.95" customHeight="1" x14ac:dyDescent="0.2">
      <c r="B14" s="151" t="str">
        <f>IF(ISNA(Z14),"",IF(OR(Z14=1,Z14=2),"    ",MAX($B$8:B13)+1))</f>
        <v xml:space="preserve">    </v>
      </c>
      <c r="C14" s="904" t="str">
        <f t="shared" si="0"/>
        <v>Academic Tasks</v>
      </c>
      <c r="D14" s="904"/>
      <c r="E14" s="904"/>
      <c r="F14" s="905"/>
      <c r="G14" s="133" t="str">
        <f t="shared" si="1"/>
        <v/>
      </c>
      <c r="H14" s="134" t="str">
        <f t="shared" si="2"/>
        <v/>
      </c>
      <c r="I14" s="152" t="str">
        <f t="shared" si="2"/>
        <v/>
      </c>
      <c r="J14" s="158"/>
      <c r="K14" s="159"/>
      <c r="L14" s="1015"/>
      <c r="M14" s="1016"/>
      <c r="N14" s="1016"/>
      <c r="O14" s="1016"/>
      <c r="P14" s="1016"/>
      <c r="Q14" s="1016"/>
      <c r="R14" s="1017"/>
      <c r="T14" s="99">
        <v>7</v>
      </c>
      <c r="U14" s="88" t="s">
        <v>351</v>
      </c>
      <c r="V14" s="453" t="s">
        <v>340</v>
      </c>
      <c r="W14" s="453" t="s">
        <v>340</v>
      </c>
      <c r="X14" s="453" t="s">
        <v>340</v>
      </c>
      <c r="Y14" s="453" t="s">
        <v>340</v>
      </c>
      <c r="Z14" s="146">
        <v>1</v>
      </c>
      <c r="AA14" s="146">
        <v>0</v>
      </c>
      <c r="AB14" s="146">
        <v>1</v>
      </c>
      <c r="AC14" s="453" t="s">
        <v>340</v>
      </c>
      <c r="AD14" s="453" t="s">
        <v>340</v>
      </c>
      <c r="AE14" s="453">
        <v>0</v>
      </c>
      <c r="AF14" s="453" t="s">
        <v>340</v>
      </c>
      <c r="AG14" s="453" t="str">
        <f t="shared" si="3"/>
        <v/>
      </c>
      <c r="AH14" s="453" t="str">
        <f t="shared" si="4"/>
        <v/>
      </c>
      <c r="AI14" s="138" t="str">
        <f>IF(NOT(OR(Z14=1,Z14=2)),IF(AQ14&gt;0,$AR$44*AQ14/SUMIF($AQ$8:$AQ$39,"&gt;0"),IF(AU14&gt;0,$AV$44*AU14/SUMIF($AU$8:$AU$39,"&gt;0"),IF(AS14&gt;0,$AT$44*AS14/SUMIF($AS$8:$AS$39,"&gt;0"),""))),IF(SUMIF(AJ15:$AJ$39,"=" &amp; AJ14,AI15:$AI$39)=0,"",SUMIF(AJ15:$AJ$39,"=" &amp; AJ14,AI15:$AI$39)))</f>
        <v/>
      </c>
      <c r="AJ14" s="139">
        <f t="shared" si="35"/>
        <v>1</v>
      </c>
      <c r="AK14" s="453" t="str">
        <f t="shared" si="5"/>
        <v/>
      </c>
      <c r="AL14" s="146" t="str">
        <f t="shared" si="6"/>
        <v/>
      </c>
      <c r="AM14" s="146" t="str">
        <f t="shared" si="7"/>
        <v/>
      </c>
      <c r="AN14" s="146" t="str">
        <f t="shared" si="8"/>
        <v/>
      </c>
      <c r="AO14" s="146" t="str">
        <f t="shared" si="9"/>
        <v/>
      </c>
      <c r="AP14" s="453" t="str">
        <f t="shared" si="10"/>
        <v/>
      </c>
      <c r="AQ14" s="140">
        <f t="shared" si="11"/>
        <v>0</v>
      </c>
      <c r="AR14" s="141" t="str">
        <f t="shared" si="12"/>
        <v/>
      </c>
      <c r="AS14" s="142">
        <f t="shared" si="13"/>
        <v>0</v>
      </c>
      <c r="AT14" s="141" t="str">
        <f t="shared" si="14"/>
        <v/>
      </c>
      <c r="AU14" s="143">
        <f t="shared" si="15"/>
        <v>0</v>
      </c>
      <c r="AV14" s="144" t="str">
        <f t="shared" si="16"/>
        <v/>
      </c>
      <c r="AW14" s="143" t="b">
        <f t="shared" si="17"/>
        <v>0</v>
      </c>
      <c r="AX14" s="145" t="b">
        <f t="shared" si="18"/>
        <v>0</v>
      </c>
      <c r="AY14" s="143" t="b">
        <f t="shared" si="19"/>
        <v>0</v>
      </c>
      <c r="AZ14" s="145" t="b">
        <f t="shared" si="20"/>
        <v>0</v>
      </c>
      <c r="BA14" s="453" t="b">
        <f t="shared" si="21"/>
        <v>0</v>
      </c>
      <c r="BB14" s="453" t="b">
        <f t="shared" si="22"/>
        <v>0</v>
      </c>
      <c r="BC14" s="143" t="b">
        <f t="shared" si="23"/>
        <v>0</v>
      </c>
      <c r="BD14" s="146" t="b">
        <f t="shared" si="24"/>
        <v>0</v>
      </c>
      <c r="BE14" s="145" t="b">
        <f t="shared" si="25"/>
        <v>0</v>
      </c>
      <c r="BF14" s="147" t="b">
        <f t="shared" si="26"/>
        <v>0</v>
      </c>
      <c r="BG14" s="453" t="b">
        <f t="shared" si="27"/>
        <v>0</v>
      </c>
      <c r="BH14" s="453" t="str">
        <f t="shared" si="28"/>
        <v/>
      </c>
      <c r="BI14" s="453" t="str">
        <f t="shared" si="29"/>
        <v/>
      </c>
      <c r="BJ14" s="453" t="str">
        <f t="shared" si="30"/>
        <v/>
      </c>
      <c r="BK14" s="453" t="str">
        <f t="shared" si="31"/>
        <v/>
      </c>
      <c r="BL14" s="148" t="str">
        <f t="shared" si="32"/>
        <v/>
      </c>
      <c r="BM14" s="453" t="str">
        <f t="shared" si="33"/>
        <v/>
      </c>
      <c r="BN14" s="453" t="str">
        <f t="shared" si="34"/>
        <v/>
      </c>
      <c r="BO14" s="155">
        <v>4</v>
      </c>
      <c r="BP14" s="156" t="s">
        <v>354</v>
      </c>
    </row>
    <row r="15" spans="2:73" s="94" customFormat="1" ht="12.95" customHeight="1" x14ac:dyDescent="0.2">
      <c r="B15" s="151" t="str">
        <f>IF(ISNA(Z15),"",IF(OR(Z15=1,Z15=2),"    ",MAX($B$8:B14)+1))</f>
        <v xml:space="preserve">    </v>
      </c>
      <c r="C15" s="904" t="str">
        <f t="shared" si="0"/>
        <v>Test Conduct (6.9%)</v>
      </c>
      <c r="D15" s="904"/>
      <c r="E15" s="904"/>
      <c r="F15" s="905"/>
      <c r="G15" s="133" t="str">
        <f t="shared" si="1"/>
        <v/>
      </c>
      <c r="H15" s="134" t="str">
        <f t="shared" si="2"/>
        <v/>
      </c>
      <c r="I15" s="152" t="str">
        <f t="shared" si="2"/>
        <v/>
      </c>
      <c r="J15" s="158"/>
      <c r="K15" s="159"/>
      <c r="L15" s="1015"/>
      <c r="M15" s="1016"/>
      <c r="N15" s="1016"/>
      <c r="O15" s="1016"/>
      <c r="P15" s="1016"/>
      <c r="Q15" s="1016"/>
      <c r="R15" s="1017"/>
      <c r="T15" s="99">
        <v>8</v>
      </c>
      <c r="U15" s="88" t="s">
        <v>353</v>
      </c>
      <c r="V15" s="453" t="s">
        <v>340</v>
      </c>
      <c r="W15" s="453" t="s">
        <v>340</v>
      </c>
      <c r="X15" s="453" t="s">
        <v>340</v>
      </c>
      <c r="Y15" s="453" t="s">
        <v>340</v>
      </c>
      <c r="Z15" s="146">
        <v>2</v>
      </c>
      <c r="AA15" s="146">
        <v>1</v>
      </c>
      <c r="AB15" s="146">
        <v>1</v>
      </c>
      <c r="AC15" s="453" t="s">
        <v>340</v>
      </c>
      <c r="AD15" s="453" t="s">
        <v>340</v>
      </c>
      <c r="AE15" s="453" t="s">
        <v>340</v>
      </c>
      <c r="AF15" s="453" t="s">
        <v>340</v>
      </c>
      <c r="AG15" s="453" t="str">
        <f t="shared" si="3"/>
        <v/>
      </c>
      <c r="AH15" s="453" t="str">
        <f t="shared" si="4"/>
        <v/>
      </c>
      <c r="AI15" s="138">
        <f>IF(NOT(OR(Z15=1,Z15=2)),IF(AQ15&gt;0,$AR$44*AQ15/SUMIF($AQ$8:$AQ$39,"&gt;0"),IF(AU15&gt;0,$AV$44*AU15/SUMIF($AU$8:$AU$39,"&gt;0"),IF(AS15&gt;0,$AT$44*AS15/SUMIF($AS$8:$AS$39,"&gt;0"),""))),IF(SUMIF(AJ16:$AJ$39,"=" &amp; AJ15,AI16:$AI$39)=0,"",SUMIF(AJ16:$AJ$39,"=" &amp; AJ15,AI16:$AI$39)))</f>
        <v>6.9387755102040816E-2</v>
      </c>
      <c r="AJ15" s="139">
        <f t="shared" si="35"/>
        <v>2</v>
      </c>
      <c r="AK15" s="453" t="str">
        <f t="shared" si="5"/>
        <v/>
      </c>
      <c r="AL15" s="146" t="str">
        <f t="shared" si="6"/>
        <v/>
      </c>
      <c r="AM15" s="146" t="str">
        <f t="shared" si="7"/>
        <v/>
      </c>
      <c r="AN15" s="146" t="str">
        <f t="shared" si="8"/>
        <v/>
      </c>
      <c r="AO15" s="146" t="str">
        <f t="shared" si="9"/>
        <v/>
      </c>
      <c r="AP15" s="453" t="str">
        <f t="shared" si="10"/>
        <v/>
      </c>
      <c r="AQ15" s="140">
        <f t="shared" si="11"/>
        <v>0</v>
      </c>
      <c r="AR15" s="141" t="str">
        <f t="shared" si="12"/>
        <v/>
      </c>
      <c r="AS15" s="142">
        <f t="shared" si="13"/>
        <v>0</v>
      </c>
      <c r="AT15" s="141" t="str">
        <f t="shared" si="14"/>
        <v/>
      </c>
      <c r="AU15" s="143">
        <f t="shared" si="15"/>
        <v>0</v>
      </c>
      <c r="AV15" s="144" t="str">
        <f t="shared" si="16"/>
        <v/>
      </c>
      <c r="AW15" s="143" t="b">
        <f t="shared" si="17"/>
        <v>0</v>
      </c>
      <c r="AX15" s="145" t="b">
        <f t="shared" si="18"/>
        <v>0</v>
      </c>
      <c r="AY15" s="143" t="b">
        <f t="shared" si="19"/>
        <v>0</v>
      </c>
      <c r="AZ15" s="145" t="b">
        <f t="shared" si="20"/>
        <v>0</v>
      </c>
      <c r="BA15" s="453" t="b">
        <f t="shared" si="21"/>
        <v>0</v>
      </c>
      <c r="BB15" s="453" t="b">
        <f t="shared" si="22"/>
        <v>0</v>
      </c>
      <c r="BC15" s="143" t="b">
        <f t="shared" si="23"/>
        <v>0</v>
      </c>
      <c r="BD15" s="146" t="b">
        <f t="shared" si="24"/>
        <v>0</v>
      </c>
      <c r="BE15" s="145" t="b">
        <f t="shared" si="25"/>
        <v>0</v>
      </c>
      <c r="BF15" s="147" t="b">
        <f t="shared" si="26"/>
        <v>0</v>
      </c>
      <c r="BG15" s="453" t="b">
        <f t="shared" si="27"/>
        <v>0</v>
      </c>
      <c r="BH15" s="453" t="str">
        <f t="shared" si="28"/>
        <v/>
      </c>
      <c r="BI15" s="453" t="str">
        <f t="shared" si="29"/>
        <v/>
      </c>
      <c r="BJ15" s="453" t="str">
        <f t="shared" si="30"/>
        <v/>
      </c>
      <c r="BK15" s="453" t="str">
        <f t="shared" si="31"/>
        <v/>
      </c>
      <c r="BL15" s="148" t="str">
        <f t="shared" si="32"/>
        <v/>
      </c>
      <c r="BM15" s="453" t="str">
        <f t="shared" si="33"/>
        <v/>
      </c>
      <c r="BN15" s="453" t="str">
        <f t="shared" si="34"/>
        <v/>
      </c>
      <c r="BO15" s="90"/>
    </row>
    <row r="16" spans="2:73" s="94" customFormat="1" ht="12.95" customHeight="1" x14ac:dyDescent="0.2">
      <c r="B16" s="151">
        <f>IF(ISNA(Z16),"",IF(OR(Z16=1,Z16=2),"    ",MAX($B$8:B15)+1))</f>
        <v>6</v>
      </c>
      <c r="C16" s="904" t="str">
        <f t="shared" si="0"/>
        <v xml:space="preserve">      - Mission/Card Preparation (3.1%)</v>
      </c>
      <c r="D16" s="904"/>
      <c r="E16" s="904"/>
      <c r="F16" s="905"/>
      <c r="G16" s="133">
        <f t="shared" si="1"/>
        <v>1</v>
      </c>
      <c r="H16" s="134" t="str">
        <f t="shared" si="2"/>
        <v>2*</v>
      </c>
      <c r="I16" s="152">
        <f t="shared" si="2"/>
        <v>3</v>
      </c>
      <c r="J16" s="157"/>
      <c r="K16" s="154"/>
      <c r="L16" s="1015"/>
      <c r="M16" s="1016"/>
      <c r="N16" s="1016"/>
      <c r="O16" s="1016"/>
      <c r="P16" s="1016"/>
      <c r="Q16" s="1016"/>
      <c r="R16" s="1017"/>
      <c r="T16" s="99">
        <v>9</v>
      </c>
      <c r="U16" s="88" t="s">
        <v>605</v>
      </c>
      <c r="V16" s="453">
        <v>1</v>
      </c>
      <c r="W16" s="453">
        <v>1</v>
      </c>
      <c r="X16" s="453" t="s">
        <v>340</v>
      </c>
      <c r="Y16" s="453" t="s">
        <v>340</v>
      </c>
      <c r="Z16" s="146" t="s">
        <v>340</v>
      </c>
      <c r="AA16" s="146">
        <v>2</v>
      </c>
      <c r="AB16" s="146">
        <v>1</v>
      </c>
      <c r="AC16" s="453">
        <v>3</v>
      </c>
      <c r="AD16" s="453">
        <v>2</v>
      </c>
      <c r="AE16" s="453">
        <v>1</v>
      </c>
      <c r="AF16" s="453" t="b">
        <v>1</v>
      </c>
      <c r="AG16" s="453">
        <f t="shared" si="3"/>
        <v>3</v>
      </c>
      <c r="AH16" s="453">
        <f t="shared" si="4"/>
        <v>2</v>
      </c>
      <c r="AI16" s="138">
        <f>IF(NOT(OR(Z16=1,Z16=2)),IF(AQ16&gt;0,$AR$44*AQ16/SUMIF($AQ$8:$AQ$39,"&gt;0"),IF(AU16&gt;0,$AV$44*AU16/SUMIF($AU$8:$AU$39,"&gt;0"),IF(AS16&gt;0,$AT$44*AS16/SUMIF($AS$8:$AS$39,"&gt;0"),""))),IF(SUMIF(AJ17:$AJ$39,"=" &amp; AJ16,AI17:$AI$39)=0,"",SUMIF(AJ17:$AJ$39,"=" &amp; AJ16,AI17:$AI$39)))</f>
        <v>3.0839002267573697E-2</v>
      </c>
      <c r="AJ16" s="139">
        <f t="shared" si="35"/>
        <v>2</v>
      </c>
      <c r="AK16" s="453">
        <f t="shared" si="5"/>
        <v>2</v>
      </c>
      <c r="AL16" s="146" t="str">
        <f t="shared" si="6"/>
        <v/>
      </c>
      <c r="AM16" s="146" t="str">
        <f t="shared" si="7"/>
        <v/>
      </c>
      <c r="AN16" s="146" t="str">
        <f t="shared" si="8"/>
        <v/>
      </c>
      <c r="AO16" s="146" t="str">
        <f t="shared" si="9"/>
        <v/>
      </c>
      <c r="AP16" s="453" t="b">
        <f t="shared" si="10"/>
        <v>1</v>
      </c>
      <c r="AQ16" s="140">
        <f t="shared" si="11"/>
        <v>1</v>
      </c>
      <c r="AR16" s="141" t="str">
        <f t="shared" si="12"/>
        <v/>
      </c>
      <c r="AS16" s="142">
        <f t="shared" si="13"/>
        <v>0</v>
      </c>
      <c r="AT16" s="141" t="str">
        <f t="shared" si="14"/>
        <v/>
      </c>
      <c r="AU16" s="143">
        <f t="shared" si="15"/>
        <v>0</v>
      </c>
      <c r="AV16" s="144" t="str">
        <f t="shared" si="16"/>
        <v/>
      </c>
      <c r="AW16" s="143" t="b">
        <f t="shared" si="17"/>
        <v>0</v>
      </c>
      <c r="AX16" s="145" t="b">
        <f t="shared" si="18"/>
        <v>1</v>
      </c>
      <c r="AY16" s="143" t="b">
        <f t="shared" si="19"/>
        <v>0</v>
      </c>
      <c r="AZ16" s="145" t="b">
        <f t="shared" si="20"/>
        <v>0</v>
      </c>
      <c r="BA16" s="453" t="b">
        <f t="shared" si="21"/>
        <v>0</v>
      </c>
      <c r="BB16" s="453" t="b">
        <f t="shared" si="22"/>
        <v>0</v>
      </c>
      <c r="BC16" s="143" t="b">
        <f t="shared" si="23"/>
        <v>0</v>
      </c>
      <c r="BD16" s="146" t="b">
        <f t="shared" si="24"/>
        <v>0</v>
      </c>
      <c r="BE16" s="145" t="b">
        <f t="shared" si="25"/>
        <v>0</v>
      </c>
      <c r="BF16" s="147" t="b">
        <f t="shared" si="26"/>
        <v>0</v>
      </c>
      <c r="BG16" s="453" t="b">
        <f t="shared" si="27"/>
        <v>1</v>
      </c>
      <c r="BH16" s="453">
        <f t="shared" si="28"/>
        <v>1</v>
      </c>
      <c r="BI16" s="453">
        <f t="shared" si="29"/>
        <v>2</v>
      </c>
      <c r="BJ16" s="453" t="str">
        <f t="shared" si="30"/>
        <v>2*</v>
      </c>
      <c r="BK16" s="453">
        <f t="shared" si="31"/>
        <v>3</v>
      </c>
      <c r="BL16" s="148">
        <f t="shared" si="32"/>
        <v>1</v>
      </c>
      <c r="BM16" s="453">
        <f t="shared" si="33"/>
        <v>2</v>
      </c>
      <c r="BN16" s="453">
        <f t="shared" si="34"/>
        <v>3</v>
      </c>
      <c r="BO16" s="155"/>
      <c r="BP16" s="160"/>
    </row>
    <row r="17" spans="2:73" s="94" customFormat="1" ht="12.95" customHeight="1" x14ac:dyDescent="0.2">
      <c r="B17" s="151">
        <f>IF(ISNA(Z17),"",IF(OR(Z17=1,Z17=2),"    ",MAX($B$8:B16)+1))</f>
        <v>7</v>
      </c>
      <c r="C17" s="904" t="str">
        <f t="shared" si="0"/>
        <v xml:space="preserve">      - Msn SA/Adaptation (3.1%)</v>
      </c>
      <c r="D17" s="904"/>
      <c r="E17" s="904"/>
      <c r="F17" s="905"/>
      <c r="G17" s="133">
        <f t="shared" si="1"/>
        <v>1</v>
      </c>
      <c r="H17" s="134" t="str">
        <f t="shared" si="2"/>
        <v>2*</v>
      </c>
      <c r="I17" s="152">
        <f t="shared" si="2"/>
        <v>3</v>
      </c>
      <c r="J17" s="157"/>
      <c r="K17" s="154"/>
      <c r="L17" s="1015"/>
      <c r="M17" s="1016"/>
      <c r="N17" s="1016"/>
      <c r="O17" s="1016"/>
      <c r="P17" s="1016"/>
      <c r="Q17" s="1016"/>
      <c r="R17" s="1017"/>
      <c r="T17" s="99">
        <v>10</v>
      </c>
      <c r="U17" s="88" t="s">
        <v>606</v>
      </c>
      <c r="V17" s="453">
        <v>1</v>
      </c>
      <c r="W17" s="453">
        <v>1</v>
      </c>
      <c r="X17" s="453" t="s">
        <v>340</v>
      </c>
      <c r="Y17" s="453" t="s">
        <v>340</v>
      </c>
      <c r="Z17" s="146" t="s">
        <v>340</v>
      </c>
      <c r="AA17" s="146">
        <v>2</v>
      </c>
      <c r="AB17" s="146">
        <v>1</v>
      </c>
      <c r="AC17" s="453">
        <v>3</v>
      </c>
      <c r="AD17" s="453">
        <v>2</v>
      </c>
      <c r="AE17" s="453">
        <v>1</v>
      </c>
      <c r="AF17" s="453" t="b">
        <v>1</v>
      </c>
      <c r="AG17" s="453">
        <f t="shared" si="3"/>
        <v>3</v>
      </c>
      <c r="AH17" s="453">
        <f t="shared" si="4"/>
        <v>2</v>
      </c>
      <c r="AI17" s="138">
        <f>IF(NOT(OR(Z17=1,Z17=2)),IF(AQ17&gt;0,$AR$44*AQ17/SUMIF($AQ$8:$AQ$39,"&gt;0"),IF(AU17&gt;0,$AV$44*AU17/SUMIF($AU$8:$AU$39,"&gt;0"),IF(AS17&gt;0,$AT$44*AS17/SUMIF($AS$8:$AS$39,"&gt;0"),""))),IF(SUMIF(AJ18:$AJ$39,"=" &amp; AJ17,AI18:$AI$39)=0,"",SUMIF(AJ18:$AJ$39,"=" &amp; AJ17,AI18:$AI$39)))</f>
        <v>3.0839002267573697E-2</v>
      </c>
      <c r="AJ17" s="139">
        <f t="shared" si="35"/>
        <v>2</v>
      </c>
      <c r="AK17" s="453">
        <f t="shared" si="5"/>
        <v>2</v>
      </c>
      <c r="AL17" s="146" t="str">
        <f t="shared" si="6"/>
        <v/>
      </c>
      <c r="AM17" s="146" t="str">
        <f t="shared" si="7"/>
        <v/>
      </c>
      <c r="AN17" s="146" t="str">
        <f t="shared" si="8"/>
        <v/>
      </c>
      <c r="AO17" s="146" t="str">
        <f t="shared" si="9"/>
        <v/>
      </c>
      <c r="AP17" s="453" t="b">
        <f t="shared" si="10"/>
        <v>1</v>
      </c>
      <c r="AQ17" s="140">
        <f t="shared" si="11"/>
        <v>1</v>
      </c>
      <c r="AR17" s="141" t="str">
        <f t="shared" si="12"/>
        <v/>
      </c>
      <c r="AS17" s="142">
        <f t="shared" si="13"/>
        <v>0</v>
      </c>
      <c r="AT17" s="141" t="str">
        <f t="shared" si="14"/>
        <v/>
      </c>
      <c r="AU17" s="143">
        <f t="shared" si="15"/>
        <v>0</v>
      </c>
      <c r="AV17" s="144" t="str">
        <f t="shared" si="16"/>
        <v/>
      </c>
      <c r="AW17" s="143" t="b">
        <f t="shared" si="17"/>
        <v>0</v>
      </c>
      <c r="AX17" s="145" t="b">
        <f t="shared" si="18"/>
        <v>1</v>
      </c>
      <c r="AY17" s="143" t="b">
        <f t="shared" si="19"/>
        <v>0</v>
      </c>
      <c r="AZ17" s="145" t="b">
        <f t="shared" si="20"/>
        <v>0</v>
      </c>
      <c r="BA17" s="453" t="b">
        <f t="shared" si="21"/>
        <v>0</v>
      </c>
      <c r="BB17" s="453" t="b">
        <f t="shared" si="22"/>
        <v>0</v>
      </c>
      <c r="BC17" s="143" t="b">
        <f t="shared" si="23"/>
        <v>0</v>
      </c>
      <c r="BD17" s="146" t="b">
        <f t="shared" si="24"/>
        <v>0</v>
      </c>
      <c r="BE17" s="145" t="b">
        <f t="shared" si="25"/>
        <v>0</v>
      </c>
      <c r="BF17" s="147" t="b">
        <f t="shared" si="26"/>
        <v>0</v>
      </c>
      <c r="BG17" s="453" t="b">
        <f t="shared" si="27"/>
        <v>1</v>
      </c>
      <c r="BH17" s="453">
        <f t="shared" si="28"/>
        <v>1</v>
      </c>
      <c r="BI17" s="453">
        <f t="shared" si="29"/>
        <v>2</v>
      </c>
      <c r="BJ17" s="453" t="str">
        <f t="shared" si="30"/>
        <v>2*</v>
      </c>
      <c r="BK17" s="453">
        <f t="shared" si="31"/>
        <v>3</v>
      </c>
      <c r="BL17" s="148">
        <f t="shared" si="32"/>
        <v>1</v>
      </c>
      <c r="BM17" s="453">
        <f t="shared" si="33"/>
        <v>2</v>
      </c>
      <c r="BN17" s="453">
        <f t="shared" si="34"/>
        <v>3</v>
      </c>
      <c r="BO17" s="90"/>
    </row>
    <row r="18" spans="2:73" s="94" customFormat="1" ht="12.95" customHeight="1" x14ac:dyDescent="0.2">
      <c r="B18" s="151">
        <f>IF(ISNA(Z18),"",IF(OR(Z18=1,Z18=2),"    ",MAX($B$8:B17)+1))</f>
        <v>8</v>
      </c>
      <c r="C18" s="904" t="str">
        <f t="shared" si="0"/>
        <v xml:space="preserve">      - Teamwork (0.8%)</v>
      </c>
      <c r="D18" s="904"/>
      <c r="E18" s="904"/>
      <c r="F18" s="905"/>
      <c r="G18" s="133">
        <f t="shared" si="1"/>
        <v>1</v>
      </c>
      <c r="H18" s="134" t="str">
        <f t="shared" si="2"/>
        <v>2*</v>
      </c>
      <c r="I18" s="152">
        <f t="shared" si="2"/>
        <v>3</v>
      </c>
      <c r="J18" s="157"/>
      <c r="K18" s="154"/>
      <c r="L18" s="1015"/>
      <c r="M18" s="1016"/>
      <c r="N18" s="1016"/>
      <c r="O18" s="1016"/>
      <c r="P18" s="1016"/>
      <c r="Q18" s="1016"/>
      <c r="R18" s="1017"/>
      <c r="T18" s="99">
        <v>11</v>
      </c>
      <c r="U18" s="88" t="s">
        <v>501</v>
      </c>
      <c r="V18" s="453">
        <v>1</v>
      </c>
      <c r="W18" s="453">
        <v>0.25</v>
      </c>
      <c r="X18" s="453" t="s">
        <v>340</v>
      </c>
      <c r="Y18" s="453" t="s">
        <v>340</v>
      </c>
      <c r="Z18" s="146" t="s">
        <v>340</v>
      </c>
      <c r="AA18" s="146">
        <v>2</v>
      </c>
      <c r="AB18" s="146">
        <v>1</v>
      </c>
      <c r="AC18" s="453">
        <v>3</v>
      </c>
      <c r="AD18" s="453">
        <v>2</v>
      </c>
      <c r="AE18" s="453">
        <v>1</v>
      </c>
      <c r="AF18" s="453" t="b">
        <v>1</v>
      </c>
      <c r="AG18" s="453">
        <f t="shared" si="3"/>
        <v>3</v>
      </c>
      <c r="AH18" s="453">
        <f t="shared" si="4"/>
        <v>2</v>
      </c>
      <c r="AI18" s="138">
        <f>IF(NOT(OR(Z18=1,Z18=2)),IF(AQ18&gt;0,$AR$44*AQ18/SUMIF($AQ$8:$AQ$39,"&gt;0"),IF(AU18&gt;0,$AV$44*AU18/SUMIF($AU$8:$AU$39,"&gt;0"),IF(AS18&gt;0,$AT$44*AS18/SUMIF($AS$8:$AS$39,"&gt;0"),""))),IF(SUMIF(AJ19:$AJ$39,"=" &amp; AJ18,AI19:$AI$39)=0,"",SUMIF(AJ19:$AJ$39,"=" &amp; AJ18,AI19:$AI$39)))</f>
        <v>7.7097505668934242E-3</v>
      </c>
      <c r="AJ18" s="139">
        <f t="shared" si="35"/>
        <v>2</v>
      </c>
      <c r="AK18" s="453">
        <f t="shared" si="5"/>
        <v>2</v>
      </c>
      <c r="AL18" s="146" t="str">
        <f t="shared" si="6"/>
        <v/>
      </c>
      <c r="AM18" s="146" t="str">
        <f t="shared" si="7"/>
        <v/>
      </c>
      <c r="AN18" s="146" t="str">
        <f t="shared" si="8"/>
        <v/>
      </c>
      <c r="AO18" s="146" t="str">
        <f t="shared" si="9"/>
        <v/>
      </c>
      <c r="AP18" s="453" t="b">
        <f t="shared" si="10"/>
        <v>1</v>
      </c>
      <c r="AQ18" s="140">
        <f t="shared" si="11"/>
        <v>0.25</v>
      </c>
      <c r="AR18" s="141" t="str">
        <f t="shared" si="12"/>
        <v/>
      </c>
      <c r="AS18" s="142">
        <f t="shared" si="13"/>
        <v>0</v>
      </c>
      <c r="AT18" s="141" t="str">
        <f t="shared" si="14"/>
        <v/>
      </c>
      <c r="AU18" s="143">
        <f t="shared" si="15"/>
        <v>0</v>
      </c>
      <c r="AV18" s="144" t="str">
        <f t="shared" si="16"/>
        <v/>
      </c>
      <c r="AW18" s="143" t="b">
        <f t="shared" si="17"/>
        <v>0</v>
      </c>
      <c r="AX18" s="145" t="b">
        <f t="shared" si="18"/>
        <v>1</v>
      </c>
      <c r="AY18" s="143" t="b">
        <f t="shared" si="19"/>
        <v>0</v>
      </c>
      <c r="AZ18" s="145" t="b">
        <f t="shared" si="20"/>
        <v>0</v>
      </c>
      <c r="BA18" s="453" t="b">
        <f t="shared" si="21"/>
        <v>0</v>
      </c>
      <c r="BB18" s="453" t="b">
        <f t="shared" si="22"/>
        <v>0</v>
      </c>
      <c r="BC18" s="143" t="b">
        <f t="shared" si="23"/>
        <v>0</v>
      </c>
      <c r="BD18" s="146" t="b">
        <f t="shared" si="24"/>
        <v>0</v>
      </c>
      <c r="BE18" s="145" t="b">
        <f t="shared" si="25"/>
        <v>0</v>
      </c>
      <c r="BF18" s="147" t="b">
        <f t="shared" si="26"/>
        <v>0</v>
      </c>
      <c r="BG18" s="453" t="b">
        <f t="shared" si="27"/>
        <v>1</v>
      </c>
      <c r="BH18" s="453">
        <f t="shared" si="28"/>
        <v>1</v>
      </c>
      <c r="BI18" s="453">
        <f t="shared" si="29"/>
        <v>2</v>
      </c>
      <c r="BJ18" s="453" t="str">
        <f t="shared" si="30"/>
        <v>2*</v>
      </c>
      <c r="BK18" s="453">
        <f t="shared" si="31"/>
        <v>3</v>
      </c>
      <c r="BL18" s="148">
        <f t="shared" si="32"/>
        <v>1</v>
      </c>
      <c r="BM18" s="453">
        <f t="shared" si="33"/>
        <v>2</v>
      </c>
      <c r="BN18" s="453">
        <f t="shared" si="34"/>
        <v>3</v>
      </c>
      <c r="BO18" s="300"/>
      <c r="BP18" s="160" t="s">
        <v>355</v>
      </c>
      <c r="BQ18" s="161"/>
      <c r="BR18" s="161"/>
      <c r="BS18" s="161"/>
      <c r="BT18" s="161"/>
      <c r="BU18" s="161"/>
    </row>
    <row r="19" spans="2:73" s="94" customFormat="1" ht="12.95" customHeight="1" x14ac:dyDescent="0.2">
      <c r="B19" s="151" t="str">
        <f>IF(ISNA(Z19),"",IF(OR(Z19=1,Z19=2),"    ",MAX($B$8:B18)+1))</f>
        <v xml:space="preserve">    </v>
      </c>
      <c r="C19" s="904" t="str">
        <f t="shared" si="0"/>
        <v>Systems Test Methodologies (74.0%)</v>
      </c>
      <c r="D19" s="904"/>
      <c r="E19" s="904"/>
      <c r="F19" s="905"/>
      <c r="G19" s="133" t="str">
        <f t="shared" si="1"/>
        <v/>
      </c>
      <c r="H19" s="134" t="str">
        <f t="shared" si="2"/>
        <v/>
      </c>
      <c r="I19" s="152" t="str">
        <f t="shared" si="2"/>
        <v/>
      </c>
      <c r="J19" s="158"/>
      <c r="K19" s="159"/>
      <c r="L19" s="1015"/>
      <c r="M19" s="1016"/>
      <c r="N19" s="1016"/>
      <c r="O19" s="1016"/>
      <c r="P19" s="1016"/>
      <c r="Q19" s="1016"/>
      <c r="R19" s="1017"/>
      <c r="T19" s="99">
        <v>12</v>
      </c>
      <c r="U19" s="88" t="s">
        <v>607</v>
      </c>
      <c r="V19" s="453" t="s">
        <v>340</v>
      </c>
      <c r="W19" s="453" t="s">
        <v>340</v>
      </c>
      <c r="X19" s="453" t="s">
        <v>340</v>
      </c>
      <c r="Y19" s="453" t="s">
        <v>340</v>
      </c>
      <c r="Z19" s="146">
        <v>2</v>
      </c>
      <c r="AA19" s="146">
        <v>1</v>
      </c>
      <c r="AB19" s="146">
        <v>1</v>
      </c>
      <c r="AC19" s="453" t="s">
        <v>340</v>
      </c>
      <c r="AD19" s="453" t="s">
        <v>340</v>
      </c>
      <c r="AE19" s="453" t="s">
        <v>340</v>
      </c>
      <c r="AF19" s="453" t="s">
        <v>340</v>
      </c>
      <c r="AG19" s="453" t="str">
        <f t="shared" si="3"/>
        <v/>
      </c>
      <c r="AH19" s="453" t="str">
        <f t="shared" si="4"/>
        <v/>
      </c>
      <c r="AI19" s="138">
        <f>IF(NOT(OR(Z19=1,Z19=2)),IF(AQ19&gt;0,$AR$44*AQ19/SUMIF($AQ$8:$AQ$39,"&gt;0"),IF(AU19&gt;0,$AV$44*AU19/SUMIF($AU$8:$AU$39,"&gt;0"),IF(AS19&gt;0,$AT$44*AS19/SUMIF($AS$8:$AS$39,"&gt;0"),""))),IF(SUMIF(AJ20:$AJ$39,"=" &amp; AJ19,AI20:$AI$39)=0,"",SUMIF(AJ20:$AJ$39,"=" &amp; AJ19,AI20:$AI$39)))</f>
        <v>0.74013605442176877</v>
      </c>
      <c r="AJ19" s="139">
        <f t="shared" si="35"/>
        <v>3</v>
      </c>
      <c r="AK19" s="453" t="str">
        <f t="shared" si="5"/>
        <v/>
      </c>
      <c r="AL19" s="146" t="str">
        <f t="shared" si="6"/>
        <v/>
      </c>
      <c r="AM19" s="146" t="str">
        <f t="shared" si="7"/>
        <v/>
      </c>
      <c r="AN19" s="146" t="str">
        <f t="shared" si="8"/>
        <v/>
      </c>
      <c r="AO19" s="146" t="str">
        <f t="shared" si="9"/>
        <v/>
      </c>
      <c r="AP19" s="453" t="str">
        <f t="shared" si="10"/>
        <v/>
      </c>
      <c r="AQ19" s="140">
        <f t="shared" si="11"/>
        <v>0</v>
      </c>
      <c r="AR19" s="141" t="str">
        <f t="shared" si="12"/>
        <v/>
      </c>
      <c r="AS19" s="142">
        <f t="shared" si="13"/>
        <v>0</v>
      </c>
      <c r="AT19" s="141" t="str">
        <f t="shared" si="14"/>
        <v/>
      </c>
      <c r="AU19" s="143">
        <f t="shared" si="15"/>
        <v>0</v>
      </c>
      <c r="AV19" s="144" t="str">
        <f t="shared" si="16"/>
        <v/>
      </c>
      <c r="AW19" s="143" t="b">
        <f t="shared" si="17"/>
        <v>0</v>
      </c>
      <c r="AX19" s="145" t="b">
        <f t="shared" si="18"/>
        <v>0</v>
      </c>
      <c r="AY19" s="143" t="b">
        <f t="shared" si="19"/>
        <v>0</v>
      </c>
      <c r="AZ19" s="145" t="b">
        <f t="shared" si="20"/>
        <v>0</v>
      </c>
      <c r="BA19" s="453" t="b">
        <f t="shared" si="21"/>
        <v>0</v>
      </c>
      <c r="BB19" s="453" t="b">
        <f t="shared" si="22"/>
        <v>0</v>
      </c>
      <c r="BC19" s="143" t="b">
        <f t="shared" si="23"/>
        <v>0</v>
      </c>
      <c r="BD19" s="146" t="b">
        <f t="shared" si="24"/>
        <v>0</v>
      </c>
      <c r="BE19" s="145" t="b">
        <f t="shared" si="25"/>
        <v>0</v>
      </c>
      <c r="BF19" s="147" t="b">
        <f t="shared" si="26"/>
        <v>0</v>
      </c>
      <c r="BG19" s="453" t="b">
        <f t="shared" si="27"/>
        <v>0</v>
      </c>
      <c r="BH19" s="453" t="str">
        <f t="shared" si="28"/>
        <v/>
      </c>
      <c r="BI19" s="453" t="str">
        <f t="shared" si="29"/>
        <v/>
      </c>
      <c r="BJ19" s="453" t="str">
        <f t="shared" si="30"/>
        <v/>
      </c>
      <c r="BK19" s="453" t="str">
        <f t="shared" si="31"/>
        <v/>
      </c>
      <c r="BL19" s="148" t="str">
        <f t="shared" si="32"/>
        <v/>
      </c>
      <c r="BM19" s="453" t="str">
        <f t="shared" si="33"/>
        <v/>
      </c>
      <c r="BN19" s="453" t="str">
        <f t="shared" si="34"/>
        <v/>
      </c>
      <c r="BO19" s="300"/>
      <c r="BP19" s="150"/>
      <c r="BQ19" s="935" t="s">
        <v>356</v>
      </c>
      <c r="BR19" s="935"/>
      <c r="BS19" s="935"/>
      <c r="BT19" s="935"/>
      <c r="BU19" s="935"/>
    </row>
    <row r="20" spans="2:73" s="94" customFormat="1" ht="12.95" customHeight="1" x14ac:dyDescent="0.2">
      <c r="B20" s="151">
        <f>IF(ISNA(Z20),"",IF(OR(Z20=1,Z20=2),"    ",MAX($B$8:B19)+1))</f>
        <v>9</v>
      </c>
      <c r="C20" s="904" t="str">
        <f t="shared" si="0"/>
        <v xml:space="preserve">      - Test Card Step Adherence (12.3%)</v>
      </c>
      <c r="D20" s="904"/>
      <c r="E20" s="904"/>
      <c r="F20" s="905"/>
      <c r="G20" s="133">
        <f t="shared" si="1"/>
        <v>1</v>
      </c>
      <c r="H20" s="134" t="str">
        <f t="shared" si="2"/>
        <v>2*</v>
      </c>
      <c r="I20" s="152">
        <f t="shared" si="2"/>
        <v>3</v>
      </c>
      <c r="J20" s="157"/>
      <c r="K20" s="154"/>
      <c r="L20" s="1015"/>
      <c r="M20" s="1016"/>
      <c r="N20" s="1016"/>
      <c r="O20" s="1016"/>
      <c r="P20" s="1016"/>
      <c r="Q20" s="1016"/>
      <c r="R20" s="1017"/>
      <c r="T20" s="99">
        <v>13</v>
      </c>
      <c r="U20" s="88" t="s">
        <v>608</v>
      </c>
      <c r="V20" s="453">
        <v>1</v>
      </c>
      <c r="W20" s="453">
        <v>4</v>
      </c>
      <c r="X20" s="453" t="s">
        <v>340</v>
      </c>
      <c r="Y20" s="453" t="s">
        <v>340</v>
      </c>
      <c r="Z20" s="146" t="s">
        <v>340</v>
      </c>
      <c r="AA20" s="146">
        <v>2</v>
      </c>
      <c r="AB20" s="146">
        <v>1</v>
      </c>
      <c r="AC20" s="453">
        <v>3</v>
      </c>
      <c r="AD20" s="453">
        <v>2</v>
      </c>
      <c r="AE20" s="453">
        <v>1</v>
      </c>
      <c r="AF20" s="453" t="b">
        <v>1</v>
      </c>
      <c r="AG20" s="453">
        <f t="shared" si="3"/>
        <v>3</v>
      </c>
      <c r="AH20" s="453">
        <f t="shared" si="4"/>
        <v>2</v>
      </c>
      <c r="AI20" s="138">
        <f>IF(NOT(OR(Z20=1,Z20=2)),IF(AQ20&gt;0,$AR$44*AQ20/SUMIF($AQ$8:$AQ$39,"&gt;0"),IF(AU20&gt;0,$AV$44*AU20/SUMIF($AU$8:$AU$39,"&gt;0"),IF(AS20&gt;0,$AT$44*AS20/SUMIF($AS$8:$AS$39,"&gt;0"),""))),IF(SUMIF(AJ21:$AJ$39,"=" &amp; AJ20,AI21:$AI$39)=0,"",SUMIF(AJ21:$AJ$39,"=" &amp; AJ20,AI21:$AI$39)))</f>
        <v>0.12335600907029479</v>
      </c>
      <c r="AJ20" s="139">
        <f t="shared" si="35"/>
        <v>3</v>
      </c>
      <c r="AK20" s="453">
        <f t="shared" si="5"/>
        <v>2</v>
      </c>
      <c r="AL20" s="146" t="str">
        <f t="shared" si="6"/>
        <v/>
      </c>
      <c r="AM20" s="146" t="str">
        <f t="shared" si="7"/>
        <v/>
      </c>
      <c r="AN20" s="146" t="str">
        <f t="shared" si="8"/>
        <v/>
      </c>
      <c r="AO20" s="146" t="str">
        <f t="shared" si="9"/>
        <v/>
      </c>
      <c r="AP20" s="453" t="b">
        <f t="shared" si="10"/>
        <v>1</v>
      </c>
      <c r="AQ20" s="140">
        <f t="shared" si="11"/>
        <v>4</v>
      </c>
      <c r="AR20" s="141" t="str">
        <f t="shared" si="12"/>
        <v/>
      </c>
      <c r="AS20" s="142">
        <f t="shared" si="13"/>
        <v>0</v>
      </c>
      <c r="AT20" s="141" t="str">
        <f t="shared" si="14"/>
        <v/>
      </c>
      <c r="AU20" s="143">
        <f t="shared" si="15"/>
        <v>0</v>
      </c>
      <c r="AV20" s="144" t="str">
        <f t="shared" si="16"/>
        <v/>
      </c>
      <c r="AW20" s="143" t="b">
        <f t="shared" si="17"/>
        <v>0</v>
      </c>
      <c r="AX20" s="145" t="b">
        <f t="shared" si="18"/>
        <v>1</v>
      </c>
      <c r="AY20" s="143" t="b">
        <f t="shared" si="19"/>
        <v>0</v>
      </c>
      <c r="AZ20" s="145" t="b">
        <f t="shared" si="20"/>
        <v>0</v>
      </c>
      <c r="BA20" s="453" t="b">
        <f t="shared" si="21"/>
        <v>0</v>
      </c>
      <c r="BB20" s="453" t="b">
        <f t="shared" si="22"/>
        <v>0</v>
      </c>
      <c r="BC20" s="143" t="b">
        <f t="shared" si="23"/>
        <v>0</v>
      </c>
      <c r="BD20" s="146" t="b">
        <f t="shared" si="24"/>
        <v>0</v>
      </c>
      <c r="BE20" s="145" t="b">
        <f t="shared" si="25"/>
        <v>0</v>
      </c>
      <c r="BF20" s="147" t="b">
        <f t="shared" si="26"/>
        <v>0</v>
      </c>
      <c r="BG20" s="453" t="b">
        <f t="shared" si="27"/>
        <v>1</v>
      </c>
      <c r="BH20" s="453">
        <f t="shared" si="28"/>
        <v>1</v>
      </c>
      <c r="BI20" s="453">
        <f t="shared" si="29"/>
        <v>2</v>
      </c>
      <c r="BJ20" s="453" t="str">
        <f t="shared" si="30"/>
        <v>2*</v>
      </c>
      <c r="BK20" s="453">
        <f t="shared" si="31"/>
        <v>3</v>
      </c>
      <c r="BL20" s="148">
        <f t="shared" si="32"/>
        <v>1</v>
      </c>
      <c r="BM20" s="453">
        <f t="shared" si="33"/>
        <v>2</v>
      </c>
      <c r="BN20" s="453">
        <f t="shared" si="34"/>
        <v>3</v>
      </c>
      <c r="BO20" s="300"/>
      <c r="BP20" s="300"/>
      <c r="BQ20" s="300">
        <v>0</v>
      </c>
      <c r="BR20" s="300">
        <v>1</v>
      </c>
      <c r="BS20" s="300">
        <v>2</v>
      </c>
      <c r="BT20" s="300">
        <v>3</v>
      </c>
      <c r="BU20" s="300">
        <v>4</v>
      </c>
    </row>
    <row r="21" spans="2:73" s="94" customFormat="1" ht="12.95" customHeight="1" x14ac:dyDescent="0.2">
      <c r="B21" s="151">
        <f>IF(ISNA(Z21),"",IF(OR(Z21=1,Z21=2),"    ",MAX($B$8:B20)+1))</f>
        <v>10</v>
      </c>
      <c r="C21" s="904" t="str">
        <f t="shared" si="0"/>
        <v xml:space="preserve">      - HOTAS Familiarity (12.3%)</v>
      </c>
      <c r="D21" s="904"/>
      <c r="E21" s="904"/>
      <c r="F21" s="905"/>
      <c r="G21" s="133">
        <f t="shared" si="1"/>
        <v>1</v>
      </c>
      <c r="H21" s="134" t="str">
        <f t="shared" si="2"/>
        <v>1</v>
      </c>
      <c r="I21" s="152">
        <f t="shared" si="2"/>
        <v>3</v>
      </c>
      <c r="J21" s="157"/>
      <c r="K21" s="154"/>
      <c r="L21" s="1015"/>
      <c r="M21" s="1016"/>
      <c r="N21" s="1016"/>
      <c r="O21" s="1016"/>
      <c r="P21" s="1016"/>
      <c r="Q21" s="1016"/>
      <c r="R21" s="1017"/>
      <c r="T21" s="99">
        <v>14</v>
      </c>
      <c r="U21" s="88" t="s">
        <v>609</v>
      </c>
      <c r="V21" s="453">
        <v>1</v>
      </c>
      <c r="W21" s="453">
        <v>4</v>
      </c>
      <c r="X21" s="453" t="s">
        <v>340</v>
      </c>
      <c r="Y21" s="453" t="s">
        <v>340</v>
      </c>
      <c r="Z21" s="146" t="s">
        <v>340</v>
      </c>
      <c r="AA21" s="146">
        <v>2</v>
      </c>
      <c r="AB21" s="146">
        <v>1</v>
      </c>
      <c r="AC21" s="453">
        <v>3</v>
      </c>
      <c r="AD21" s="453">
        <v>1</v>
      </c>
      <c r="AE21" s="453">
        <v>0</v>
      </c>
      <c r="AF21" s="453" t="b">
        <v>1</v>
      </c>
      <c r="AG21" s="453">
        <f t="shared" si="3"/>
        <v>3</v>
      </c>
      <c r="AH21" s="453">
        <f t="shared" si="4"/>
        <v>2</v>
      </c>
      <c r="AI21" s="138">
        <f>IF(NOT(OR(Z21=1,Z21=2)),IF(AQ21&gt;0,$AR$44*AQ21/SUMIF($AQ$8:$AQ$39,"&gt;0"),IF(AU21&gt;0,$AV$44*AU21/SUMIF($AU$8:$AU$39,"&gt;0"),IF(AS21&gt;0,$AT$44*AS21/SUMIF($AS$8:$AS$39,"&gt;0"),""))),IF(SUMIF(AJ22:$AJ$39,"=" &amp; AJ21,AI22:$AI$39)=0,"",SUMIF(AJ22:$AJ$39,"=" &amp; AJ21,AI22:$AI$39)))</f>
        <v>0.12335600907029479</v>
      </c>
      <c r="AJ21" s="139">
        <f t="shared" si="35"/>
        <v>3</v>
      </c>
      <c r="AK21" s="453">
        <f t="shared" si="5"/>
        <v>1</v>
      </c>
      <c r="AL21" s="146" t="str">
        <f t="shared" si="6"/>
        <v/>
      </c>
      <c r="AM21" s="146" t="str">
        <f t="shared" si="7"/>
        <v/>
      </c>
      <c r="AN21" s="146" t="str">
        <f t="shared" si="8"/>
        <v/>
      </c>
      <c r="AO21" s="146" t="str">
        <f t="shared" si="9"/>
        <v/>
      </c>
      <c r="AP21" s="453" t="b">
        <f t="shared" si="10"/>
        <v>1</v>
      </c>
      <c r="AQ21" s="140">
        <f t="shared" si="11"/>
        <v>4</v>
      </c>
      <c r="AR21" s="141" t="str">
        <f t="shared" si="12"/>
        <v/>
      </c>
      <c r="AS21" s="142">
        <f t="shared" si="13"/>
        <v>0</v>
      </c>
      <c r="AT21" s="141" t="str">
        <f t="shared" si="14"/>
        <v/>
      </c>
      <c r="AU21" s="143">
        <f t="shared" si="15"/>
        <v>0</v>
      </c>
      <c r="AV21" s="144" t="str">
        <f t="shared" si="16"/>
        <v/>
      </c>
      <c r="AW21" s="143" t="b">
        <f t="shared" si="17"/>
        <v>0</v>
      </c>
      <c r="AX21" s="145" t="b">
        <f t="shared" si="18"/>
        <v>1</v>
      </c>
      <c r="AY21" s="143" t="b">
        <f t="shared" si="19"/>
        <v>0</v>
      </c>
      <c r="AZ21" s="145" t="b">
        <f t="shared" si="20"/>
        <v>0</v>
      </c>
      <c r="BA21" s="453" t="b">
        <f t="shared" si="21"/>
        <v>0</v>
      </c>
      <c r="BB21" s="453" t="b">
        <f t="shared" si="22"/>
        <v>0</v>
      </c>
      <c r="BC21" s="143" t="b">
        <f t="shared" si="23"/>
        <v>0</v>
      </c>
      <c r="BD21" s="146" t="b">
        <f t="shared" si="24"/>
        <v>0</v>
      </c>
      <c r="BE21" s="145" t="b">
        <f t="shared" si="25"/>
        <v>0</v>
      </c>
      <c r="BF21" s="147" t="b">
        <f t="shared" si="26"/>
        <v>0</v>
      </c>
      <c r="BG21" s="453" t="b">
        <f t="shared" si="27"/>
        <v>1</v>
      </c>
      <c r="BH21" s="453">
        <f t="shared" si="28"/>
        <v>1</v>
      </c>
      <c r="BI21" s="453">
        <f t="shared" si="29"/>
        <v>1</v>
      </c>
      <c r="BJ21" s="453" t="str">
        <f t="shared" si="30"/>
        <v>1</v>
      </c>
      <c r="BK21" s="453">
        <f t="shared" si="31"/>
        <v>3</v>
      </c>
      <c r="BL21" s="148">
        <f t="shared" si="32"/>
        <v>1</v>
      </c>
      <c r="BM21" s="453">
        <f t="shared" si="33"/>
        <v>1</v>
      </c>
      <c r="BN21" s="453">
        <f t="shared" si="34"/>
        <v>3</v>
      </c>
      <c r="BO21" s="936" t="s">
        <v>358</v>
      </c>
      <c r="BP21" s="300" t="s">
        <v>359</v>
      </c>
      <c r="BQ21" s="162">
        <f t="shared" ref="BQ21:BU29" si="36">AR50</f>
        <v>0.7</v>
      </c>
      <c r="BR21" s="163">
        <f t="shared" si="36"/>
        <v>0.9</v>
      </c>
      <c r="BS21" s="163">
        <f t="shared" si="36"/>
        <v>0.93330000000000002</v>
      </c>
      <c r="BT21" s="163">
        <f t="shared" si="36"/>
        <v>0.9667</v>
      </c>
      <c r="BU21" s="164">
        <f t="shared" si="36"/>
        <v>1</v>
      </c>
    </row>
    <row r="22" spans="2:73" s="94" customFormat="1" ht="12.95" customHeight="1" x14ac:dyDescent="0.2">
      <c r="B22" s="151">
        <f>IF(ISNA(Z22),"",IF(OR(Z22=1,Z22=2),"    ",MAX($B$8:B21)+1))</f>
        <v>11</v>
      </c>
      <c r="C22" s="904" t="str">
        <f t="shared" si="0"/>
        <v xml:space="preserve">      - Pod Functionality Checks (6.2%)</v>
      </c>
      <c r="D22" s="904"/>
      <c r="E22" s="904"/>
      <c r="F22" s="905"/>
      <c r="G22" s="133">
        <f t="shared" si="1"/>
        <v>1</v>
      </c>
      <c r="H22" s="134" t="str">
        <f t="shared" si="2"/>
        <v>2*</v>
      </c>
      <c r="I22" s="152">
        <f t="shared" si="2"/>
        <v>3</v>
      </c>
      <c r="J22" s="157"/>
      <c r="K22" s="154"/>
      <c r="L22" s="1015"/>
      <c r="M22" s="1016"/>
      <c r="N22" s="1016"/>
      <c r="O22" s="1016"/>
      <c r="P22" s="1016"/>
      <c r="Q22" s="1016"/>
      <c r="R22" s="1017"/>
      <c r="T22" s="99">
        <v>15</v>
      </c>
      <c r="U22" s="88" t="s">
        <v>610</v>
      </c>
      <c r="V22" s="453">
        <v>1</v>
      </c>
      <c r="W22" s="453">
        <v>2</v>
      </c>
      <c r="X22" s="453" t="s">
        <v>340</v>
      </c>
      <c r="Y22" s="453" t="s">
        <v>340</v>
      </c>
      <c r="Z22" s="146" t="s">
        <v>340</v>
      </c>
      <c r="AA22" s="146">
        <v>2</v>
      </c>
      <c r="AB22" s="146">
        <v>1</v>
      </c>
      <c r="AC22" s="453">
        <v>3</v>
      </c>
      <c r="AD22" s="453">
        <v>2</v>
      </c>
      <c r="AE22" s="453">
        <v>1</v>
      </c>
      <c r="AF22" s="453" t="b">
        <v>1</v>
      </c>
      <c r="AG22" s="453">
        <f t="shared" si="3"/>
        <v>3</v>
      </c>
      <c r="AH22" s="453">
        <f t="shared" si="4"/>
        <v>2</v>
      </c>
      <c r="AI22" s="138">
        <f>IF(NOT(OR(Z22=1,Z22=2)),IF(AQ22&gt;0,$AR$44*AQ22/SUMIF($AQ$8:$AQ$39,"&gt;0"),IF(AU22&gt;0,$AV$44*AU22/SUMIF($AU$8:$AU$39,"&gt;0"),IF(AS22&gt;0,$AT$44*AS22/SUMIF($AS$8:$AS$39,"&gt;0"),""))),IF(SUMIF(AJ23:$AJ$39,"=" &amp; AJ22,AI23:$AI$39)=0,"",SUMIF(AJ23:$AJ$39,"=" &amp; AJ22,AI23:$AI$39)))</f>
        <v>6.1678004535147393E-2</v>
      </c>
      <c r="AJ22" s="139">
        <f t="shared" si="35"/>
        <v>3</v>
      </c>
      <c r="AK22" s="453">
        <f t="shared" si="5"/>
        <v>2</v>
      </c>
      <c r="AL22" s="146" t="str">
        <f t="shared" si="6"/>
        <v/>
      </c>
      <c r="AM22" s="146" t="str">
        <f t="shared" si="7"/>
        <v/>
      </c>
      <c r="AN22" s="146" t="str">
        <f t="shared" si="8"/>
        <v/>
      </c>
      <c r="AO22" s="146" t="str">
        <f t="shared" si="9"/>
        <v/>
      </c>
      <c r="AP22" s="453" t="b">
        <f t="shared" si="10"/>
        <v>1</v>
      </c>
      <c r="AQ22" s="140">
        <f t="shared" si="11"/>
        <v>2</v>
      </c>
      <c r="AR22" s="141" t="str">
        <f t="shared" si="12"/>
        <v/>
      </c>
      <c r="AS22" s="142">
        <f t="shared" si="13"/>
        <v>0</v>
      </c>
      <c r="AT22" s="141" t="str">
        <f t="shared" si="14"/>
        <v/>
      </c>
      <c r="AU22" s="143">
        <f t="shared" si="15"/>
        <v>0</v>
      </c>
      <c r="AV22" s="144" t="str">
        <f t="shared" si="16"/>
        <v/>
      </c>
      <c r="AW22" s="143" t="b">
        <f t="shared" si="17"/>
        <v>0</v>
      </c>
      <c r="AX22" s="145" t="b">
        <f t="shared" si="18"/>
        <v>1</v>
      </c>
      <c r="AY22" s="143" t="b">
        <f t="shared" si="19"/>
        <v>0</v>
      </c>
      <c r="AZ22" s="145" t="b">
        <f t="shared" si="20"/>
        <v>0</v>
      </c>
      <c r="BA22" s="453" t="b">
        <f t="shared" si="21"/>
        <v>0</v>
      </c>
      <c r="BB22" s="453" t="b">
        <f t="shared" si="22"/>
        <v>0</v>
      </c>
      <c r="BC22" s="143" t="b">
        <f t="shared" si="23"/>
        <v>0</v>
      </c>
      <c r="BD22" s="146" t="b">
        <f t="shared" si="24"/>
        <v>0</v>
      </c>
      <c r="BE22" s="145" t="b">
        <f t="shared" si="25"/>
        <v>0</v>
      </c>
      <c r="BF22" s="147" t="b">
        <f t="shared" si="26"/>
        <v>0</v>
      </c>
      <c r="BG22" s="453" t="b">
        <f t="shared" si="27"/>
        <v>1</v>
      </c>
      <c r="BH22" s="453">
        <f t="shared" si="28"/>
        <v>1</v>
      </c>
      <c r="BI22" s="453">
        <f t="shared" si="29"/>
        <v>2</v>
      </c>
      <c r="BJ22" s="453" t="str">
        <f t="shared" si="30"/>
        <v>2*</v>
      </c>
      <c r="BK22" s="453">
        <f t="shared" si="31"/>
        <v>3</v>
      </c>
      <c r="BL22" s="148">
        <f t="shared" si="32"/>
        <v>1</v>
      </c>
      <c r="BM22" s="453">
        <f t="shared" si="33"/>
        <v>2</v>
      </c>
      <c r="BN22" s="453">
        <f t="shared" si="34"/>
        <v>3</v>
      </c>
      <c r="BO22" s="936"/>
      <c r="BP22" s="300" t="s">
        <v>360</v>
      </c>
      <c r="BQ22" s="165">
        <f t="shared" si="36"/>
        <v>0.7</v>
      </c>
      <c r="BR22" s="166">
        <f t="shared" si="36"/>
        <v>0.8</v>
      </c>
      <c r="BS22" s="166">
        <f t="shared" si="36"/>
        <v>0.9</v>
      </c>
      <c r="BT22" s="166">
        <f t="shared" si="36"/>
        <v>0.95</v>
      </c>
      <c r="BU22" s="167">
        <f t="shared" si="36"/>
        <v>1</v>
      </c>
    </row>
    <row r="23" spans="2:73" s="94" customFormat="1" ht="12.95" customHeight="1" x14ac:dyDescent="0.2">
      <c r="B23" s="151">
        <f>IF(ISNA(Z23),"",IF(OR(Z23=1,Z23=2),"    ",MAX($B$8:B22)+1))</f>
        <v>12</v>
      </c>
      <c r="C23" s="904" t="str">
        <f t="shared" si="0"/>
        <v xml:space="preserve">      - Tracking and Stability Checks (9.3%)</v>
      </c>
      <c r="D23" s="904"/>
      <c r="E23" s="904"/>
      <c r="F23" s="905"/>
      <c r="G23" s="133">
        <f t="shared" si="1"/>
        <v>1</v>
      </c>
      <c r="H23" s="134" t="str">
        <f t="shared" si="2"/>
        <v>2*</v>
      </c>
      <c r="I23" s="152">
        <f t="shared" si="2"/>
        <v>3</v>
      </c>
      <c r="J23" s="157"/>
      <c r="K23" s="154"/>
      <c r="L23" s="1015"/>
      <c r="M23" s="1016"/>
      <c r="N23" s="1016"/>
      <c r="O23" s="1016"/>
      <c r="P23" s="1016"/>
      <c r="Q23" s="1016"/>
      <c r="R23" s="1017"/>
      <c r="T23" s="99">
        <v>16</v>
      </c>
      <c r="U23" s="88" t="s">
        <v>611</v>
      </c>
      <c r="V23" s="453">
        <v>1</v>
      </c>
      <c r="W23" s="453">
        <v>3</v>
      </c>
      <c r="X23" s="453" t="s">
        <v>340</v>
      </c>
      <c r="Y23" s="453" t="s">
        <v>340</v>
      </c>
      <c r="Z23" s="146" t="s">
        <v>340</v>
      </c>
      <c r="AA23" s="146">
        <v>2</v>
      </c>
      <c r="AB23" s="146">
        <v>1</v>
      </c>
      <c r="AC23" s="453">
        <v>3</v>
      </c>
      <c r="AD23" s="453">
        <v>2</v>
      </c>
      <c r="AE23" s="453">
        <v>1</v>
      </c>
      <c r="AF23" s="453" t="b">
        <v>1</v>
      </c>
      <c r="AG23" s="453">
        <f t="shared" si="3"/>
        <v>3</v>
      </c>
      <c r="AH23" s="453">
        <f t="shared" si="4"/>
        <v>2</v>
      </c>
      <c r="AI23" s="138">
        <f>IF(NOT(OR(Z23=1,Z23=2)),IF(AQ23&gt;0,$AR$44*AQ23/SUMIF($AQ$8:$AQ$39,"&gt;0"),IF(AU23&gt;0,$AV$44*AU23/SUMIF($AU$8:$AU$39,"&gt;0"),IF(AS23&gt;0,$AT$44*AS23/SUMIF($AS$8:$AS$39,"&gt;0"),""))),IF(SUMIF(AJ24:$AJ$39,"=" &amp; AJ23,AI24:$AI$39)=0,"",SUMIF(AJ24:$AJ$39,"=" &amp; AJ23,AI24:$AI$39)))</f>
        <v>9.2517006802721097E-2</v>
      </c>
      <c r="AJ23" s="139">
        <f t="shared" si="35"/>
        <v>3</v>
      </c>
      <c r="AK23" s="453">
        <f t="shared" si="5"/>
        <v>2</v>
      </c>
      <c r="AL23" s="146" t="str">
        <f t="shared" si="6"/>
        <v/>
      </c>
      <c r="AM23" s="146" t="str">
        <f t="shared" si="7"/>
        <v/>
      </c>
      <c r="AN23" s="146" t="str">
        <f t="shared" si="8"/>
        <v/>
      </c>
      <c r="AO23" s="146" t="str">
        <f t="shared" si="9"/>
        <v/>
      </c>
      <c r="AP23" s="453" t="b">
        <f t="shared" si="10"/>
        <v>1</v>
      </c>
      <c r="AQ23" s="140">
        <f t="shared" si="11"/>
        <v>3</v>
      </c>
      <c r="AR23" s="141" t="str">
        <f t="shared" si="12"/>
        <v/>
      </c>
      <c r="AS23" s="142">
        <f t="shared" si="13"/>
        <v>0</v>
      </c>
      <c r="AT23" s="141" t="str">
        <f t="shared" si="14"/>
        <v/>
      </c>
      <c r="AU23" s="143">
        <f t="shared" si="15"/>
        <v>0</v>
      </c>
      <c r="AV23" s="144" t="str">
        <f t="shared" si="16"/>
        <v/>
      </c>
      <c r="AW23" s="143" t="b">
        <f t="shared" si="17"/>
        <v>0</v>
      </c>
      <c r="AX23" s="145" t="b">
        <f t="shared" si="18"/>
        <v>1</v>
      </c>
      <c r="AY23" s="143" t="b">
        <f t="shared" si="19"/>
        <v>0</v>
      </c>
      <c r="AZ23" s="145" t="b">
        <f t="shared" si="20"/>
        <v>0</v>
      </c>
      <c r="BA23" s="453" t="b">
        <f t="shared" si="21"/>
        <v>0</v>
      </c>
      <c r="BB23" s="453" t="b">
        <f t="shared" si="22"/>
        <v>0</v>
      </c>
      <c r="BC23" s="143" t="b">
        <f t="shared" si="23"/>
        <v>0</v>
      </c>
      <c r="BD23" s="146" t="b">
        <f t="shared" si="24"/>
        <v>0</v>
      </c>
      <c r="BE23" s="145" t="b">
        <f t="shared" si="25"/>
        <v>0</v>
      </c>
      <c r="BF23" s="147" t="b">
        <f t="shared" si="26"/>
        <v>0</v>
      </c>
      <c r="BG23" s="453" t="b">
        <f t="shared" si="27"/>
        <v>1</v>
      </c>
      <c r="BH23" s="453">
        <f t="shared" si="28"/>
        <v>1</v>
      </c>
      <c r="BI23" s="453">
        <f t="shared" si="29"/>
        <v>2</v>
      </c>
      <c r="BJ23" s="453" t="str">
        <f t="shared" si="30"/>
        <v>2*</v>
      </c>
      <c r="BK23" s="453">
        <f t="shared" si="31"/>
        <v>3</v>
      </c>
      <c r="BL23" s="148">
        <f t="shared" si="32"/>
        <v>1</v>
      </c>
      <c r="BM23" s="453">
        <f t="shared" si="33"/>
        <v>2</v>
      </c>
      <c r="BN23" s="453">
        <f t="shared" si="34"/>
        <v>3</v>
      </c>
      <c r="BO23" s="936"/>
      <c r="BP23" s="300" t="s">
        <v>361</v>
      </c>
      <c r="BQ23" s="165">
        <f t="shared" si="36"/>
        <v>0.7</v>
      </c>
      <c r="BR23" s="166">
        <f t="shared" si="36"/>
        <v>0.76670000000000005</v>
      </c>
      <c r="BS23" s="166">
        <f t="shared" si="36"/>
        <v>0.83330000000000004</v>
      </c>
      <c r="BT23" s="166">
        <f t="shared" si="36"/>
        <v>0.9</v>
      </c>
      <c r="BU23" s="167">
        <f t="shared" si="36"/>
        <v>1</v>
      </c>
    </row>
    <row r="24" spans="2:73" s="94" customFormat="1" ht="12.95" customHeight="1" x14ac:dyDescent="0.2">
      <c r="B24" s="151">
        <f>IF(ISNA(Z24),"",IF(OR(Z24=1,Z24=2),"    ",MAX($B$8:B23)+1))</f>
        <v>13</v>
      </c>
      <c r="C24" s="904" t="str">
        <f t="shared" si="0"/>
        <v xml:space="preserve">      - Combat ID Method/Comments (9.3%)</v>
      </c>
      <c r="D24" s="904"/>
      <c r="E24" s="904"/>
      <c r="F24" s="905"/>
      <c r="G24" s="133">
        <f t="shared" si="1"/>
        <v>1</v>
      </c>
      <c r="H24" s="134" t="str">
        <f t="shared" si="2"/>
        <v>2*</v>
      </c>
      <c r="I24" s="152">
        <f t="shared" si="2"/>
        <v>3</v>
      </c>
      <c r="J24" s="157"/>
      <c r="K24" s="154"/>
      <c r="L24" s="1015"/>
      <c r="M24" s="1016"/>
      <c r="N24" s="1016"/>
      <c r="O24" s="1016"/>
      <c r="P24" s="1016"/>
      <c r="Q24" s="1016"/>
      <c r="R24" s="1017"/>
      <c r="T24" s="99">
        <v>17</v>
      </c>
      <c r="U24" s="88" t="s">
        <v>612</v>
      </c>
      <c r="V24" s="453">
        <v>1</v>
      </c>
      <c r="W24" s="453">
        <v>3</v>
      </c>
      <c r="X24" s="453" t="s">
        <v>340</v>
      </c>
      <c r="Y24" s="453" t="s">
        <v>340</v>
      </c>
      <c r="Z24" s="146" t="s">
        <v>340</v>
      </c>
      <c r="AA24" s="146">
        <v>2</v>
      </c>
      <c r="AB24" s="146">
        <v>1</v>
      </c>
      <c r="AC24" s="453">
        <v>3</v>
      </c>
      <c r="AD24" s="453">
        <v>2</v>
      </c>
      <c r="AE24" s="453">
        <v>1</v>
      </c>
      <c r="AF24" s="453" t="b">
        <v>1</v>
      </c>
      <c r="AG24" s="453">
        <f t="shared" si="3"/>
        <v>3</v>
      </c>
      <c r="AH24" s="453">
        <f t="shared" si="4"/>
        <v>2</v>
      </c>
      <c r="AI24" s="138">
        <f>IF(NOT(OR(Z24=1,Z24=2)),IF(AQ24&gt;0,$AR$44*AQ24/SUMIF($AQ$8:$AQ$39,"&gt;0"),IF(AU24&gt;0,$AV$44*AU24/SUMIF($AU$8:$AU$39,"&gt;0"),IF(AS24&gt;0,$AT$44*AS24/SUMIF($AS$8:$AS$39,"&gt;0"),""))),IF(SUMIF(AJ25:$AJ$39,"=" &amp; AJ24,AI25:$AI$39)=0,"",SUMIF(AJ25:$AJ$39,"=" &amp; AJ24,AI25:$AI$39)))</f>
        <v>9.2517006802721097E-2</v>
      </c>
      <c r="AJ24" s="139">
        <f t="shared" si="35"/>
        <v>3</v>
      </c>
      <c r="AK24" s="453">
        <f t="shared" si="5"/>
        <v>2</v>
      </c>
      <c r="AL24" s="146" t="str">
        <f t="shared" si="6"/>
        <v/>
      </c>
      <c r="AM24" s="146" t="str">
        <f t="shared" si="7"/>
        <v/>
      </c>
      <c r="AN24" s="146" t="str">
        <f t="shared" si="8"/>
        <v/>
      </c>
      <c r="AO24" s="146" t="str">
        <f t="shared" si="9"/>
        <v/>
      </c>
      <c r="AP24" s="453" t="b">
        <f t="shared" si="10"/>
        <v>1</v>
      </c>
      <c r="AQ24" s="140">
        <f t="shared" si="11"/>
        <v>3</v>
      </c>
      <c r="AR24" s="141" t="str">
        <f t="shared" si="12"/>
        <v/>
      </c>
      <c r="AS24" s="142">
        <f t="shared" si="13"/>
        <v>0</v>
      </c>
      <c r="AT24" s="141" t="str">
        <f t="shared" si="14"/>
        <v/>
      </c>
      <c r="AU24" s="143">
        <f t="shared" si="15"/>
        <v>0</v>
      </c>
      <c r="AV24" s="144" t="str">
        <f t="shared" si="16"/>
        <v/>
      </c>
      <c r="AW24" s="143" t="b">
        <f t="shared" si="17"/>
        <v>0</v>
      </c>
      <c r="AX24" s="145" t="b">
        <f t="shared" si="18"/>
        <v>1</v>
      </c>
      <c r="AY24" s="143" t="b">
        <f t="shared" si="19"/>
        <v>0</v>
      </c>
      <c r="AZ24" s="145" t="b">
        <f t="shared" si="20"/>
        <v>0</v>
      </c>
      <c r="BA24" s="453" t="b">
        <f t="shared" si="21"/>
        <v>0</v>
      </c>
      <c r="BB24" s="453" t="b">
        <f t="shared" si="22"/>
        <v>0</v>
      </c>
      <c r="BC24" s="143" t="b">
        <f t="shared" si="23"/>
        <v>0</v>
      </c>
      <c r="BD24" s="146" t="b">
        <f t="shared" si="24"/>
        <v>0</v>
      </c>
      <c r="BE24" s="145" t="b">
        <f t="shared" si="25"/>
        <v>0</v>
      </c>
      <c r="BF24" s="147" t="b">
        <f t="shared" si="26"/>
        <v>0</v>
      </c>
      <c r="BG24" s="453" t="b">
        <f t="shared" si="27"/>
        <v>1</v>
      </c>
      <c r="BH24" s="453">
        <f t="shared" si="28"/>
        <v>1</v>
      </c>
      <c r="BI24" s="453">
        <f t="shared" si="29"/>
        <v>2</v>
      </c>
      <c r="BJ24" s="453" t="str">
        <f t="shared" si="30"/>
        <v>2*</v>
      </c>
      <c r="BK24" s="453">
        <f t="shared" si="31"/>
        <v>3</v>
      </c>
      <c r="BL24" s="148">
        <f t="shared" si="32"/>
        <v>1</v>
      </c>
      <c r="BM24" s="453">
        <f t="shared" si="33"/>
        <v>2</v>
      </c>
      <c r="BN24" s="453">
        <f t="shared" si="34"/>
        <v>3</v>
      </c>
      <c r="BO24" s="936"/>
      <c r="BP24" s="300" t="s">
        <v>362</v>
      </c>
      <c r="BQ24" s="165">
        <f t="shared" si="36"/>
        <v>0.6</v>
      </c>
      <c r="BR24" s="166">
        <f t="shared" si="36"/>
        <v>0.9</v>
      </c>
      <c r="BS24" s="166">
        <f t="shared" si="36"/>
        <v>0.93330000000000002</v>
      </c>
      <c r="BT24" s="166">
        <f t="shared" si="36"/>
        <v>0.9667</v>
      </c>
      <c r="BU24" s="167">
        <f t="shared" si="36"/>
        <v>1</v>
      </c>
    </row>
    <row r="25" spans="2:73" s="94" customFormat="1" ht="12.95" customHeight="1" x14ac:dyDescent="0.2">
      <c r="B25" s="151">
        <f>IF(ISNA(Z25),"",IF(OR(Z25=1,Z25=2),"    ",MAX($B$8:B24)+1))</f>
        <v>14</v>
      </c>
      <c r="C25" s="904" t="str">
        <f t="shared" si="0"/>
        <v xml:space="preserve">      - Spatial Freq Method/Comments (9.3%)</v>
      </c>
      <c r="D25" s="904"/>
      <c r="E25" s="904"/>
      <c r="F25" s="905"/>
      <c r="G25" s="133">
        <f t="shared" si="1"/>
        <v>1</v>
      </c>
      <c r="H25" s="134" t="str">
        <f t="shared" si="2"/>
        <v>2*</v>
      </c>
      <c r="I25" s="152">
        <f t="shared" si="2"/>
        <v>3</v>
      </c>
      <c r="J25" s="157"/>
      <c r="K25" s="154"/>
      <c r="L25" s="1015"/>
      <c r="M25" s="1016"/>
      <c r="N25" s="1016"/>
      <c r="O25" s="1016"/>
      <c r="P25" s="1016"/>
      <c r="Q25" s="1016"/>
      <c r="R25" s="1017"/>
      <c r="T25" s="99">
        <v>18</v>
      </c>
      <c r="U25" s="88" t="s">
        <v>613</v>
      </c>
      <c r="V25" s="453">
        <v>1</v>
      </c>
      <c r="W25" s="453">
        <v>3</v>
      </c>
      <c r="X25" s="453" t="s">
        <v>340</v>
      </c>
      <c r="Y25" s="453" t="s">
        <v>340</v>
      </c>
      <c r="Z25" s="146" t="s">
        <v>340</v>
      </c>
      <c r="AA25" s="146">
        <v>2</v>
      </c>
      <c r="AB25" s="146">
        <v>1</v>
      </c>
      <c r="AC25" s="453">
        <v>3</v>
      </c>
      <c r="AD25" s="453">
        <v>2</v>
      </c>
      <c r="AE25" s="453">
        <v>1</v>
      </c>
      <c r="AF25" s="453" t="b">
        <v>1</v>
      </c>
      <c r="AG25" s="453">
        <f t="shared" si="3"/>
        <v>3</v>
      </c>
      <c r="AH25" s="453">
        <f t="shared" si="4"/>
        <v>2</v>
      </c>
      <c r="AI25" s="138">
        <f>IF(NOT(OR(Z25=1,Z25=2)),IF(AQ25&gt;0,$AR$44*AQ25/SUMIF($AQ$8:$AQ$39,"&gt;0"),IF(AU25&gt;0,$AV$44*AU25/SUMIF($AU$8:$AU$39,"&gt;0"),IF(AS25&gt;0,$AT$44*AS25/SUMIF($AS$8:$AS$39,"&gt;0"),""))),IF(SUMIF(AJ26:$AJ$39,"=" &amp; AJ25,AI26:$AI$39)=0,"",SUMIF(AJ26:$AJ$39,"=" &amp; AJ25,AI26:$AI$39)))</f>
        <v>9.2517006802721097E-2</v>
      </c>
      <c r="AJ25" s="139">
        <f t="shared" si="35"/>
        <v>3</v>
      </c>
      <c r="AK25" s="453">
        <f t="shared" si="5"/>
        <v>2</v>
      </c>
      <c r="AL25" s="146" t="str">
        <f t="shared" si="6"/>
        <v/>
      </c>
      <c r="AM25" s="146" t="str">
        <f t="shared" si="7"/>
        <v/>
      </c>
      <c r="AN25" s="146" t="str">
        <f t="shared" si="8"/>
        <v/>
      </c>
      <c r="AO25" s="146" t="str">
        <f t="shared" si="9"/>
        <v/>
      </c>
      <c r="AP25" s="453" t="b">
        <f t="shared" si="10"/>
        <v>1</v>
      </c>
      <c r="AQ25" s="140">
        <f t="shared" si="11"/>
        <v>3</v>
      </c>
      <c r="AR25" s="141" t="str">
        <f t="shared" si="12"/>
        <v/>
      </c>
      <c r="AS25" s="142">
        <f t="shared" si="13"/>
        <v>0</v>
      </c>
      <c r="AT25" s="141" t="str">
        <f t="shared" si="14"/>
        <v/>
      </c>
      <c r="AU25" s="143">
        <f t="shared" si="15"/>
        <v>0</v>
      </c>
      <c r="AV25" s="144" t="str">
        <f t="shared" si="16"/>
        <v/>
      </c>
      <c r="AW25" s="143" t="b">
        <f t="shared" si="17"/>
        <v>0</v>
      </c>
      <c r="AX25" s="145" t="b">
        <f t="shared" si="18"/>
        <v>1</v>
      </c>
      <c r="AY25" s="143" t="b">
        <f t="shared" si="19"/>
        <v>0</v>
      </c>
      <c r="AZ25" s="145" t="b">
        <f t="shared" si="20"/>
        <v>0</v>
      </c>
      <c r="BA25" s="453" t="b">
        <f t="shared" si="21"/>
        <v>0</v>
      </c>
      <c r="BB25" s="453" t="b">
        <f t="shared" si="22"/>
        <v>0</v>
      </c>
      <c r="BC25" s="143" t="b">
        <f t="shared" si="23"/>
        <v>0</v>
      </c>
      <c r="BD25" s="146" t="b">
        <f t="shared" si="24"/>
        <v>0</v>
      </c>
      <c r="BE25" s="145" t="b">
        <f t="shared" si="25"/>
        <v>0</v>
      </c>
      <c r="BF25" s="147" t="b">
        <f t="shared" si="26"/>
        <v>0</v>
      </c>
      <c r="BG25" s="453" t="b">
        <f t="shared" si="27"/>
        <v>1</v>
      </c>
      <c r="BH25" s="453">
        <f t="shared" si="28"/>
        <v>1</v>
      </c>
      <c r="BI25" s="453">
        <f t="shared" si="29"/>
        <v>2</v>
      </c>
      <c r="BJ25" s="453" t="str">
        <f t="shared" si="30"/>
        <v>2*</v>
      </c>
      <c r="BK25" s="453">
        <f t="shared" si="31"/>
        <v>3</v>
      </c>
      <c r="BL25" s="148">
        <f t="shared" si="32"/>
        <v>1</v>
      </c>
      <c r="BM25" s="453">
        <f t="shared" si="33"/>
        <v>2</v>
      </c>
      <c r="BN25" s="453">
        <f t="shared" si="34"/>
        <v>3</v>
      </c>
      <c r="BO25" s="936"/>
      <c r="BP25" s="300" t="s">
        <v>363</v>
      </c>
      <c r="BQ25" s="165">
        <f t="shared" si="36"/>
        <v>0.6</v>
      </c>
      <c r="BR25" s="166">
        <f t="shared" si="36"/>
        <v>0.7</v>
      </c>
      <c r="BS25" s="166">
        <f t="shared" si="36"/>
        <v>0.9</v>
      </c>
      <c r="BT25" s="166">
        <f t="shared" si="36"/>
        <v>0.95</v>
      </c>
      <c r="BU25" s="167">
        <f t="shared" si="36"/>
        <v>1</v>
      </c>
    </row>
    <row r="26" spans="2:73" s="94" customFormat="1" ht="12.95" customHeight="1" x14ac:dyDescent="0.2">
      <c r="B26" s="151">
        <f>IF(ISNA(Z26),"",IF(OR(Z26=1,Z26=2),"    ",MAX($B$8:B25)+1))</f>
        <v>15</v>
      </c>
      <c r="C26" s="904" t="str">
        <f t="shared" si="0"/>
        <v xml:space="preserve">      - Op Eval Task &amp; Bedford Scale  (9.3%)</v>
      </c>
      <c r="D26" s="904"/>
      <c r="E26" s="904"/>
      <c r="F26" s="905"/>
      <c r="G26" s="133">
        <f t="shared" si="1"/>
        <v>1</v>
      </c>
      <c r="H26" s="134" t="str">
        <f t="shared" si="2"/>
        <v>1</v>
      </c>
      <c r="I26" s="152">
        <f t="shared" si="2"/>
        <v>3</v>
      </c>
      <c r="J26" s="157"/>
      <c r="K26" s="154"/>
      <c r="L26" s="1015"/>
      <c r="M26" s="1016"/>
      <c r="N26" s="1016"/>
      <c r="O26" s="1016"/>
      <c r="P26" s="1016"/>
      <c r="Q26" s="1016"/>
      <c r="R26" s="1017"/>
      <c r="T26" s="99">
        <v>19</v>
      </c>
      <c r="U26" s="88" t="s">
        <v>614</v>
      </c>
      <c r="V26" s="453">
        <v>1</v>
      </c>
      <c r="W26" s="453">
        <v>3</v>
      </c>
      <c r="X26" s="453" t="s">
        <v>340</v>
      </c>
      <c r="Y26" s="453" t="s">
        <v>340</v>
      </c>
      <c r="Z26" s="146" t="s">
        <v>340</v>
      </c>
      <c r="AA26" s="146">
        <v>2</v>
      </c>
      <c r="AB26" s="146">
        <v>1</v>
      </c>
      <c r="AC26" s="453">
        <v>3</v>
      </c>
      <c r="AD26" s="453">
        <v>1</v>
      </c>
      <c r="AE26" s="453">
        <v>0</v>
      </c>
      <c r="AF26" s="453" t="b">
        <v>1</v>
      </c>
      <c r="AG26" s="453">
        <f t="shared" si="3"/>
        <v>3</v>
      </c>
      <c r="AH26" s="453">
        <f t="shared" si="4"/>
        <v>2</v>
      </c>
      <c r="AI26" s="138">
        <f>IF(NOT(OR(Z26=1,Z26=2)),IF(AQ26&gt;0,$AR$44*AQ26/SUMIF($AQ$8:$AQ$39,"&gt;0"),IF(AU26&gt;0,$AV$44*AU26/SUMIF($AU$8:$AU$39,"&gt;0"),IF(AS26&gt;0,$AT$44*AS26/SUMIF($AS$8:$AS$39,"&gt;0"),""))),IF(SUMIF(AJ27:$AJ$39,"=" &amp; AJ26,AI27:$AI$39)=0,"",SUMIF(AJ27:$AJ$39,"=" &amp; AJ26,AI27:$AI$39)))</f>
        <v>9.2517006802721097E-2</v>
      </c>
      <c r="AJ26" s="139">
        <f t="shared" si="35"/>
        <v>3</v>
      </c>
      <c r="AK26" s="453">
        <f t="shared" si="5"/>
        <v>1</v>
      </c>
      <c r="AL26" s="146" t="str">
        <f t="shared" si="6"/>
        <v/>
      </c>
      <c r="AM26" s="146" t="str">
        <f t="shared" si="7"/>
        <v/>
      </c>
      <c r="AN26" s="146" t="str">
        <f t="shared" si="8"/>
        <v/>
      </c>
      <c r="AO26" s="146" t="str">
        <f t="shared" si="9"/>
        <v/>
      </c>
      <c r="AP26" s="453" t="b">
        <f t="shared" si="10"/>
        <v>1</v>
      </c>
      <c r="AQ26" s="140">
        <f t="shared" si="11"/>
        <v>3</v>
      </c>
      <c r="AR26" s="141" t="str">
        <f t="shared" si="12"/>
        <v/>
      </c>
      <c r="AS26" s="142">
        <f t="shared" si="13"/>
        <v>0</v>
      </c>
      <c r="AT26" s="141" t="str">
        <f t="shared" si="14"/>
        <v/>
      </c>
      <c r="AU26" s="143">
        <f t="shared" si="15"/>
        <v>0</v>
      </c>
      <c r="AV26" s="144" t="str">
        <f t="shared" si="16"/>
        <v/>
      </c>
      <c r="AW26" s="143" t="b">
        <f t="shared" si="17"/>
        <v>0</v>
      </c>
      <c r="AX26" s="145" t="b">
        <f t="shared" si="18"/>
        <v>1</v>
      </c>
      <c r="AY26" s="143" t="b">
        <f t="shared" si="19"/>
        <v>0</v>
      </c>
      <c r="AZ26" s="145" t="b">
        <f t="shared" si="20"/>
        <v>0</v>
      </c>
      <c r="BA26" s="453" t="b">
        <f t="shared" si="21"/>
        <v>0</v>
      </c>
      <c r="BB26" s="453" t="b">
        <f t="shared" si="22"/>
        <v>0</v>
      </c>
      <c r="BC26" s="143" t="b">
        <f t="shared" si="23"/>
        <v>0</v>
      </c>
      <c r="BD26" s="146" t="b">
        <f t="shared" si="24"/>
        <v>0</v>
      </c>
      <c r="BE26" s="145" t="b">
        <f t="shared" si="25"/>
        <v>0</v>
      </c>
      <c r="BF26" s="147" t="b">
        <f t="shared" si="26"/>
        <v>0</v>
      </c>
      <c r="BG26" s="453" t="b">
        <f t="shared" si="27"/>
        <v>1</v>
      </c>
      <c r="BH26" s="453">
        <f t="shared" si="28"/>
        <v>1</v>
      </c>
      <c r="BI26" s="453">
        <f t="shared" si="29"/>
        <v>1</v>
      </c>
      <c r="BJ26" s="453" t="str">
        <f t="shared" si="30"/>
        <v>1</v>
      </c>
      <c r="BK26" s="453">
        <f t="shared" si="31"/>
        <v>3</v>
      </c>
      <c r="BL26" s="148">
        <f t="shared" si="32"/>
        <v>1</v>
      </c>
      <c r="BM26" s="453">
        <f t="shared" si="33"/>
        <v>1</v>
      </c>
      <c r="BN26" s="453">
        <f t="shared" si="34"/>
        <v>3</v>
      </c>
      <c r="BO26" s="936"/>
      <c r="BP26" s="300" t="s">
        <v>364</v>
      </c>
      <c r="BQ26" s="165">
        <f t="shared" si="36"/>
        <v>0.6</v>
      </c>
      <c r="BR26" s="166">
        <f t="shared" si="36"/>
        <v>0.7</v>
      </c>
      <c r="BS26" s="166">
        <f t="shared" si="36"/>
        <v>0.8</v>
      </c>
      <c r="BT26" s="166">
        <f t="shared" si="36"/>
        <v>0.9</v>
      </c>
      <c r="BU26" s="167">
        <f t="shared" si="36"/>
        <v>1</v>
      </c>
    </row>
    <row r="27" spans="2:73" s="94" customFormat="1" ht="12.95" customHeight="1" x14ac:dyDescent="0.2">
      <c r="B27" s="151">
        <f>IF(ISNA(Z27),"",IF(OR(Z27=1,Z27=2),"    ",MAX($B$8:B26)+1))</f>
        <v>16</v>
      </c>
      <c r="C27" s="904" t="str">
        <f t="shared" si="0"/>
        <v xml:space="preserve">      - FCR A/G Functionality Demos (6.2%)</v>
      </c>
      <c r="D27" s="904"/>
      <c r="E27" s="904"/>
      <c r="F27" s="905"/>
      <c r="G27" s="133">
        <f t="shared" si="1"/>
        <v>1</v>
      </c>
      <c r="H27" s="134" t="str">
        <f t="shared" si="2"/>
        <v>2*</v>
      </c>
      <c r="I27" s="152">
        <f t="shared" si="2"/>
        <v>3</v>
      </c>
      <c r="J27" s="157"/>
      <c r="K27" s="154"/>
      <c r="L27" s="1015"/>
      <c r="M27" s="1016"/>
      <c r="N27" s="1016"/>
      <c r="O27" s="1016"/>
      <c r="P27" s="1016"/>
      <c r="Q27" s="1016"/>
      <c r="R27" s="1017"/>
      <c r="T27" s="99">
        <v>20</v>
      </c>
      <c r="U27" s="88" t="s">
        <v>615</v>
      </c>
      <c r="V27" s="453">
        <v>1</v>
      </c>
      <c r="W27" s="453">
        <v>2</v>
      </c>
      <c r="X27" s="453" t="s">
        <v>340</v>
      </c>
      <c r="Y27" s="453" t="s">
        <v>340</v>
      </c>
      <c r="Z27" s="146" t="s">
        <v>340</v>
      </c>
      <c r="AA27" s="146">
        <v>2</v>
      </c>
      <c r="AB27" s="146">
        <v>1</v>
      </c>
      <c r="AC27" s="453">
        <v>3</v>
      </c>
      <c r="AD27" s="453">
        <v>2</v>
      </c>
      <c r="AE27" s="453">
        <v>1</v>
      </c>
      <c r="AF27" s="453" t="b">
        <v>1</v>
      </c>
      <c r="AG27" s="453">
        <f t="shared" si="3"/>
        <v>3</v>
      </c>
      <c r="AH27" s="453">
        <f t="shared" si="4"/>
        <v>2</v>
      </c>
      <c r="AI27" s="138">
        <f>IF(NOT(OR(Z27=1,Z27=2)),IF(AQ27&gt;0,$AR$44*AQ27/SUMIF($AQ$8:$AQ$39,"&gt;0"),IF(AU27&gt;0,$AV$44*AU27/SUMIF($AU$8:$AU$39,"&gt;0"),IF(AS27&gt;0,$AT$44*AS27/SUMIF($AS$8:$AS$39,"&gt;0"),""))),IF(SUMIF(AJ28:$AJ$39,"=" &amp; AJ27,AI28:$AI$39)=0,"",SUMIF(AJ28:$AJ$39,"=" &amp; AJ27,AI28:$AI$39)))</f>
        <v>6.1678004535147393E-2</v>
      </c>
      <c r="AJ27" s="139">
        <f t="shared" si="35"/>
        <v>3</v>
      </c>
      <c r="AK27" s="453">
        <f t="shared" si="5"/>
        <v>2</v>
      </c>
      <c r="AL27" s="146" t="str">
        <f t="shared" si="6"/>
        <v/>
      </c>
      <c r="AM27" s="146" t="str">
        <f t="shared" si="7"/>
        <v/>
      </c>
      <c r="AN27" s="146" t="str">
        <f t="shared" si="8"/>
        <v/>
      </c>
      <c r="AO27" s="146" t="str">
        <f t="shared" si="9"/>
        <v/>
      </c>
      <c r="AP27" s="453" t="b">
        <f t="shared" si="10"/>
        <v>1</v>
      </c>
      <c r="AQ27" s="140">
        <f t="shared" si="11"/>
        <v>2</v>
      </c>
      <c r="AR27" s="141" t="str">
        <f t="shared" si="12"/>
        <v/>
      </c>
      <c r="AS27" s="142">
        <f t="shared" si="13"/>
        <v>0</v>
      </c>
      <c r="AT27" s="141" t="str">
        <f t="shared" si="14"/>
        <v/>
      </c>
      <c r="AU27" s="143">
        <f t="shared" si="15"/>
        <v>0</v>
      </c>
      <c r="AV27" s="144" t="str">
        <f t="shared" si="16"/>
        <v/>
      </c>
      <c r="AW27" s="143" t="b">
        <f t="shared" si="17"/>
        <v>0</v>
      </c>
      <c r="AX27" s="145" t="b">
        <f t="shared" si="18"/>
        <v>1</v>
      </c>
      <c r="AY27" s="143" t="b">
        <f t="shared" si="19"/>
        <v>0</v>
      </c>
      <c r="AZ27" s="145" t="b">
        <f t="shared" si="20"/>
        <v>0</v>
      </c>
      <c r="BA27" s="453" t="b">
        <f t="shared" si="21"/>
        <v>0</v>
      </c>
      <c r="BB27" s="453" t="b">
        <f t="shared" si="22"/>
        <v>0</v>
      </c>
      <c r="BC27" s="143" t="b">
        <f t="shared" si="23"/>
        <v>0</v>
      </c>
      <c r="BD27" s="146" t="b">
        <f t="shared" si="24"/>
        <v>0</v>
      </c>
      <c r="BE27" s="145" t="b">
        <f t="shared" si="25"/>
        <v>0</v>
      </c>
      <c r="BF27" s="147" t="b">
        <f t="shared" si="26"/>
        <v>0</v>
      </c>
      <c r="BG27" s="453" t="b">
        <f t="shared" si="27"/>
        <v>1</v>
      </c>
      <c r="BH27" s="453">
        <f t="shared" si="28"/>
        <v>1</v>
      </c>
      <c r="BI27" s="453">
        <f t="shared" si="29"/>
        <v>2</v>
      </c>
      <c r="BJ27" s="453" t="str">
        <f t="shared" si="30"/>
        <v>2*</v>
      </c>
      <c r="BK27" s="453">
        <f t="shared" si="31"/>
        <v>3</v>
      </c>
      <c r="BL27" s="148">
        <f t="shared" si="32"/>
        <v>1</v>
      </c>
      <c r="BM27" s="453">
        <f t="shared" si="33"/>
        <v>2</v>
      </c>
      <c r="BN27" s="453">
        <f t="shared" si="34"/>
        <v>3</v>
      </c>
      <c r="BO27" s="936"/>
      <c r="BP27" s="300" t="s">
        <v>365</v>
      </c>
      <c r="BQ27" s="165">
        <f t="shared" si="36"/>
        <v>0.3</v>
      </c>
      <c r="BR27" s="166">
        <f t="shared" si="36"/>
        <v>0.6</v>
      </c>
      <c r="BS27" s="166">
        <f t="shared" si="36"/>
        <v>0.9</v>
      </c>
      <c r="BT27" s="166">
        <f t="shared" si="36"/>
        <v>0.95</v>
      </c>
      <c r="BU27" s="167">
        <f t="shared" si="36"/>
        <v>1</v>
      </c>
    </row>
    <row r="28" spans="2:73" s="94" customFormat="1" ht="12.95" customHeight="1" x14ac:dyDescent="0.2">
      <c r="B28" s="151" t="str">
        <f>IF(ISNA(Z28),"",IF(OR(Z28=1,Z28=2),"    ",MAX($B$8:B27)+1))</f>
        <v/>
      </c>
      <c r="C28" s="904" t="str">
        <f t="shared" si="0"/>
        <v/>
      </c>
      <c r="D28" s="904"/>
      <c r="E28" s="904"/>
      <c r="F28" s="905"/>
      <c r="G28" s="133" t="str">
        <f t="shared" si="1"/>
        <v/>
      </c>
      <c r="H28" s="134" t="str">
        <f t="shared" si="2"/>
        <v/>
      </c>
      <c r="I28" s="152" t="str">
        <f t="shared" si="2"/>
        <v/>
      </c>
      <c r="J28" s="158"/>
      <c r="K28" s="159"/>
      <c r="L28" s="1015"/>
      <c r="M28" s="1016"/>
      <c r="N28" s="1016"/>
      <c r="O28" s="1016"/>
      <c r="P28" s="1016"/>
      <c r="Q28" s="1016"/>
      <c r="R28" s="1017"/>
      <c r="T28" s="99">
        <v>21</v>
      </c>
      <c r="U28" s="88" t="e">
        <v>#N/A</v>
      </c>
      <c r="V28" s="453" t="e">
        <v>#N/A</v>
      </c>
      <c r="W28" s="453" t="e">
        <v>#N/A</v>
      </c>
      <c r="X28" s="453" t="e">
        <v>#N/A</v>
      </c>
      <c r="Y28" s="453" t="e">
        <v>#N/A</v>
      </c>
      <c r="Z28" s="146" t="e">
        <v>#N/A</v>
      </c>
      <c r="AA28" s="146" t="e">
        <v>#N/A</v>
      </c>
      <c r="AB28" s="146" t="e">
        <v>#N/A</v>
      </c>
      <c r="AC28" s="453" t="e">
        <v>#N/A</v>
      </c>
      <c r="AD28" s="453" t="e">
        <v>#N/A</v>
      </c>
      <c r="AE28" s="453" t="e">
        <v>#N/A</v>
      </c>
      <c r="AF28" s="453" t="e">
        <v>#N/A</v>
      </c>
      <c r="AG28" s="453" t="e">
        <f t="shared" si="3"/>
        <v>#N/A</v>
      </c>
      <c r="AH28" s="453" t="str">
        <f t="shared" si="4"/>
        <v/>
      </c>
      <c r="AI28" s="138" t="e">
        <f>IF(NOT(OR(Z28=1,Z28=2)),IF(AQ28&gt;0,$AR$44*AQ28/SUMIF($AQ$8:$AQ$39,"&gt;0"),IF(AU28&gt;0,$AV$44*AU28/SUMIF($AU$8:$AU$39,"&gt;0"),IF(AS28&gt;0,$AT$44*AS28/SUMIF($AS$8:$AS$39,"&gt;0"),""))),IF(SUMIF(AJ29:$AJ$39,"=" &amp; AJ28,AI29:$AI$39)=0,"",SUMIF(AJ29:$AJ$39,"=" &amp; AJ28,AI29:$AI$39)))</f>
        <v>#N/A</v>
      </c>
      <c r="AJ28" s="139" t="e">
        <f t="shared" si="35"/>
        <v>#N/A</v>
      </c>
      <c r="AK28" s="453" t="str">
        <f t="shared" si="5"/>
        <v/>
      </c>
      <c r="AL28" s="146" t="str">
        <f t="shared" si="6"/>
        <v/>
      </c>
      <c r="AM28" s="146" t="str">
        <f t="shared" si="7"/>
        <v/>
      </c>
      <c r="AN28" s="146" t="str">
        <f t="shared" si="8"/>
        <v/>
      </c>
      <c r="AO28" s="146" t="e">
        <f t="shared" si="9"/>
        <v>#N/A</v>
      </c>
      <c r="AP28" s="453" t="str">
        <f t="shared" si="10"/>
        <v/>
      </c>
      <c r="AQ28" s="140">
        <f t="shared" si="11"/>
        <v>0</v>
      </c>
      <c r="AR28" s="141" t="str">
        <f t="shared" si="12"/>
        <v/>
      </c>
      <c r="AS28" s="142">
        <f t="shared" si="13"/>
        <v>0</v>
      </c>
      <c r="AT28" s="141" t="str">
        <f t="shared" si="14"/>
        <v/>
      </c>
      <c r="AU28" s="143">
        <f t="shared" si="15"/>
        <v>0</v>
      </c>
      <c r="AV28" s="144" t="str">
        <f t="shared" si="16"/>
        <v/>
      </c>
      <c r="AW28" s="143" t="b">
        <f t="shared" si="17"/>
        <v>0</v>
      </c>
      <c r="AX28" s="145" t="b">
        <f t="shared" si="18"/>
        <v>0</v>
      </c>
      <c r="AY28" s="143" t="b">
        <f t="shared" si="19"/>
        <v>0</v>
      </c>
      <c r="AZ28" s="145" t="b">
        <f t="shared" si="20"/>
        <v>0</v>
      </c>
      <c r="BA28" s="453" t="b">
        <f t="shared" si="21"/>
        <v>0</v>
      </c>
      <c r="BB28" s="453" t="b">
        <f t="shared" si="22"/>
        <v>0</v>
      </c>
      <c r="BC28" s="143" t="b">
        <f t="shared" si="23"/>
        <v>0</v>
      </c>
      <c r="BD28" s="146" t="b">
        <f t="shared" si="24"/>
        <v>0</v>
      </c>
      <c r="BE28" s="145" t="b">
        <f t="shared" si="25"/>
        <v>0</v>
      </c>
      <c r="BF28" s="147" t="b">
        <f t="shared" si="26"/>
        <v>0</v>
      </c>
      <c r="BG28" s="453" t="str">
        <f t="shared" si="27"/>
        <v>NA</v>
      </c>
      <c r="BH28" s="453" t="str">
        <f t="shared" si="28"/>
        <v/>
      </c>
      <c r="BI28" s="453" t="str">
        <f t="shared" si="29"/>
        <v/>
      </c>
      <c r="BJ28" s="453" t="str">
        <f t="shared" si="30"/>
        <v/>
      </c>
      <c r="BK28" s="453" t="str">
        <f t="shared" si="31"/>
        <v/>
      </c>
      <c r="BL28" s="148" t="str">
        <f t="shared" si="32"/>
        <v/>
      </c>
      <c r="BM28" s="453" t="str">
        <f t="shared" si="33"/>
        <v/>
      </c>
      <c r="BN28" s="453" t="str">
        <f t="shared" si="34"/>
        <v/>
      </c>
      <c r="BO28" s="936"/>
      <c r="BP28" s="300" t="s">
        <v>366</v>
      </c>
      <c r="BQ28" s="165">
        <f t="shared" si="36"/>
        <v>0.3</v>
      </c>
      <c r="BR28" s="166">
        <f t="shared" si="36"/>
        <v>0.6</v>
      </c>
      <c r="BS28" s="166">
        <f t="shared" si="36"/>
        <v>0.7</v>
      </c>
      <c r="BT28" s="166">
        <f t="shared" si="36"/>
        <v>0.9</v>
      </c>
      <c r="BU28" s="167">
        <f t="shared" si="36"/>
        <v>1</v>
      </c>
    </row>
    <row r="29" spans="2:73" s="94" customFormat="1" ht="12.95" customHeight="1" x14ac:dyDescent="0.2">
      <c r="B29" s="151" t="str">
        <f>IF(ISNA(Z29),"",IF(OR(Z29=1,Z29=2),"    ",MAX($B$8:B28)+1))</f>
        <v/>
      </c>
      <c r="C29" s="904" t="str">
        <f t="shared" si="0"/>
        <v/>
      </c>
      <c r="D29" s="904"/>
      <c r="E29" s="904"/>
      <c r="F29" s="905"/>
      <c r="G29" s="133" t="str">
        <f t="shared" si="1"/>
        <v/>
      </c>
      <c r="H29" s="134" t="str">
        <f t="shared" si="2"/>
        <v/>
      </c>
      <c r="I29" s="152" t="str">
        <f t="shared" si="2"/>
        <v/>
      </c>
      <c r="J29" s="158"/>
      <c r="K29" s="159"/>
      <c r="L29" s="1015"/>
      <c r="M29" s="1016"/>
      <c r="N29" s="1016"/>
      <c r="O29" s="1016"/>
      <c r="P29" s="1016"/>
      <c r="Q29" s="1016"/>
      <c r="R29" s="1017"/>
      <c r="T29" s="99">
        <v>22</v>
      </c>
      <c r="U29" s="88" t="e">
        <v>#N/A</v>
      </c>
      <c r="V29" s="453" t="e">
        <v>#N/A</v>
      </c>
      <c r="W29" s="453" t="e">
        <v>#N/A</v>
      </c>
      <c r="X29" s="453" t="e">
        <v>#N/A</v>
      </c>
      <c r="Y29" s="453" t="e">
        <v>#N/A</v>
      </c>
      <c r="Z29" s="146" t="e">
        <v>#N/A</v>
      </c>
      <c r="AA29" s="146" t="e">
        <v>#N/A</v>
      </c>
      <c r="AB29" s="146" t="e">
        <v>#N/A</v>
      </c>
      <c r="AC29" s="453" t="e">
        <v>#N/A</v>
      </c>
      <c r="AD29" s="453" t="e">
        <v>#N/A</v>
      </c>
      <c r="AE29" s="453" t="e">
        <v>#N/A</v>
      </c>
      <c r="AF29" s="453" t="e">
        <v>#N/A</v>
      </c>
      <c r="AG29" s="453" t="e">
        <f t="shared" si="3"/>
        <v>#N/A</v>
      </c>
      <c r="AH29" s="453" t="str">
        <f t="shared" si="4"/>
        <v/>
      </c>
      <c r="AI29" s="138" t="e">
        <f>IF(NOT(OR(Z29=1,Z29=2)),IF(AQ29&gt;0,$AR$44*AQ29/SUMIF($AQ$8:$AQ$39,"&gt;0"),IF(AU29&gt;0,$AV$44*AU29/SUMIF($AU$8:$AU$39,"&gt;0"),IF(AS29&gt;0,$AT$44*AS29/SUMIF($AS$8:$AS$39,"&gt;0"),""))),IF(SUMIF(AJ30:$AJ$39,"=" &amp; AJ29,AI30:$AI$39)=0,"",SUMIF(AJ30:$AJ$39,"=" &amp; AJ29,AI30:$AI$39)))</f>
        <v>#N/A</v>
      </c>
      <c r="AJ29" s="139" t="e">
        <f t="shared" si="35"/>
        <v>#N/A</v>
      </c>
      <c r="AK29" s="453" t="str">
        <f t="shared" si="5"/>
        <v/>
      </c>
      <c r="AL29" s="146" t="str">
        <f t="shared" si="6"/>
        <v/>
      </c>
      <c r="AM29" s="146" t="str">
        <f t="shared" si="7"/>
        <v/>
      </c>
      <c r="AN29" s="146" t="str">
        <f t="shared" si="8"/>
        <v/>
      </c>
      <c r="AO29" s="146" t="e">
        <f t="shared" si="9"/>
        <v>#N/A</v>
      </c>
      <c r="AP29" s="453" t="str">
        <f t="shared" si="10"/>
        <v/>
      </c>
      <c r="AQ29" s="140">
        <f t="shared" si="11"/>
        <v>0</v>
      </c>
      <c r="AR29" s="141" t="str">
        <f t="shared" si="12"/>
        <v/>
      </c>
      <c r="AS29" s="142">
        <f t="shared" si="13"/>
        <v>0</v>
      </c>
      <c r="AT29" s="141" t="str">
        <f t="shared" si="14"/>
        <v/>
      </c>
      <c r="AU29" s="143">
        <f t="shared" si="15"/>
        <v>0</v>
      </c>
      <c r="AV29" s="144" t="str">
        <f t="shared" si="16"/>
        <v/>
      </c>
      <c r="AW29" s="143" t="b">
        <f t="shared" si="17"/>
        <v>0</v>
      </c>
      <c r="AX29" s="145" t="b">
        <f t="shared" si="18"/>
        <v>0</v>
      </c>
      <c r="AY29" s="143" t="b">
        <f t="shared" si="19"/>
        <v>0</v>
      </c>
      <c r="AZ29" s="145" t="b">
        <f t="shared" si="20"/>
        <v>0</v>
      </c>
      <c r="BA29" s="453" t="b">
        <f t="shared" si="21"/>
        <v>0</v>
      </c>
      <c r="BB29" s="453" t="b">
        <f t="shared" si="22"/>
        <v>0</v>
      </c>
      <c r="BC29" s="143" t="b">
        <f t="shared" si="23"/>
        <v>0</v>
      </c>
      <c r="BD29" s="146" t="b">
        <f t="shared" si="24"/>
        <v>0</v>
      </c>
      <c r="BE29" s="145" t="b">
        <f t="shared" si="25"/>
        <v>0</v>
      </c>
      <c r="BF29" s="147" t="b">
        <f t="shared" si="26"/>
        <v>0</v>
      </c>
      <c r="BG29" s="453" t="str">
        <f t="shared" si="27"/>
        <v>NA</v>
      </c>
      <c r="BH29" s="453" t="str">
        <f t="shared" si="28"/>
        <v/>
      </c>
      <c r="BI29" s="453" t="str">
        <f t="shared" si="29"/>
        <v/>
      </c>
      <c r="BJ29" s="453" t="str">
        <f t="shared" si="30"/>
        <v/>
      </c>
      <c r="BK29" s="453" t="str">
        <f t="shared" si="31"/>
        <v/>
      </c>
      <c r="BL29" s="148" t="str">
        <f t="shared" si="32"/>
        <v/>
      </c>
      <c r="BM29" s="453" t="str">
        <f t="shared" si="33"/>
        <v/>
      </c>
      <c r="BN29" s="453" t="str">
        <f t="shared" si="34"/>
        <v/>
      </c>
      <c r="BO29" s="936"/>
      <c r="BP29" s="300" t="s">
        <v>367</v>
      </c>
      <c r="BQ29" s="168">
        <f t="shared" si="36"/>
        <v>0</v>
      </c>
      <c r="BR29" s="169">
        <f t="shared" si="36"/>
        <v>0.3</v>
      </c>
      <c r="BS29" s="169">
        <f t="shared" si="36"/>
        <v>0.6</v>
      </c>
      <c r="BT29" s="169">
        <f t="shared" si="36"/>
        <v>0.9</v>
      </c>
      <c r="BU29" s="170">
        <f t="shared" si="36"/>
        <v>1</v>
      </c>
    </row>
    <row r="30" spans="2:73" s="94" customFormat="1" ht="12.95" customHeight="1" x14ac:dyDescent="0.2">
      <c r="B30" s="151" t="str">
        <f>IF(ISNA(Z30),"",IF(OR(Z30=1,Z30=2),"    ",MAX($B$8:B29)+1))</f>
        <v/>
      </c>
      <c r="C30" s="904" t="str">
        <f t="shared" si="0"/>
        <v/>
      </c>
      <c r="D30" s="904"/>
      <c r="E30" s="904"/>
      <c r="F30" s="905"/>
      <c r="G30" s="133" t="str">
        <f t="shared" si="1"/>
        <v/>
      </c>
      <c r="H30" s="134" t="str">
        <f t="shared" si="2"/>
        <v/>
      </c>
      <c r="I30" s="152" t="str">
        <f t="shared" si="2"/>
        <v/>
      </c>
      <c r="J30" s="158"/>
      <c r="K30" s="159"/>
      <c r="L30" s="1015"/>
      <c r="M30" s="1016"/>
      <c r="N30" s="1016"/>
      <c r="O30" s="1016"/>
      <c r="P30" s="1016"/>
      <c r="Q30" s="1016"/>
      <c r="R30" s="1017"/>
      <c r="T30" s="99">
        <v>23</v>
      </c>
      <c r="U30" s="88" t="e">
        <v>#N/A</v>
      </c>
      <c r="V30" s="453" t="e">
        <v>#N/A</v>
      </c>
      <c r="W30" s="453" t="e">
        <v>#N/A</v>
      </c>
      <c r="X30" s="453" t="e">
        <v>#N/A</v>
      </c>
      <c r="Y30" s="453" t="e">
        <v>#N/A</v>
      </c>
      <c r="Z30" s="146" t="e">
        <v>#N/A</v>
      </c>
      <c r="AA30" s="146" t="e">
        <v>#N/A</v>
      </c>
      <c r="AB30" s="146" t="e">
        <v>#N/A</v>
      </c>
      <c r="AC30" s="453" t="e">
        <v>#N/A</v>
      </c>
      <c r="AD30" s="453" t="e">
        <v>#N/A</v>
      </c>
      <c r="AE30" s="453" t="e">
        <v>#N/A</v>
      </c>
      <c r="AF30" s="453" t="e">
        <v>#N/A</v>
      </c>
      <c r="AG30" s="453" t="e">
        <f t="shared" si="3"/>
        <v>#N/A</v>
      </c>
      <c r="AH30" s="453" t="str">
        <f t="shared" si="4"/>
        <v/>
      </c>
      <c r="AI30" s="138" t="e">
        <f>IF(NOT(OR(Z30=1,Z30=2)),IF(AQ30&gt;0,$AR$44*AQ30/SUMIF($AQ$8:$AQ$39,"&gt;0"),IF(AU30&gt;0,$AV$44*AU30/SUMIF($AU$8:$AU$39,"&gt;0"),IF(AS30&gt;0,$AT$44*AS30/SUMIF($AS$8:$AS$39,"&gt;0"),""))),IF(SUMIF(AJ31:$AJ$39,"=" &amp; AJ30,AI31:$AI$39)=0,"",SUMIF(AJ31:$AJ$39,"=" &amp; AJ30,AI31:$AI$39)))</f>
        <v>#N/A</v>
      </c>
      <c r="AJ30" s="139" t="e">
        <f t="shared" si="35"/>
        <v>#N/A</v>
      </c>
      <c r="AK30" s="453" t="str">
        <f t="shared" si="5"/>
        <v/>
      </c>
      <c r="AL30" s="146" t="str">
        <f t="shared" si="6"/>
        <v/>
      </c>
      <c r="AM30" s="146" t="str">
        <f t="shared" si="7"/>
        <v/>
      </c>
      <c r="AN30" s="146" t="str">
        <f t="shared" si="8"/>
        <v/>
      </c>
      <c r="AO30" s="146" t="e">
        <f t="shared" si="9"/>
        <v>#N/A</v>
      </c>
      <c r="AP30" s="453" t="str">
        <f t="shared" si="10"/>
        <v/>
      </c>
      <c r="AQ30" s="140">
        <f t="shared" si="11"/>
        <v>0</v>
      </c>
      <c r="AR30" s="141" t="str">
        <f t="shared" si="12"/>
        <v/>
      </c>
      <c r="AS30" s="142">
        <f t="shared" si="13"/>
        <v>0</v>
      </c>
      <c r="AT30" s="141" t="str">
        <f t="shared" si="14"/>
        <v/>
      </c>
      <c r="AU30" s="143">
        <f t="shared" si="15"/>
        <v>0</v>
      </c>
      <c r="AV30" s="144" t="str">
        <f t="shared" si="16"/>
        <v/>
      </c>
      <c r="AW30" s="143" t="b">
        <f t="shared" si="17"/>
        <v>0</v>
      </c>
      <c r="AX30" s="145" t="b">
        <f t="shared" si="18"/>
        <v>0</v>
      </c>
      <c r="AY30" s="143" t="b">
        <f t="shared" si="19"/>
        <v>0</v>
      </c>
      <c r="AZ30" s="145" t="b">
        <f t="shared" si="20"/>
        <v>0</v>
      </c>
      <c r="BA30" s="453" t="b">
        <f t="shared" si="21"/>
        <v>0</v>
      </c>
      <c r="BB30" s="453" t="b">
        <f t="shared" si="22"/>
        <v>0</v>
      </c>
      <c r="BC30" s="143" t="b">
        <f t="shared" si="23"/>
        <v>0</v>
      </c>
      <c r="BD30" s="146" t="b">
        <f t="shared" si="24"/>
        <v>0</v>
      </c>
      <c r="BE30" s="145" t="b">
        <f t="shared" si="25"/>
        <v>0</v>
      </c>
      <c r="BF30" s="147" t="b">
        <f t="shared" si="26"/>
        <v>0</v>
      </c>
      <c r="BG30" s="453" t="str">
        <f t="shared" si="27"/>
        <v>NA</v>
      </c>
      <c r="BH30" s="453" t="str">
        <f t="shared" si="28"/>
        <v/>
      </c>
      <c r="BI30" s="453" t="str">
        <f t="shared" si="29"/>
        <v/>
      </c>
      <c r="BJ30" s="453" t="str">
        <f t="shared" si="30"/>
        <v/>
      </c>
      <c r="BK30" s="453" t="str">
        <f t="shared" si="31"/>
        <v/>
      </c>
      <c r="BL30" s="148" t="str">
        <f t="shared" si="32"/>
        <v/>
      </c>
      <c r="BM30" s="453" t="str">
        <f t="shared" si="33"/>
        <v/>
      </c>
      <c r="BN30" s="453" t="str">
        <f t="shared" si="34"/>
        <v/>
      </c>
      <c r="BO30" s="90"/>
    </row>
    <row r="31" spans="2:73" s="94" customFormat="1" ht="12.95" customHeight="1" x14ac:dyDescent="0.2">
      <c r="B31" s="151" t="str">
        <f>IF(ISNA(Z31),"",IF(OR(Z31=1,Z31=2),"    ",MAX($B$8:B30)+1))</f>
        <v/>
      </c>
      <c r="C31" s="904" t="str">
        <f t="shared" si="0"/>
        <v/>
      </c>
      <c r="D31" s="904"/>
      <c r="E31" s="904"/>
      <c r="F31" s="905"/>
      <c r="G31" s="133" t="str">
        <f t="shared" si="1"/>
        <v/>
      </c>
      <c r="H31" s="134" t="str">
        <f t="shared" si="2"/>
        <v/>
      </c>
      <c r="I31" s="152" t="str">
        <f t="shared" si="2"/>
        <v/>
      </c>
      <c r="J31" s="158"/>
      <c r="K31" s="159"/>
      <c r="L31" s="1015"/>
      <c r="M31" s="1016"/>
      <c r="N31" s="1016"/>
      <c r="O31" s="1016"/>
      <c r="P31" s="1016"/>
      <c r="Q31" s="1016"/>
      <c r="R31" s="1017"/>
      <c r="T31" s="99">
        <v>24</v>
      </c>
      <c r="U31" s="88" t="e">
        <v>#N/A</v>
      </c>
      <c r="V31" s="453" t="e">
        <v>#N/A</v>
      </c>
      <c r="W31" s="453" t="e">
        <v>#N/A</v>
      </c>
      <c r="X31" s="453" t="e">
        <v>#N/A</v>
      </c>
      <c r="Y31" s="453" t="e">
        <v>#N/A</v>
      </c>
      <c r="Z31" s="146" t="e">
        <v>#N/A</v>
      </c>
      <c r="AA31" s="146" t="e">
        <v>#N/A</v>
      </c>
      <c r="AB31" s="146" t="e">
        <v>#N/A</v>
      </c>
      <c r="AC31" s="453" t="e">
        <v>#N/A</v>
      </c>
      <c r="AD31" s="453" t="e">
        <v>#N/A</v>
      </c>
      <c r="AE31" s="453" t="e">
        <v>#N/A</v>
      </c>
      <c r="AF31" s="453" t="e">
        <v>#N/A</v>
      </c>
      <c r="AG31" s="453" t="e">
        <f t="shared" si="3"/>
        <v>#N/A</v>
      </c>
      <c r="AH31" s="453" t="str">
        <f t="shared" si="4"/>
        <v/>
      </c>
      <c r="AI31" s="138" t="e">
        <f>IF(NOT(OR(Z31=1,Z31=2)),IF(AQ31&gt;0,$AR$44*AQ31/SUMIF($AQ$8:$AQ$39,"&gt;0"),IF(AU31&gt;0,$AV$44*AU31/SUMIF($AU$8:$AU$39,"&gt;0"),IF(AS31&gt;0,$AT$44*AS31/SUMIF($AS$8:$AS$39,"&gt;0"),""))),IF(SUMIF(AJ32:$AJ$39,"=" &amp; AJ31,AI32:$AI$39)=0,"",SUMIF(AJ32:$AJ$39,"=" &amp; AJ31,AI32:$AI$39)))</f>
        <v>#N/A</v>
      </c>
      <c r="AJ31" s="139" t="e">
        <f t="shared" si="35"/>
        <v>#N/A</v>
      </c>
      <c r="AK31" s="453" t="str">
        <f t="shared" si="5"/>
        <v/>
      </c>
      <c r="AL31" s="146" t="str">
        <f t="shared" si="6"/>
        <v/>
      </c>
      <c r="AM31" s="146" t="str">
        <f t="shared" si="7"/>
        <v/>
      </c>
      <c r="AN31" s="146" t="str">
        <f t="shared" si="8"/>
        <v/>
      </c>
      <c r="AO31" s="146" t="e">
        <f t="shared" si="9"/>
        <v>#N/A</v>
      </c>
      <c r="AP31" s="453" t="str">
        <f t="shared" si="10"/>
        <v/>
      </c>
      <c r="AQ31" s="140">
        <f t="shared" si="11"/>
        <v>0</v>
      </c>
      <c r="AR31" s="141" t="str">
        <f t="shared" si="12"/>
        <v/>
      </c>
      <c r="AS31" s="142">
        <f t="shared" si="13"/>
        <v>0</v>
      </c>
      <c r="AT31" s="141" t="str">
        <f t="shared" si="14"/>
        <v/>
      </c>
      <c r="AU31" s="143">
        <f t="shared" si="15"/>
        <v>0</v>
      </c>
      <c r="AV31" s="144" t="str">
        <f t="shared" si="16"/>
        <v/>
      </c>
      <c r="AW31" s="143" t="b">
        <f t="shared" si="17"/>
        <v>0</v>
      </c>
      <c r="AX31" s="145" t="b">
        <f t="shared" si="18"/>
        <v>0</v>
      </c>
      <c r="AY31" s="143" t="b">
        <f t="shared" si="19"/>
        <v>0</v>
      </c>
      <c r="AZ31" s="145" t="b">
        <f t="shared" si="20"/>
        <v>0</v>
      </c>
      <c r="BA31" s="453" t="b">
        <f t="shared" si="21"/>
        <v>0</v>
      </c>
      <c r="BB31" s="453" t="b">
        <f t="shared" si="22"/>
        <v>0</v>
      </c>
      <c r="BC31" s="143" t="b">
        <f t="shared" si="23"/>
        <v>0</v>
      </c>
      <c r="BD31" s="146" t="b">
        <f t="shared" si="24"/>
        <v>0</v>
      </c>
      <c r="BE31" s="145" t="b">
        <f t="shared" si="25"/>
        <v>0</v>
      </c>
      <c r="BF31" s="147" t="b">
        <f t="shared" si="26"/>
        <v>0</v>
      </c>
      <c r="BG31" s="453" t="str">
        <f t="shared" si="27"/>
        <v>NA</v>
      </c>
      <c r="BH31" s="453" t="str">
        <f t="shared" si="28"/>
        <v/>
      </c>
      <c r="BI31" s="453" t="str">
        <f t="shared" si="29"/>
        <v/>
      </c>
      <c r="BJ31" s="453" t="str">
        <f t="shared" si="30"/>
        <v/>
      </c>
      <c r="BK31" s="453" t="str">
        <f t="shared" si="31"/>
        <v/>
      </c>
      <c r="BL31" s="148" t="str">
        <f t="shared" si="32"/>
        <v/>
      </c>
      <c r="BM31" s="453" t="str">
        <f t="shared" si="33"/>
        <v/>
      </c>
      <c r="BN31" s="453" t="str">
        <f t="shared" si="34"/>
        <v/>
      </c>
      <c r="BO31" s="155" t="s">
        <v>368</v>
      </c>
      <c r="BP31" s="161" t="s">
        <v>369</v>
      </c>
    </row>
    <row r="32" spans="2:73" s="94" customFormat="1" ht="12.95" customHeight="1" x14ac:dyDescent="0.2">
      <c r="B32" s="151" t="str">
        <f>IF(ISNA(Z32),"",IF(OR(Z32=1,Z32=2),"    ",MAX($B$8:B31)+1))</f>
        <v/>
      </c>
      <c r="C32" s="904" t="str">
        <f t="shared" si="0"/>
        <v/>
      </c>
      <c r="D32" s="904"/>
      <c r="E32" s="904"/>
      <c r="F32" s="905"/>
      <c r="G32" s="133" t="str">
        <f t="shared" si="1"/>
        <v/>
      </c>
      <c r="H32" s="134" t="str">
        <f t="shared" si="2"/>
        <v/>
      </c>
      <c r="I32" s="152" t="str">
        <f t="shared" si="2"/>
        <v/>
      </c>
      <c r="J32" s="158"/>
      <c r="K32" s="159"/>
      <c r="L32" s="1015"/>
      <c r="M32" s="1016"/>
      <c r="N32" s="1016"/>
      <c r="O32" s="1016"/>
      <c r="P32" s="1016"/>
      <c r="Q32" s="1016"/>
      <c r="R32" s="1017"/>
      <c r="T32" s="99">
        <v>25</v>
      </c>
      <c r="U32" s="88" t="e">
        <v>#N/A</v>
      </c>
      <c r="V32" s="453" t="e">
        <v>#N/A</v>
      </c>
      <c r="W32" s="453" t="e">
        <v>#N/A</v>
      </c>
      <c r="X32" s="453" t="e">
        <v>#N/A</v>
      </c>
      <c r="Y32" s="453" t="e">
        <v>#N/A</v>
      </c>
      <c r="Z32" s="146" t="e">
        <v>#N/A</v>
      </c>
      <c r="AA32" s="146" t="e">
        <v>#N/A</v>
      </c>
      <c r="AB32" s="146" t="e">
        <v>#N/A</v>
      </c>
      <c r="AC32" s="453" t="e">
        <v>#N/A</v>
      </c>
      <c r="AD32" s="453" t="e">
        <v>#N/A</v>
      </c>
      <c r="AE32" s="453" t="e">
        <v>#N/A</v>
      </c>
      <c r="AF32" s="453" t="e">
        <v>#N/A</v>
      </c>
      <c r="AG32" s="453" t="e">
        <f t="shared" si="3"/>
        <v>#N/A</v>
      </c>
      <c r="AH32" s="453" t="str">
        <f t="shared" si="4"/>
        <v/>
      </c>
      <c r="AI32" s="138" t="e">
        <f>IF(NOT(OR(Z32=1,Z32=2)),IF(AQ32&gt;0,$AR$44*AQ32/SUMIF($AQ$8:$AQ$39,"&gt;0"),IF(AU32&gt;0,$AV$44*AU32/SUMIF($AU$8:$AU$39,"&gt;0"),IF(AS32&gt;0,$AT$44*AS32/SUMIF($AS$8:$AS$39,"&gt;0"),""))),IF(SUMIF(AJ33:$AJ$39,"=" &amp; AJ32,AI33:$AI$39)=0,"",SUMIF(AJ33:$AJ$39,"=" &amp; AJ32,AI33:$AI$39)))</f>
        <v>#N/A</v>
      </c>
      <c r="AJ32" s="139" t="e">
        <f t="shared" si="35"/>
        <v>#N/A</v>
      </c>
      <c r="AK32" s="453" t="str">
        <f t="shared" si="5"/>
        <v/>
      </c>
      <c r="AL32" s="146" t="str">
        <f t="shared" si="6"/>
        <v/>
      </c>
      <c r="AM32" s="146" t="str">
        <f t="shared" si="7"/>
        <v/>
      </c>
      <c r="AN32" s="146" t="str">
        <f t="shared" si="8"/>
        <v/>
      </c>
      <c r="AO32" s="146" t="e">
        <f t="shared" si="9"/>
        <v>#N/A</v>
      </c>
      <c r="AP32" s="453" t="str">
        <f t="shared" si="10"/>
        <v/>
      </c>
      <c r="AQ32" s="140">
        <f t="shared" si="11"/>
        <v>0</v>
      </c>
      <c r="AR32" s="141" t="str">
        <f t="shared" si="12"/>
        <v/>
      </c>
      <c r="AS32" s="142">
        <f t="shared" si="13"/>
        <v>0</v>
      </c>
      <c r="AT32" s="141" t="str">
        <f t="shared" si="14"/>
        <v/>
      </c>
      <c r="AU32" s="143">
        <f t="shared" si="15"/>
        <v>0</v>
      </c>
      <c r="AV32" s="144" t="str">
        <f t="shared" si="16"/>
        <v/>
      </c>
      <c r="AW32" s="143" t="b">
        <f t="shared" si="17"/>
        <v>0</v>
      </c>
      <c r="AX32" s="145" t="b">
        <f t="shared" si="18"/>
        <v>0</v>
      </c>
      <c r="AY32" s="143" t="b">
        <f t="shared" si="19"/>
        <v>0</v>
      </c>
      <c r="AZ32" s="145" t="b">
        <f t="shared" si="20"/>
        <v>0</v>
      </c>
      <c r="BA32" s="453" t="b">
        <f t="shared" si="21"/>
        <v>0</v>
      </c>
      <c r="BB32" s="453" t="b">
        <f t="shared" si="22"/>
        <v>0</v>
      </c>
      <c r="BC32" s="143" t="b">
        <f t="shared" si="23"/>
        <v>0</v>
      </c>
      <c r="BD32" s="146" t="b">
        <f t="shared" si="24"/>
        <v>0</v>
      </c>
      <c r="BE32" s="145" t="b">
        <f t="shared" si="25"/>
        <v>0</v>
      </c>
      <c r="BF32" s="147" t="b">
        <f t="shared" si="26"/>
        <v>0</v>
      </c>
      <c r="BG32" s="453" t="str">
        <f t="shared" si="27"/>
        <v>NA</v>
      </c>
      <c r="BH32" s="453" t="str">
        <f t="shared" si="28"/>
        <v/>
      </c>
      <c r="BI32" s="453" t="str">
        <f t="shared" si="29"/>
        <v/>
      </c>
      <c r="BJ32" s="453" t="str">
        <f t="shared" si="30"/>
        <v/>
      </c>
      <c r="BK32" s="453" t="str">
        <f t="shared" si="31"/>
        <v/>
      </c>
      <c r="BL32" s="148" t="str">
        <f t="shared" si="32"/>
        <v/>
      </c>
      <c r="BM32" s="453" t="str">
        <f t="shared" si="33"/>
        <v/>
      </c>
      <c r="BN32" s="453" t="str">
        <f t="shared" si="34"/>
        <v/>
      </c>
      <c r="BO32" s="155" t="s">
        <v>370</v>
      </c>
      <c r="BP32" s="161" t="s">
        <v>371</v>
      </c>
    </row>
    <row r="33" spans="2:73" s="94" customFormat="1" ht="12.95" customHeight="1" x14ac:dyDescent="0.2">
      <c r="B33" s="151" t="str">
        <f>IF(ISNA(Z33),"",IF(OR(Z33=1,Z33=2),"    ",MAX($B$8:B32)+1))</f>
        <v/>
      </c>
      <c r="C33" s="904" t="str">
        <f t="shared" si="0"/>
        <v/>
      </c>
      <c r="D33" s="904"/>
      <c r="E33" s="904"/>
      <c r="F33" s="905"/>
      <c r="G33" s="133" t="str">
        <f t="shared" si="1"/>
        <v/>
      </c>
      <c r="H33" s="134" t="str">
        <f t="shared" si="2"/>
        <v/>
      </c>
      <c r="I33" s="152" t="str">
        <f t="shared" si="2"/>
        <v/>
      </c>
      <c r="J33" s="158"/>
      <c r="K33" s="159"/>
      <c r="L33" s="1015"/>
      <c r="M33" s="1016"/>
      <c r="N33" s="1016"/>
      <c r="O33" s="1016"/>
      <c r="P33" s="1016"/>
      <c r="Q33" s="1016"/>
      <c r="R33" s="1017"/>
      <c r="T33" s="99">
        <v>26</v>
      </c>
      <c r="U33" s="88" t="e">
        <v>#N/A</v>
      </c>
      <c r="V33" s="453" t="e">
        <v>#N/A</v>
      </c>
      <c r="W33" s="453" t="e">
        <v>#N/A</v>
      </c>
      <c r="X33" s="453" t="e">
        <v>#N/A</v>
      </c>
      <c r="Y33" s="453" t="e">
        <v>#N/A</v>
      </c>
      <c r="Z33" s="146" t="e">
        <v>#N/A</v>
      </c>
      <c r="AA33" s="146" t="e">
        <v>#N/A</v>
      </c>
      <c r="AB33" s="146" t="e">
        <v>#N/A</v>
      </c>
      <c r="AC33" s="453" t="e">
        <v>#N/A</v>
      </c>
      <c r="AD33" s="453" t="e">
        <v>#N/A</v>
      </c>
      <c r="AE33" s="453" t="e">
        <v>#N/A</v>
      </c>
      <c r="AF33" s="453" t="e">
        <v>#N/A</v>
      </c>
      <c r="AG33" s="453" t="e">
        <f t="shared" si="3"/>
        <v>#N/A</v>
      </c>
      <c r="AH33" s="453" t="str">
        <f t="shared" si="4"/>
        <v/>
      </c>
      <c r="AI33" s="138" t="e">
        <f>IF(NOT(OR(Z33=1,Z33=2)),IF(AQ33&gt;0,$AR$44*AQ33/SUMIF($AQ$8:$AQ$39,"&gt;0"),IF(AU33&gt;0,$AV$44*AU33/SUMIF($AU$8:$AU$39,"&gt;0"),IF(AS33&gt;0,$AT$44*AS33/SUMIF($AS$8:$AS$39,"&gt;0"),""))),IF(SUMIF(AJ34:$AJ$39,"=" &amp; AJ33,AI34:$AI$39)=0,"",SUMIF(AJ34:$AJ$39,"=" &amp; AJ33,AI34:$AI$39)))</f>
        <v>#N/A</v>
      </c>
      <c r="AJ33" s="139" t="e">
        <f t="shared" si="35"/>
        <v>#N/A</v>
      </c>
      <c r="AK33" s="453" t="str">
        <f t="shared" si="5"/>
        <v/>
      </c>
      <c r="AL33" s="146" t="str">
        <f t="shared" si="6"/>
        <v/>
      </c>
      <c r="AM33" s="146" t="str">
        <f t="shared" si="7"/>
        <v/>
      </c>
      <c r="AN33" s="146" t="str">
        <f t="shared" si="8"/>
        <v/>
      </c>
      <c r="AO33" s="146" t="e">
        <f t="shared" si="9"/>
        <v>#N/A</v>
      </c>
      <c r="AP33" s="453" t="str">
        <f t="shared" si="10"/>
        <v/>
      </c>
      <c r="AQ33" s="140">
        <f t="shared" si="11"/>
        <v>0</v>
      </c>
      <c r="AR33" s="141" t="str">
        <f t="shared" si="12"/>
        <v/>
      </c>
      <c r="AS33" s="142">
        <f t="shared" si="13"/>
        <v>0</v>
      </c>
      <c r="AT33" s="141" t="str">
        <f t="shared" si="14"/>
        <v/>
      </c>
      <c r="AU33" s="143">
        <f t="shared" si="15"/>
        <v>0</v>
      </c>
      <c r="AV33" s="144" t="str">
        <f t="shared" si="16"/>
        <v/>
      </c>
      <c r="AW33" s="143" t="b">
        <f t="shared" si="17"/>
        <v>0</v>
      </c>
      <c r="AX33" s="145" t="b">
        <f t="shared" si="18"/>
        <v>0</v>
      </c>
      <c r="AY33" s="143" t="b">
        <f t="shared" si="19"/>
        <v>0</v>
      </c>
      <c r="AZ33" s="145" t="b">
        <f t="shared" si="20"/>
        <v>0</v>
      </c>
      <c r="BA33" s="453" t="b">
        <f t="shared" si="21"/>
        <v>0</v>
      </c>
      <c r="BB33" s="453" t="b">
        <f t="shared" si="22"/>
        <v>0</v>
      </c>
      <c r="BC33" s="143" t="b">
        <f t="shared" si="23"/>
        <v>0</v>
      </c>
      <c r="BD33" s="146" t="b">
        <f t="shared" si="24"/>
        <v>0</v>
      </c>
      <c r="BE33" s="145" t="b">
        <f t="shared" si="25"/>
        <v>0</v>
      </c>
      <c r="BF33" s="147" t="b">
        <f t="shared" si="26"/>
        <v>0</v>
      </c>
      <c r="BG33" s="453" t="str">
        <f t="shared" si="27"/>
        <v>NA</v>
      </c>
      <c r="BH33" s="453" t="str">
        <f t="shared" si="28"/>
        <v/>
      </c>
      <c r="BI33" s="453" t="str">
        <f t="shared" si="29"/>
        <v/>
      </c>
      <c r="BJ33" s="453" t="str">
        <f t="shared" si="30"/>
        <v/>
      </c>
      <c r="BK33" s="453" t="str">
        <f t="shared" si="31"/>
        <v/>
      </c>
      <c r="BL33" s="148" t="str">
        <f t="shared" si="32"/>
        <v/>
      </c>
      <c r="BM33" s="453" t="str">
        <f t="shared" si="33"/>
        <v/>
      </c>
      <c r="BN33" s="453" t="str">
        <f t="shared" si="34"/>
        <v/>
      </c>
      <c r="BO33" s="150" t="s">
        <v>372</v>
      </c>
      <c r="BP33" s="161"/>
      <c r="BQ33" s="161"/>
      <c r="BR33" s="161"/>
      <c r="BS33" s="161"/>
      <c r="BT33" s="161"/>
      <c r="BU33" s="161"/>
    </row>
    <row r="34" spans="2:73" s="94" customFormat="1" ht="12.95" customHeight="1" x14ac:dyDescent="0.2">
      <c r="B34" s="151" t="str">
        <f>IF(ISNA(Z34),"",IF(OR(Z34=1,Z34=2),"    ",MAX($B$8:B33)+1))</f>
        <v/>
      </c>
      <c r="C34" s="904" t="str">
        <f t="shared" si="0"/>
        <v/>
      </c>
      <c r="D34" s="904"/>
      <c r="E34" s="904"/>
      <c r="F34" s="905"/>
      <c r="G34" s="133" t="str">
        <f t="shared" si="1"/>
        <v/>
      </c>
      <c r="H34" s="134" t="str">
        <f t="shared" si="2"/>
        <v/>
      </c>
      <c r="I34" s="152" t="str">
        <f t="shared" si="2"/>
        <v/>
      </c>
      <c r="J34" s="158"/>
      <c r="K34" s="159"/>
      <c r="L34" s="1015"/>
      <c r="M34" s="1016"/>
      <c r="N34" s="1016"/>
      <c r="O34" s="1016"/>
      <c r="P34" s="1016"/>
      <c r="Q34" s="1016"/>
      <c r="R34" s="1017"/>
      <c r="T34" s="99">
        <v>27</v>
      </c>
      <c r="U34" s="88" t="e">
        <v>#N/A</v>
      </c>
      <c r="V34" s="453" t="e">
        <v>#N/A</v>
      </c>
      <c r="W34" s="453" t="e">
        <v>#N/A</v>
      </c>
      <c r="X34" s="453" t="e">
        <v>#N/A</v>
      </c>
      <c r="Y34" s="453" t="e">
        <v>#N/A</v>
      </c>
      <c r="Z34" s="146" t="e">
        <v>#N/A</v>
      </c>
      <c r="AA34" s="146" t="e">
        <v>#N/A</v>
      </c>
      <c r="AB34" s="146" t="e">
        <v>#N/A</v>
      </c>
      <c r="AC34" s="453" t="e">
        <v>#N/A</v>
      </c>
      <c r="AD34" s="453" t="e">
        <v>#N/A</v>
      </c>
      <c r="AE34" s="453" t="e">
        <v>#N/A</v>
      </c>
      <c r="AF34" s="453" t="e">
        <v>#N/A</v>
      </c>
      <c r="AG34" s="453" t="e">
        <f t="shared" si="3"/>
        <v>#N/A</v>
      </c>
      <c r="AH34" s="453" t="str">
        <f t="shared" si="4"/>
        <v/>
      </c>
      <c r="AI34" s="138" t="e">
        <f>IF(NOT(OR(Z34=1,Z34=2)),IF(AQ34&gt;0,$AR$44*AQ34/SUMIF($AQ$8:$AQ$39,"&gt;0"),IF(AU34&gt;0,$AV$44*AU34/SUMIF($AU$8:$AU$39,"&gt;0"),IF(AS34&gt;0,$AT$44*AS34/SUMIF($AS$8:$AS$39,"&gt;0"),""))),IF(SUMIF(AJ35:$AJ$39,"=" &amp; AJ34,AI35:$AI$39)=0,"",SUMIF(AJ35:$AJ$39,"=" &amp; AJ34,AI35:$AI$39)))</f>
        <v>#N/A</v>
      </c>
      <c r="AJ34" s="139" t="e">
        <f t="shared" si="35"/>
        <v>#N/A</v>
      </c>
      <c r="AK34" s="453" t="str">
        <f t="shared" si="5"/>
        <v/>
      </c>
      <c r="AL34" s="146" t="str">
        <f t="shared" si="6"/>
        <v/>
      </c>
      <c r="AM34" s="146" t="str">
        <f t="shared" si="7"/>
        <v/>
      </c>
      <c r="AN34" s="146" t="str">
        <f t="shared" si="8"/>
        <v/>
      </c>
      <c r="AO34" s="146" t="e">
        <f t="shared" si="9"/>
        <v>#N/A</v>
      </c>
      <c r="AP34" s="453" t="str">
        <f t="shared" si="10"/>
        <v/>
      </c>
      <c r="AQ34" s="140">
        <f t="shared" si="11"/>
        <v>0</v>
      </c>
      <c r="AR34" s="141" t="str">
        <f t="shared" si="12"/>
        <v/>
      </c>
      <c r="AS34" s="142">
        <f t="shared" si="13"/>
        <v>0</v>
      </c>
      <c r="AT34" s="141" t="str">
        <f t="shared" si="14"/>
        <v/>
      </c>
      <c r="AU34" s="143">
        <f t="shared" si="15"/>
        <v>0</v>
      </c>
      <c r="AV34" s="144" t="str">
        <f t="shared" si="16"/>
        <v/>
      </c>
      <c r="AW34" s="143" t="b">
        <f t="shared" si="17"/>
        <v>0</v>
      </c>
      <c r="AX34" s="145" t="b">
        <f t="shared" si="18"/>
        <v>0</v>
      </c>
      <c r="AY34" s="143" t="b">
        <f t="shared" si="19"/>
        <v>0</v>
      </c>
      <c r="AZ34" s="145" t="b">
        <f t="shared" si="20"/>
        <v>0</v>
      </c>
      <c r="BA34" s="453" t="b">
        <f t="shared" si="21"/>
        <v>0</v>
      </c>
      <c r="BB34" s="453" t="b">
        <f t="shared" si="22"/>
        <v>0</v>
      </c>
      <c r="BC34" s="143" t="b">
        <f t="shared" si="23"/>
        <v>0</v>
      </c>
      <c r="BD34" s="146" t="b">
        <f t="shared" si="24"/>
        <v>0</v>
      </c>
      <c r="BE34" s="145" t="b">
        <f t="shared" si="25"/>
        <v>0</v>
      </c>
      <c r="BF34" s="147" t="b">
        <f t="shared" si="26"/>
        <v>0</v>
      </c>
      <c r="BG34" s="453" t="str">
        <f t="shared" si="27"/>
        <v>NA</v>
      </c>
      <c r="BH34" s="453" t="str">
        <f t="shared" si="28"/>
        <v/>
      </c>
      <c r="BI34" s="453" t="str">
        <f t="shared" si="29"/>
        <v/>
      </c>
      <c r="BJ34" s="453" t="str">
        <f t="shared" si="30"/>
        <v/>
      </c>
      <c r="BK34" s="453" t="str">
        <f t="shared" si="31"/>
        <v/>
      </c>
      <c r="BL34" s="148" t="str">
        <f t="shared" si="32"/>
        <v/>
      </c>
      <c r="BM34" s="453" t="str">
        <f t="shared" si="33"/>
        <v/>
      </c>
      <c r="BN34" s="453" t="str">
        <f t="shared" si="34"/>
        <v/>
      </c>
      <c r="BO34" s="1023"/>
      <c r="BP34" s="1024"/>
      <c r="BQ34" s="1024"/>
      <c r="BR34" s="1024"/>
      <c r="BS34" s="1024"/>
      <c r="BT34" s="1024"/>
      <c r="BU34" s="1025"/>
    </row>
    <row r="35" spans="2:73" s="94" customFormat="1" ht="12.95" customHeight="1" x14ac:dyDescent="0.2">
      <c r="B35" s="151" t="str">
        <f>IF(ISNA(Z35),"",IF(OR(Z35=1,Z35=2),"    ",MAX($B$8:B34)+1))</f>
        <v/>
      </c>
      <c r="C35" s="904" t="str">
        <f t="shared" si="0"/>
        <v/>
      </c>
      <c r="D35" s="904"/>
      <c r="E35" s="904"/>
      <c r="F35" s="905"/>
      <c r="G35" s="133" t="str">
        <f t="shared" si="1"/>
        <v/>
      </c>
      <c r="H35" s="134" t="str">
        <f t="shared" si="2"/>
        <v/>
      </c>
      <c r="I35" s="152" t="str">
        <f t="shared" si="2"/>
        <v/>
      </c>
      <c r="J35" s="158"/>
      <c r="K35" s="159"/>
      <c r="L35" s="1015"/>
      <c r="M35" s="1016"/>
      <c r="N35" s="1016"/>
      <c r="O35" s="1016"/>
      <c r="P35" s="1016"/>
      <c r="Q35" s="1016"/>
      <c r="R35" s="1017"/>
      <c r="T35" s="99">
        <v>28</v>
      </c>
      <c r="U35" s="88" t="e">
        <v>#N/A</v>
      </c>
      <c r="V35" s="453" t="e">
        <v>#N/A</v>
      </c>
      <c r="W35" s="453" t="e">
        <v>#N/A</v>
      </c>
      <c r="X35" s="453" t="e">
        <v>#N/A</v>
      </c>
      <c r="Y35" s="453" t="e">
        <v>#N/A</v>
      </c>
      <c r="Z35" s="146" t="e">
        <v>#N/A</v>
      </c>
      <c r="AA35" s="146" t="e">
        <v>#N/A</v>
      </c>
      <c r="AB35" s="146" t="e">
        <v>#N/A</v>
      </c>
      <c r="AC35" s="453" t="e">
        <v>#N/A</v>
      </c>
      <c r="AD35" s="453" t="e">
        <v>#N/A</v>
      </c>
      <c r="AE35" s="453" t="e">
        <v>#N/A</v>
      </c>
      <c r="AF35" s="453" t="e">
        <v>#N/A</v>
      </c>
      <c r="AG35" s="453" t="e">
        <f t="shared" si="3"/>
        <v>#N/A</v>
      </c>
      <c r="AH35" s="453" t="str">
        <f t="shared" si="4"/>
        <v/>
      </c>
      <c r="AI35" s="138" t="e">
        <f>IF(NOT(OR(Z35=1,Z35=2)),IF(AQ35&gt;0,$AR$44*AQ35/SUMIF($AQ$8:$AQ$39,"&gt;0"),IF(AU35&gt;0,$AV$44*AU35/SUMIF($AU$8:$AU$39,"&gt;0"),IF(AS35&gt;0,$AT$44*AS35/SUMIF($AS$8:$AS$39,"&gt;0"),""))),IF(SUMIF(AJ36:$AJ$39,"=" &amp; AJ35,AI36:$AI$39)=0,"",SUMIF(AJ36:$AJ$39,"=" &amp; AJ35,AI36:$AI$39)))</f>
        <v>#N/A</v>
      </c>
      <c r="AJ35" s="139" t="e">
        <f t="shared" si="35"/>
        <v>#N/A</v>
      </c>
      <c r="AK35" s="453" t="str">
        <f t="shared" si="5"/>
        <v/>
      </c>
      <c r="AL35" s="146" t="str">
        <f t="shared" si="6"/>
        <v/>
      </c>
      <c r="AM35" s="146" t="str">
        <f t="shared" si="7"/>
        <v/>
      </c>
      <c r="AN35" s="146" t="str">
        <f t="shared" si="8"/>
        <v/>
      </c>
      <c r="AO35" s="146" t="e">
        <f t="shared" si="9"/>
        <v>#N/A</v>
      </c>
      <c r="AP35" s="453" t="str">
        <f t="shared" si="10"/>
        <v/>
      </c>
      <c r="AQ35" s="140">
        <f t="shared" si="11"/>
        <v>0</v>
      </c>
      <c r="AR35" s="141" t="str">
        <f t="shared" si="12"/>
        <v/>
      </c>
      <c r="AS35" s="142">
        <f t="shared" si="13"/>
        <v>0</v>
      </c>
      <c r="AT35" s="141" t="str">
        <f t="shared" si="14"/>
        <v/>
      </c>
      <c r="AU35" s="143">
        <f t="shared" si="15"/>
        <v>0</v>
      </c>
      <c r="AV35" s="144" t="str">
        <f t="shared" si="16"/>
        <v/>
      </c>
      <c r="AW35" s="143" t="b">
        <f t="shared" si="17"/>
        <v>0</v>
      </c>
      <c r="AX35" s="145" t="b">
        <f t="shared" si="18"/>
        <v>0</v>
      </c>
      <c r="AY35" s="143" t="b">
        <f t="shared" si="19"/>
        <v>0</v>
      </c>
      <c r="AZ35" s="145" t="b">
        <f t="shared" si="20"/>
        <v>0</v>
      </c>
      <c r="BA35" s="453" t="b">
        <f t="shared" si="21"/>
        <v>0</v>
      </c>
      <c r="BB35" s="453" t="b">
        <f t="shared" si="22"/>
        <v>0</v>
      </c>
      <c r="BC35" s="143" t="b">
        <f t="shared" si="23"/>
        <v>0</v>
      </c>
      <c r="BD35" s="146" t="b">
        <f t="shared" si="24"/>
        <v>0</v>
      </c>
      <c r="BE35" s="145" t="b">
        <f t="shared" si="25"/>
        <v>0</v>
      </c>
      <c r="BF35" s="147" t="b">
        <f t="shared" si="26"/>
        <v>0</v>
      </c>
      <c r="BG35" s="453" t="str">
        <f t="shared" si="27"/>
        <v>NA</v>
      </c>
      <c r="BH35" s="453" t="str">
        <f t="shared" si="28"/>
        <v/>
      </c>
      <c r="BI35" s="453" t="str">
        <f t="shared" si="29"/>
        <v/>
      </c>
      <c r="BJ35" s="453" t="str">
        <f t="shared" si="30"/>
        <v/>
      </c>
      <c r="BK35" s="453" t="str">
        <f t="shared" si="31"/>
        <v/>
      </c>
      <c r="BL35" s="148" t="str">
        <f t="shared" si="32"/>
        <v/>
      </c>
      <c r="BM35" s="453" t="str">
        <f t="shared" si="33"/>
        <v/>
      </c>
      <c r="BN35" s="453" t="str">
        <f t="shared" si="34"/>
        <v/>
      </c>
      <c r="BO35" s="1026"/>
      <c r="BP35" s="1027"/>
      <c r="BQ35" s="1027"/>
      <c r="BR35" s="1027"/>
      <c r="BS35" s="1027"/>
      <c r="BT35" s="1027"/>
      <c r="BU35" s="1028"/>
    </row>
    <row r="36" spans="2:73" s="94" customFormat="1" ht="12.95" customHeight="1" x14ac:dyDescent="0.2">
      <c r="B36" s="151" t="str">
        <f>IF(ISNA(Z36),"",IF(OR(Z36=1,Z36=2),"    ",MAX($B$8:B35)+1))</f>
        <v/>
      </c>
      <c r="C36" s="904" t="str">
        <f t="shared" si="0"/>
        <v/>
      </c>
      <c r="D36" s="904"/>
      <c r="E36" s="904"/>
      <c r="F36" s="905"/>
      <c r="G36" s="133" t="str">
        <f t="shared" si="1"/>
        <v/>
      </c>
      <c r="H36" s="134" t="str">
        <f t="shared" si="2"/>
        <v/>
      </c>
      <c r="I36" s="152" t="str">
        <f t="shared" si="2"/>
        <v/>
      </c>
      <c r="J36" s="158"/>
      <c r="K36" s="159"/>
      <c r="L36" s="1015"/>
      <c r="M36" s="1016"/>
      <c r="N36" s="1016"/>
      <c r="O36" s="1016"/>
      <c r="P36" s="1016"/>
      <c r="Q36" s="1016"/>
      <c r="R36" s="1017"/>
      <c r="T36" s="99">
        <v>29</v>
      </c>
      <c r="U36" s="88" t="e">
        <v>#N/A</v>
      </c>
      <c r="V36" s="453" t="e">
        <v>#N/A</v>
      </c>
      <c r="W36" s="453" t="e">
        <v>#N/A</v>
      </c>
      <c r="X36" s="453" t="e">
        <v>#N/A</v>
      </c>
      <c r="Y36" s="453" t="e">
        <v>#N/A</v>
      </c>
      <c r="Z36" s="146" t="e">
        <v>#N/A</v>
      </c>
      <c r="AA36" s="146" t="e">
        <v>#N/A</v>
      </c>
      <c r="AB36" s="146" t="e">
        <v>#N/A</v>
      </c>
      <c r="AC36" s="453" t="e">
        <v>#N/A</v>
      </c>
      <c r="AD36" s="453" t="e">
        <v>#N/A</v>
      </c>
      <c r="AE36" s="453" t="e">
        <v>#N/A</v>
      </c>
      <c r="AF36" s="453" t="e">
        <v>#N/A</v>
      </c>
      <c r="AG36" s="453" t="e">
        <f t="shared" si="3"/>
        <v>#N/A</v>
      </c>
      <c r="AH36" s="453" t="str">
        <f t="shared" si="4"/>
        <v/>
      </c>
      <c r="AI36" s="138" t="e">
        <f>IF(NOT(OR(Z36=1,Z36=2)),IF(AQ36&gt;0,$AR$44*AQ36/SUMIF($AQ$8:$AQ$39,"&gt;0"),IF(AU36&gt;0,$AV$44*AU36/SUMIF($AU$8:$AU$39,"&gt;0"),IF(AS36&gt;0,$AT$44*AS36/SUMIF($AS$8:$AS$39,"&gt;0"),""))),IF(SUMIF(AJ37:$AJ$39,"=" &amp; AJ36,AI37:$AI$39)=0,"",SUMIF(AJ37:$AJ$39,"=" &amp; AJ36,AI37:$AI$39)))</f>
        <v>#N/A</v>
      </c>
      <c r="AJ36" s="139" t="e">
        <f t="shared" si="35"/>
        <v>#N/A</v>
      </c>
      <c r="AK36" s="453" t="str">
        <f t="shared" si="5"/>
        <v/>
      </c>
      <c r="AL36" s="146" t="str">
        <f t="shared" si="6"/>
        <v/>
      </c>
      <c r="AM36" s="146" t="str">
        <f t="shared" si="7"/>
        <v/>
      </c>
      <c r="AN36" s="146" t="str">
        <f t="shared" si="8"/>
        <v/>
      </c>
      <c r="AO36" s="146" t="e">
        <f t="shared" si="9"/>
        <v>#N/A</v>
      </c>
      <c r="AP36" s="453" t="str">
        <f t="shared" si="10"/>
        <v/>
      </c>
      <c r="AQ36" s="140">
        <f t="shared" si="11"/>
        <v>0</v>
      </c>
      <c r="AR36" s="141" t="str">
        <f t="shared" si="12"/>
        <v/>
      </c>
      <c r="AS36" s="142">
        <f t="shared" si="13"/>
        <v>0</v>
      </c>
      <c r="AT36" s="141" t="str">
        <f t="shared" si="14"/>
        <v/>
      </c>
      <c r="AU36" s="143">
        <f t="shared" si="15"/>
        <v>0</v>
      </c>
      <c r="AV36" s="144" t="str">
        <f t="shared" si="16"/>
        <v/>
      </c>
      <c r="AW36" s="143" t="b">
        <f t="shared" si="17"/>
        <v>0</v>
      </c>
      <c r="AX36" s="145" t="b">
        <f t="shared" si="18"/>
        <v>0</v>
      </c>
      <c r="AY36" s="143" t="b">
        <f t="shared" si="19"/>
        <v>0</v>
      </c>
      <c r="AZ36" s="145" t="b">
        <f t="shared" si="20"/>
        <v>0</v>
      </c>
      <c r="BA36" s="453" t="b">
        <f t="shared" si="21"/>
        <v>0</v>
      </c>
      <c r="BB36" s="453" t="b">
        <f t="shared" si="22"/>
        <v>0</v>
      </c>
      <c r="BC36" s="143" t="b">
        <f t="shared" si="23"/>
        <v>0</v>
      </c>
      <c r="BD36" s="146" t="b">
        <f t="shared" si="24"/>
        <v>0</v>
      </c>
      <c r="BE36" s="145" t="b">
        <f t="shared" si="25"/>
        <v>0</v>
      </c>
      <c r="BF36" s="147" t="b">
        <f t="shared" si="26"/>
        <v>0</v>
      </c>
      <c r="BG36" s="453" t="str">
        <f t="shared" si="27"/>
        <v>NA</v>
      </c>
      <c r="BH36" s="453" t="str">
        <f t="shared" si="28"/>
        <v/>
      </c>
      <c r="BI36" s="453" t="str">
        <f t="shared" si="29"/>
        <v/>
      </c>
      <c r="BJ36" s="453" t="str">
        <f t="shared" si="30"/>
        <v/>
      </c>
      <c r="BK36" s="453" t="str">
        <f t="shared" si="31"/>
        <v/>
      </c>
      <c r="BL36" s="148" t="str">
        <f t="shared" si="32"/>
        <v/>
      </c>
      <c r="BM36" s="453" t="str">
        <f t="shared" si="33"/>
        <v/>
      </c>
      <c r="BN36" s="453" t="str">
        <f t="shared" si="34"/>
        <v/>
      </c>
      <c r="BO36" s="1026"/>
      <c r="BP36" s="1027"/>
      <c r="BQ36" s="1027"/>
      <c r="BR36" s="1027"/>
      <c r="BS36" s="1027"/>
      <c r="BT36" s="1027"/>
      <c r="BU36" s="1028"/>
    </row>
    <row r="37" spans="2:73" s="94" customFormat="1" ht="12.95" customHeight="1" x14ac:dyDescent="0.2">
      <c r="B37" s="151" t="str">
        <f>IF(ISNA(Z37),"",IF(OR(Z37=1,Z37=2),"    ",MAX($B$8:B36)+1))</f>
        <v/>
      </c>
      <c r="C37" s="904" t="str">
        <f t="shared" si="0"/>
        <v/>
      </c>
      <c r="D37" s="904"/>
      <c r="E37" s="904"/>
      <c r="F37" s="905"/>
      <c r="G37" s="133" t="str">
        <f t="shared" si="1"/>
        <v/>
      </c>
      <c r="H37" s="134" t="str">
        <f t="shared" si="2"/>
        <v/>
      </c>
      <c r="I37" s="152" t="str">
        <f t="shared" si="2"/>
        <v/>
      </c>
      <c r="J37" s="158"/>
      <c r="K37" s="159"/>
      <c r="L37" s="1015"/>
      <c r="M37" s="1016"/>
      <c r="N37" s="1016"/>
      <c r="O37" s="1016"/>
      <c r="P37" s="1016"/>
      <c r="Q37" s="1016"/>
      <c r="R37" s="1017"/>
      <c r="T37" s="99">
        <v>30</v>
      </c>
      <c r="U37" s="88" t="e">
        <v>#N/A</v>
      </c>
      <c r="V37" s="453" t="e">
        <v>#N/A</v>
      </c>
      <c r="W37" s="453" t="e">
        <v>#N/A</v>
      </c>
      <c r="X37" s="453" t="e">
        <v>#N/A</v>
      </c>
      <c r="Y37" s="453" t="e">
        <v>#N/A</v>
      </c>
      <c r="Z37" s="146" t="e">
        <v>#N/A</v>
      </c>
      <c r="AA37" s="146" t="e">
        <v>#N/A</v>
      </c>
      <c r="AB37" s="146" t="e">
        <v>#N/A</v>
      </c>
      <c r="AC37" s="453" t="e">
        <v>#N/A</v>
      </c>
      <c r="AD37" s="453" t="e">
        <v>#N/A</v>
      </c>
      <c r="AE37" s="453" t="e">
        <v>#N/A</v>
      </c>
      <c r="AF37" s="453" t="e">
        <v>#N/A</v>
      </c>
      <c r="AG37" s="453" t="e">
        <f t="shared" si="3"/>
        <v>#N/A</v>
      </c>
      <c r="AH37" s="453" t="str">
        <f t="shared" si="4"/>
        <v/>
      </c>
      <c r="AI37" s="138" t="e">
        <f>IF(NOT(OR(Z37=1,Z37=2)),IF(AQ37&gt;0,$AR$44*AQ37/SUMIF($AQ$8:$AQ$39,"&gt;0"),IF(AU37&gt;0,$AV$44*AU37/SUMIF($AU$8:$AU$39,"&gt;0"),IF(AS37&gt;0,$AT$44*AS37/SUMIF($AS$8:$AS$39,"&gt;0"),""))),IF(SUMIF(AJ38:$AJ$39,"=" &amp; AJ37,AI38:$AI$39)=0,"",SUMIF(AJ38:$AJ$39,"=" &amp; AJ37,AI38:$AI$39)))</f>
        <v>#N/A</v>
      </c>
      <c r="AJ37" s="139" t="e">
        <f t="shared" si="35"/>
        <v>#N/A</v>
      </c>
      <c r="AK37" s="453" t="str">
        <f t="shared" si="5"/>
        <v/>
      </c>
      <c r="AL37" s="146" t="str">
        <f t="shared" si="6"/>
        <v/>
      </c>
      <c r="AM37" s="146" t="str">
        <f t="shared" si="7"/>
        <v/>
      </c>
      <c r="AN37" s="146" t="str">
        <f t="shared" si="8"/>
        <v/>
      </c>
      <c r="AO37" s="146" t="e">
        <f t="shared" si="9"/>
        <v>#N/A</v>
      </c>
      <c r="AP37" s="453" t="str">
        <f t="shared" si="10"/>
        <v/>
      </c>
      <c r="AQ37" s="140">
        <f t="shared" si="11"/>
        <v>0</v>
      </c>
      <c r="AR37" s="141" t="str">
        <f t="shared" si="12"/>
        <v/>
      </c>
      <c r="AS37" s="142">
        <f t="shared" si="13"/>
        <v>0</v>
      </c>
      <c r="AT37" s="141" t="str">
        <f t="shared" si="14"/>
        <v/>
      </c>
      <c r="AU37" s="143">
        <f t="shared" si="15"/>
        <v>0</v>
      </c>
      <c r="AV37" s="144" t="str">
        <f t="shared" si="16"/>
        <v/>
      </c>
      <c r="AW37" s="143" t="b">
        <f t="shared" si="17"/>
        <v>0</v>
      </c>
      <c r="AX37" s="145" t="b">
        <f t="shared" si="18"/>
        <v>0</v>
      </c>
      <c r="AY37" s="143" t="b">
        <f t="shared" si="19"/>
        <v>0</v>
      </c>
      <c r="AZ37" s="145" t="b">
        <f t="shared" si="20"/>
        <v>0</v>
      </c>
      <c r="BA37" s="453" t="b">
        <f t="shared" si="21"/>
        <v>0</v>
      </c>
      <c r="BB37" s="453" t="b">
        <f t="shared" si="22"/>
        <v>0</v>
      </c>
      <c r="BC37" s="143" t="b">
        <f t="shared" si="23"/>
        <v>0</v>
      </c>
      <c r="BD37" s="146" t="b">
        <f t="shared" si="24"/>
        <v>0</v>
      </c>
      <c r="BE37" s="145" t="b">
        <f t="shared" si="25"/>
        <v>0</v>
      </c>
      <c r="BF37" s="147" t="b">
        <f t="shared" si="26"/>
        <v>0</v>
      </c>
      <c r="BG37" s="453" t="str">
        <f t="shared" si="27"/>
        <v>NA</v>
      </c>
      <c r="BH37" s="453" t="str">
        <f t="shared" si="28"/>
        <v/>
      </c>
      <c r="BI37" s="453" t="str">
        <f t="shared" si="29"/>
        <v/>
      </c>
      <c r="BJ37" s="453" t="str">
        <f t="shared" si="30"/>
        <v/>
      </c>
      <c r="BK37" s="453" t="str">
        <f t="shared" si="31"/>
        <v/>
      </c>
      <c r="BL37" s="148" t="str">
        <f t="shared" si="32"/>
        <v/>
      </c>
      <c r="BM37" s="453" t="str">
        <f t="shared" si="33"/>
        <v/>
      </c>
      <c r="BN37" s="453" t="str">
        <f t="shared" si="34"/>
        <v/>
      </c>
      <c r="BO37" s="1029"/>
      <c r="BP37" s="1030"/>
      <c r="BQ37" s="1030"/>
      <c r="BR37" s="1030"/>
      <c r="BS37" s="1030"/>
      <c r="BT37" s="1030"/>
      <c r="BU37" s="1031"/>
    </row>
    <row r="38" spans="2:73" s="94" customFormat="1" ht="12.95" customHeight="1" x14ac:dyDescent="0.2">
      <c r="B38" s="151" t="str">
        <f>IF(ISNA(Z38),"",IF(OR(Z38=1,Z38=2),"    ",MAX($B$8:B37)+1))</f>
        <v/>
      </c>
      <c r="C38" s="904" t="str">
        <f t="shared" si="0"/>
        <v/>
      </c>
      <c r="D38" s="904"/>
      <c r="E38" s="904"/>
      <c r="F38" s="905"/>
      <c r="G38" s="133" t="str">
        <f t="shared" si="1"/>
        <v/>
      </c>
      <c r="H38" s="134" t="str">
        <f t="shared" si="2"/>
        <v/>
      </c>
      <c r="I38" s="152" t="str">
        <f t="shared" si="2"/>
        <v/>
      </c>
      <c r="J38" s="158"/>
      <c r="K38" s="159"/>
      <c r="L38" s="1015"/>
      <c r="M38" s="1016"/>
      <c r="N38" s="1016"/>
      <c r="O38" s="1016"/>
      <c r="P38" s="1016"/>
      <c r="Q38" s="1016"/>
      <c r="R38" s="1017"/>
      <c r="T38" s="99">
        <v>31</v>
      </c>
      <c r="U38" s="88" t="e">
        <v>#N/A</v>
      </c>
      <c r="V38" s="453" t="e">
        <v>#N/A</v>
      </c>
      <c r="W38" s="453" t="e">
        <v>#N/A</v>
      </c>
      <c r="X38" s="453" t="e">
        <v>#N/A</v>
      </c>
      <c r="Y38" s="453" t="e">
        <v>#N/A</v>
      </c>
      <c r="Z38" s="146" t="e">
        <v>#N/A</v>
      </c>
      <c r="AA38" s="146" t="e">
        <v>#N/A</v>
      </c>
      <c r="AB38" s="146" t="e">
        <v>#N/A</v>
      </c>
      <c r="AC38" s="453" t="e">
        <v>#N/A</v>
      </c>
      <c r="AD38" s="453" t="e">
        <v>#N/A</v>
      </c>
      <c r="AE38" s="453" t="e">
        <v>#N/A</v>
      </c>
      <c r="AF38" s="453" t="e">
        <v>#N/A</v>
      </c>
      <c r="AG38" s="453" t="e">
        <f t="shared" si="3"/>
        <v>#N/A</v>
      </c>
      <c r="AH38" s="453" t="str">
        <f t="shared" si="4"/>
        <v/>
      </c>
      <c r="AI38" s="138" t="e">
        <f>IF(NOT(OR(Z38=1,Z38=2)),IF(AQ38&gt;0,$AR$44*AQ38/SUMIF($AQ$8:$AQ$39,"&gt;0"),IF(AU38&gt;0,$AV$44*AU38/SUMIF($AU$8:$AU$39,"&gt;0"),IF(AS38&gt;0,$AT$44*AS38/SUMIF($AS$8:$AS$39,"&gt;0"),""))),IF(SUMIF(AJ39:$AJ$39,"=" &amp; AJ38,AI39:$AI$39)=0,"",SUMIF(AJ39:$AJ$39,"=" &amp; AJ38,AI39:$AI$39)))</f>
        <v>#N/A</v>
      </c>
      <c r="AJ38" s="139" t="e">
        <f t="shared" si="35"/>
        <v>#N/A</v>
      </c>
      <c r="AK38" s="453" t="str">
        <f t="shared" si="5"/>
        <v/>
      </c>
      <c r="AL38" s="146" t="str">
        <f t="shared" si="6"/>
        <v/>
      </c>
      <c r="AM38" s="146" t="str">
        <f t="shared" si="7"/>
        <v/>
      </c>
      <c r="AN38" s="146" t="str">
        <f t="shared" si="8"/>
        <v/>
      </c>
      <c r="AO38" s="146" t="e">
        <f t="shared" si="9"/>
        <v>#N/A</v>
      </c>
      <c r="AP38" s="453" t="str">
        <f t="shared" si="10"/>
        <v/>
      </c>
      <c r="AQ38" s="140">
        <f t="shared" si="11"/>
        <v>0</v>
      </c>
      <c r="AR38" s="141" t="str">
        <f t="shared" si="12"/>
        <v/>
      </c>
      <c r="AS38" s="142">
        <f t="shared" si="13"/>
        <v>0</v>
      </c>
      <c r="AT38" s="141" t="str">
        <f t="shared" si="14"/>
        <v/>
      </c>
      <c r="AU38" s="143">
        <f t="shared" si="15"/>
        <v>0</v>
      </c>
      <c r="AV38" s="144" t="str">
        <f t="shared" si="16"/>
        <v/>
      </c>
      <c r="AW38" s="143" t="b">
        <f t="shared" si="17"/>
        <v>0</v>
      </c>
      <c r="AX38" s="145" t="b">
        <f t="shared" si="18"/>
        <v>0</v>
      </c>
      <c r="AY38" s="143" t="b">
        <f t="shared" si="19"/>
        <v>0</v>
      </c>
      <c r="AZ38" s="145" t="b">
        <f t="shared" si="20"/>
        <v>0</v>
      </c>
      <c r="BA38" s="453" t="b">
        <f t="shared" si="21"/>
        <v>0</v>
      </c>
      <c r="BB38" s="453" t="b">
        <f t="shared" si="22"/>
        <v>0</v>
      </c>
      <c r="BC38" s="143" t="b">
        <f t="shared" si="23"/>
        <v>0</v>
      </c>
      <c r="BD38" s="146" t="b">
        <f t="shared" si="24"/>
        <v>0</v>
      </c>
      <c r="BE38" s="145" t="b">
        <f t="shared" si="25"/>
        <v>0</v>
      </c>
      <c r="BF38" s="147" t="b">
        <f t="shared" si="26"/>
        <v>0</v>
      </c>
      <c r="BG38" s="453" t="str">
        <f t="shared" si="27"/>
        <v>NA</v>
      </c>
      <c r="BH38" s="453" t="str">
        <f t="shared" si="28"/>
        <v/>
      </c>
      <c r="BI38" s="453" t="str">
        <f t="shared" si="29"/>
        <v/>
      </c>
      <c r="BJ38" s="453" t="str">
        <f t="shared" si="30"/>
        <v/>
      </c>
      <c r="BK38" s="453" t="str">
        <f t="shared" si="31"/>
        <v/>
      </c>
      <c r="BL38" s="148" t="str">
        <f t="shared" si="32"/>
        <v/>
      </c>
      <c r="BM38" s="453" t="str">
        <f t="shared" si="33"/>
        <v/>
      </c>
      <c r="BN38" s="453" t="str">
        <f t="shared" si="34"/>
        <v/>
      </c>
      <c r="BO38" s="150" t="s">
        <v>373</v>
      </c>
      <c r="BP38" s="150"/>
      <c r="BQ38" s="150"/>
      <c r="BR38" s="150"/>
      <c r="BS38" s="150"/>
      <c r="BT38" s="150"/>
      <c r="BU38" s="150"/>
    </row>
    <row r="39" spans="2:73" s="94" customFormat="1" ht="12.95" customHeight="1" thickBot="1" x14ac:dyDescent="0.25">
      <c r="B39" s="151" t="str">
        <f>IF(ISNA(Z39),"",IF(OR(Z39=1,Z39=2),"    ",MAX($B$8:B38)+1))</f>
        <v/>
      </c>
      <c r="C39" s="904" t="str">
        <f t="shared" si="0"/>
        <v/>
      </c>
      <c r="D39" s="904"/>
      <c r="E39" s="904"/>
      <c r="F39" s="905"/>
      <c r="G39" s="171" t="str">
        <f t="shared" si="1"/>
        <v/>
      </c>
      <c r="H39" s="134" t="str">
        <f t="shared" si="2"/>
        <v/>
      </c>
      <c r="I39" s="172" t="str">
        <f t="shared" si="2"/>
        <v/>
      </c>
      <c r="J39" s="173"/>
      <c r="K39" s="174"/>
      <c r="L39" s="1018"/>
      <c r="M39" s="1019"/>
      <c r="N39" s="1019"/>
      <c r="O39" s="1019"/>
      <c r="P39" s="1019"/>
      <c r="Q39" s="1019"/>
      <c r="R39" s="1020"/>
      <c r="T39" s="99">
        <v>32</v>
      </c>
      <c r="U39" s="88" t="e">
        <v>#N/A</v>
      </c>
      <c r="V39" s="453" t="e">
        <v>#N/A</v>
      </c>
      <c r="W39" s="453" t="e">
        <v>#N/A</v>
      </c>
      <c r="X39" s="453" t="e">
        <v>#N/A</v>
      </c>
      <c r="Y39" s="453" t="e">
        <v>#N/A</v>
      </c>
      <c r="Z39" s="146" t="e">
        <v>#N/A</v>
      </c>
      <c r="AA39" s="146" t="e">
        <v>#N/A</v>
      </c>
      <c r="AB39" s="146" t="e">
        <v>#N/A</v>
      </c>
      <c r="AC39" s="453" t="e">
        <v>#N/A</v>
      </c>
      <c r="AD39" s="453" t="e">
        <v>#N/A</v>
      </c>
      <c r="AE39" s="453" t="e">
        <v>#N/A</v>
      </c>
      <c r="AF39" s="453" t="e">
        <v>#N/A</v>
      </c>
      <c r="AG39" s="453" t="e">
        <f t="shared" si="3"/>
        <v>#N/A</v>
      </c>
      <c r="AH39" s="453" t="str">
        <f t="shared" si="4"/>
        <v/>
      </c>
      <c r="AI39" s="138" t="e">
        <f>IF(NOT(OR(Z39=1,Z39=2)),IF(AQ39&gt;0,$AR$44*AQ39/SUMIF($AQ$8:$AQ$39,"&gt;0"),IF(AU39&gt;0,$AV$44*AU39/SUMIF($AU$8:$AU$39,"&gt;0"),IF(AS39&gt;0,$AT$44*AS39/SUMIF($AS$8:$AS$39,"&gt;0"),""))),IF(SUMIF(AJ$39:$AJ40,"=" &amp; AJ39,AI$39:$AI40)=0,"",SUMIF(AJ$39:$AJ40,"=" &amp; AJ39,AI$39:$AI40)))</f>
        <v>#N/A</v>
      </c>
      <c r="AJ39" s="139" t="e">
        <f t="shared" si="35"/>
        <v>#N/A</v>
      </c>
      <c r="AK39" s="453" t="str">
        <f t="shared" si="5"/>
        <v/>
      </c>
      <c r="AL39" s="146" t="str">
        <f t="shared" si="6"/>
        <v/>
      </c>
      <c r="AM39" s="146" t="str">
        <f t="shared" si="7"/>
        <v/>
      </c>
      <c r="AN39" s="146" t="str">
        <f t="shared" si="8"/>
        <v/>
      </c>
      <c r="AO39" s="146" t="e">
        <f t="shared" si="9"/>
        <v>#N/A</v>
      </c>
      <c r="AP39" s="453" t="str">
        <f t="shared" si="10"/>
        <v/>
      </c>
      <c r="AQ39" s="140">
        <f t="shared" si="11"/>
        <v>0</v>
      </c>
      <c r="AR39" s="141" t="str">
        <f t="shared" si="12"/>
        <v/>
      </c>
      <c r="AS39" s="142">
        <f t="shared" si="13"/>
        <v>0</v>
      </c>
      <c r="AT39" s="141" t="str">
        <f t="shared" si="14"/>
        <v/>
      </c>
      <c r="AU39" s="143">
        <f t="shared" si="15"/>
        <v>0</v>
      </c>
      <c r="AV39" s="144" t="str">
        <f t="shared" si="16"/>
        <v/>
      </c>
      <c r="AW39" s="143" t="b">
        <f t="shared" si="17"/>
        <v>0</v>
      </c>
      <c r="AX39" s="145" t="b">
        <f t="shared" si="18"/>
        <v>0</v>
      </c>
      <c r="AY39" s="143" t="b">
        <f t="shared" si="19"/>
        <v>0</v>
      </c>
      <c r="AZ39" s="145" t="b">
        <f t="shared" si="20"/>
        <v>0</v>
      </c>
      <c r="BA39" s="453" t="b">
        <f t="shared" si="21"/>
        <v>0</v>
      </c>
      <c r="BB39" s="453" t="b">
        <f t="shared" si="22"/>
        <v>0</v>
      </c>
      <c r="BC39" s="143" t="b">
        <f t="shared" si="23"/>
        <v>0</v>
      </c>
      <c r="BD39" s="146" t="b">
        <f t="shared" si="24"/>
        <v>0</v>
      </c>
      <c r="BE39" s="145" t="b">
        <f t="shared" si="25"/>
        <v>0</v>
      </c>
      <c r="BF39" s="147" t="b">
        <f t="shared" si="26"/>
        <v>0</v>
      </c>
      <c r="BG39" s="453" t="str">
        <f t="shared" si="27"/>
        <v>NA</v>
      </c>
      <c r="BH39" s="453" t="str">
        <f t="shared" si="28"/>
        <v/>
      </c>
      <c r="BI39" s="453" t="str">
        <f t="shared" si="29"/>
        <v/>
      </c>
      <c r="BJ39" s="453" t="str">
        <f t="shared" si="30"/>
        <v/>
      </c>
      <c r="BK39" s="453" t="str">
        <f t="shared" si="31"/>
        <v/>
      </c>
      <c r="BL39" s="453" t="str">
        <f t="shared" si="32"/>
        <v/>
      </c>
      <c r="BM39" s="453" t="str">
        <f t="shared" si="33"/>
        <v/>
      </c>
      <c r="BN39" s="453" t="str">
        <f t="shared" si="34"/>
        <v/>
      </c>
      <c r="BO39" s="1023"/>
      <c r="BP39" s="1024"/>
      <c r="BQ39" s="1024"/>
      <c r="BR39" s="1024"/>
      <c r="BS39" s="1024"/>
      <c r="BT39" s="1024"/>
      <c r="BU39" s="1025"/>
    </row>
    <row r="40" spans="2:73" s="91" customFormat="1" ht="8.25" customHeight="1" x14ac:dyDescent="0.2">
      <c r="B40" s="915" t="s">
        <v>374</v>
      </c>
      <c r="C40" s="916"/>
      <c r="D40" s="917"/>
      <c r="E40" s="452" t="s">
        <v>375</v>
      </c>
      <c r="F40" s="918" t="s">
        <v>376</v>
      </c>
      <c r="G40" s="919"/>
      <c r="H40" s="919" t="s">
        <v>377</v>
      </c>
      <c r="I40" s="919"/>
      <c r="J40" s="920" t="s">
        <v>378</v>
      </c>
      <c r="K40" s="921"/>
      <c r="L40" s="175" t="s">
        <v>379</v>
      </c>
      <c r="M40" s="922" t="s">
        <v>380</v>
      </c>
      <c r="N40" s="922"/>
      <c r="O40" s="923" t="str">
        <f>IF(U44,"DO REVIEW","DO REV N/A")</f>
        <v>DO REVIEW</v>
      </c>
      <c r="P40" s="924"/>
      <c r="Q40" s="176" t="str">
        <f>IF(U45,"ED REVIEW","ED REV N/A")</f>
        <v>ED REVIEW</v>
      </c>
      <c r="R40" s="177"/>
      <c r="S40" s="178">
        <v>0</v>
      </c>
      <c r="AI40" s="179"/>
      <c r="AJ40" s="92"/>
      <c r="AK40" s="92"/>
      <c r="AL40" s="92"/>
      <c r="AM40" s="92"/>
      <c r="AN40" s="92"/>
      <c r="AO40" s="88"/>
      <c r="AP40" s="92"/>
      <c r="AQ40" s="180"/>
      <c r="AR40" s="92"/>
      <c r="AS40" s="180"/>
      <c r="AT40" s="92"/>
      <c r="AU40" s="180"/>
      <c r="AV40" s="181"/>
      <c r="AW40" s="92"/>
      <c r="AX40" s="92"/>
      <c r="AY40" s="92"/>
      <c r="AZ40" s="92"/>
      <c r="BA40" s="92"/>
      <c r="BB40" s="92"/>
      <c r="BC40" s="92"/>
      <c r="BD40" s="92"/>
      <c r="BE40" s="92"/>
      <c r="BF40" s="92"/>
      <c r="BG40" s="92"/>
      <c r="BH40" s="88"/>
      <c r="BI40" s="88"/>
      <c r="BJ40" s="88"/>
      <c r="BK40" s="88"/>
      <c r="BL40" s="88"/>
      <c r="BM40" s="88"/>
      <c r="BN40" s="88"/>
      <c r="BO40" s="1026"/>
      <c r="BP40" s="1027"/>
      <c r="BQ40" s="1027"/>
      <c r="BR40" s="1027"/>
      <c r="BS40" s="1027"/>
      <c r="BT40" s="1027"/>
      <c r="BU40" s="1028"/>
    </row>
    <row r="41" spans="2:73" ht="18.75" customHeight="1" thickBot="1" x14ac:dyDescent="0.25">
      <c r="B41" s="925" t="str">
        <f>IF(ISERROR(AR46),"",TEXT(AR45,"0.0%"))</f>
        <v>0.0%</v>
      </c>
      <c r="C41" s="926"/>
      <c r="D41" s="927"/>
      <c r="E41" s="182" t="str">
        <f>IF(AU41=0,"N/A",CONCATENATE(TEXT(AV45,"0.0%")," of ",TEXT(AV44,"0.0%")))</f>
        <v>N/A</v>
      </c>
      <c r="F41" s="929" t="str">
        <f>IF((graded_aca_events+graded_amn_events)&lt;1,"---",IF(AND(AW4,AX4),"INCOMPLETE",IF(AND(NOT(AW4),AX4),"ACA INC",IF(AND(AW4,NOT(AX4)),"AMN INC","COMPLETE"))))</f>
        <v>---</v>
      </c>
      <c r="G41" s="929"/>
      <c r="H41" s="929" t="str">
        <f>IF(AU4,IF(OR(AY4="UNK",NOT(AN6)),"---",IF(AY4,"UNSAT",IF(AVERAGEIFS(AT8:AT39,AS8:AS39,"&gt;0")&lt;0.9,"MARG","SAT"))),"N/A")</f>
        <v>---</v>
      </c>
      <c r="I41" s="929"/>
      <c r="J41" s="930" t="str">
        <f>IF(OR(AZ4="UNK",NOT(AM6)),"---",IF(OR(AZ4,AR45&lt;0.7),"FAIL","PASS"))</f>
        <v>---</v>
      </c>
      <c r="K41" s="931"/>
      <c r="L41" s="430"/>
      <c r="M41" s="932"/>
      <c r="N41" s="932"/>
      <c r="O41" s="1021" t="s">
        <v>265</v>
      </c>
      <c r="P41" s="1021"/>
      <c r="Q41" s="1021" t="s">
        <v>265</v>
      </c>
      <c r="R41" s="1022"/>
      <c r="S41" s="183"/>
      <c r="T41" s="99" t="s">
        <v>381</v>
      </c>
      <c r="U41" s="146" t="s">
        <v>382</v>
      </c>
      <c r="V41" s="184"/>
      <c r="W41" s="184"/>
      <c r="X41" s="184"/>
      <c r="Y41" s="184"/>
      <c r="Z41" s="184"/>
      <c r="AA41" s="184"/>
      <c r="AB41" s="184"/>
      <c r="AC41" s="184"/>
      <c r="AD41" s="184"/>
      <c r="AE41" s="184"/>
      <c r="AF41" s="184"/>
      <c r="AG41" s="184"/>
      <c r="AH41" s="184"/>
      <c r="AI41" s="86"/>
      <c r="AJ41" s="85"/>
      <c r="AK41" s="184"/>
      <c r="AL41" s="184"/>
      <c r="AM41" s="184">
        <f>SUM(AM8:AM39)</f>
        <v>0</v>
      </c>
      <c r="AN41" s="184">
        <f>SUM(AN8:AN39)</f>
        <v>0</v>
      </c>
      <c r="AO41" s="99"/>
      <c r="AP41" s="85"/>
      <c r="AQ41" s="185">
        <f>SUMIF(AQ8:AQ39,"&gt;0")</f>
        <v>26.25</v>
      </c>
      <c r="AR41" s="186">
        <f>IF(AQ41=0,0,SUMPRODUCT($AQ$8:$AQ$39,AR8:AR39)/SUM($AQ$8:$AQ$39))</f>
        <v>0</v>
      </c>
      <c r="AS41" s="187">
        <f>SUMIF(AS8:AS39,"&gt;0")</f>
        <v>5</v>
      </c>
      <c r="AT41" s="186">
        <f>IF(AS41=0,0,SUMPRODUCT($AS$8:$AS$39,AT8:AT39)/SUM($AS$8:$AS$39))</f>
        <v>0</v>
      </c>
      <c r="AU41" s="187">
        <f>SUM(AU9:AU39)</f>
        <v>0</v>
      </c>
      <c r="AV41" s="186">
        <f>IF(AU41=0,0,SUMPRODUCT($AU$8:$AU$39,AV8:AV39)/SUM($AU$8:$AU$39))</f>
        <v>0</v>
      </c>
      <c r="AW41" s="188"/>
      <c r="AX41" s="188"/>
      <c r="AY41" s="188"/>
      <c r="AZ41" s="188"/>
      <c r="BA41" s="188"/>
      <c r="BB41" s="188"/>
      <c r="BC41" s="88" t="s">
        <v>383</v>
      </c>
      <c r="BD41" s="88" t="s">
        <v>384</v>
      </c>
      <c r="BE41" s="88" t="s">
        <v>385</v>
      </c>
      <c r="BO41" s="1026"/>
      <c r="BP41" s="1027"/>
      <c r="BQ41" s="1027"/>
      <c r="BR41" s="1027"/>
      <c r="BS41" s="1027"/>
      <c r="BT41" s="1027"/>
      <c r="BU41" s="1028"/>
    </row>
    <row r="42" spans="2:73" ht="7.5" customHeight="1" thickTop="1" x14ac:dyDescent="0.2">
      <c r="L42" s="928" t="s">
        <v>616</v>
      </c>
      <c r="M42" s="928"/>
      <c r="N42" s="928"/>
      <c r="O42" s="928"/>
      <c r="P42" s="928"/>
      <c r="Q42" s="928"/>
      <c r="R42" s="928"/>
      <c r="AP42" s="184"/>
      <c r="AQ42" s="85"/>
      <c r="AR42" s="85"/>
      <c r="AT42" s="186"/>
      <c r="AU42" s="186"/>
      <c r="AV42" s="186"/>
      <c r="AW42" s="85"/>
      <c r="AX42" s="186"/>
      <c r="BO42" s="1029"/>
      <c r="BP42" s="1030"/>
      <c r="BQ42" s="1030"/>
      <c r="BR42" s="1030"/>
      <c r="BS42" s="1030"/>
      <c r="BT42" s="1030"/>
      <c r="BU42" s="1031"/>
    </row>
    <row r="43" spans="2:73" ht="30.75" customHeight="1" x14ac:dyDescent="0.2">
      <c r="T43" s="189" t="s">
        <v>386</v>
      </c>
      <c r="U43" s="146" t="b">
        <v>0</v>
      </c>
      <c r="AI43" s="89">
        <f ca="1">SUMIF(AJ8:$AJ$39,"=" &amp; AJ8,AI9:$AI$39)</f>
        <v>0.19047619047619047</v>
      </c>
      <c r="AO43" s="190"/>
      <c r="AS43" s="118" t="s">
        <v>387</v>
      </c>
      <c r="AT43" s="191">
        <f>SUMIF(X8:X39,"&gt;0")/SUMIF(W8:W39,"&gt;0")</f>
        <v>0.19047619047619047</v>
      </c>
      <c r="AU43" s="118" t="s">
        <v>388</v>
      </c>
      <c r="AV43" s="192">
        <f>SUMIF(AU8:AU39,"&gt;0")/SUMIF(AQ8:AQ39,"&gt;0")</f>
        <v>0</v>
      </c>
      <c r="AW43" s="193"/>
      <c r="BE43" s="88" t="b">
        <f>AND(ISBLANK($K30),J30&gt;0)</f>
        <v>0</v>
      </c>
      <c r="BO43" s="88"/>
      <c r="BP43" s="88"/>
      <c r="BQ43" s="90"/>
    </row>
    <row r="44" spans="2:73" ht="30.75" customHeight="1" x14ac:dyDescent="0.2">
      <c r="J44" s="194"/>
      <c r="T44" s="195" t="s">
        <v>389</v>
      </c>
      <c r="U44" s="88" t="b">
        <f>IF(AND(Flight?,OR(AW4,AY4,BA4,AZ4,AR45&lt;0.7,H41="MARG")),TRUE,FALSE)</f>
        <v>1</v>
      </c>
      <c r="AO44" s="196"/>
      <c r="AQ44" s="118" t="s">
        <v>390</v>
      </c>
      <c r="AR44" s="191">
        <f>1-AT44</f>
        <v>0.80952380952380953</v>
      </c>
      <c r="AS44" s="118" t="s">
        <v>391</v>
      </c>
      <c r="AT44" s="191">
        <f>MIN(AT43,AT6)</f>
        <v>0.19047619047619047</v>
      </c>
      <c r="AU44" s="118" t="s">
        <v>392</v>
      </c>
      <c r="AV44" s="89">
        <f>MIN(AV43,AV6)</f>
        <v>0</v>
      </c>
      <c r="BO44" s="88"/>
      <c r="BP44" s="88"/>
      <c r="BQ44" s="90"/>
    </row>
    <row r="45" spans="2:73" ht="25.5" x14ac:dyDescent="0.2">
      <c r="T45" s="195" t="s">
        <v>393</v>
      </c>
      <c r="U45" s="88" t="b">
        <f>IF(OR(AX4,AY4,AZ4,BB4,AR45&lt;0.7),TRUE,FALSE)</f>
        <v>1</v>
      </c>
      <c r="AO45" s="197"/>
      <c r="AQ45" s="118" t="s">
        <v>394</v>
      </c>
      <c r="AR45" s="89">
        <f>AR41*(1-AT44)+(AT41*AT44)</f>
        <v>0</v>
      </c>
      <c r="AU45" s="88" t="s">
        <v>324</v>
      </c>
      <c r="AV45" s="89">
        <f>AV41*AV44</f>
        <v>0</v>
      </c>
      <c r="BO45" s="88"/>
      <c r="BP45" s="88"/>
      <c r="BQ45" s="90"/>
    </row>
    <row r="46" spans="2:73" ht="25.5" x14ac:dyDescent="0.2">
      <c r="T46" s="195" t="s">
        <v>395</v>
      </c>
      <c r="U46" s="88" t="b">
        <v>0</v>
      </c>
      <c r="AO46" s="197"/>
      <c r="AQ46" s="118" t="s">
        <v>396</v>
      </c>
      <c r="AR46" s="89">
        <f>MIN(1,IF(NOT(OR(AY4,AZ4)),AR45+AV45,MIN(0.69,AR45+AV45)))</f>
        <v>0</v>
      </c>
      <c r="BO46" s="88"/>
      <c r="BP46" s="88"/>
      <c r="BQ46" s="90"/>
    </row>
    <row r="47" spans="2:73" x14ac:dyDescent="0.2">
      <c r="T47" s="195" t="s">
        <v>397</v>
      </c>
      <c r="U47" s="88" t="b">
        <f>IF(NOT(Flight?),TRUE,NOT(OR(ISBLANK(comments),ISBLANK(hdr_class),ISBLANK(hdr_date),ISBLANK(hdr_stud),ISBLANK(hdr_instr),ISBLANK(hdr_acft),ISBLANK(hdr_time),F41="---")))</f>
        <v>0</v>
      </c>
      <c r="AO47" s="197"/>
      <c r="AR47" s="118"/>
      <c r="AS47" s="89"/>
    </row>
    <row r="48" spans="2:73" x14ac:dyDescent="0.2">
      <c r="T48" s="195" t="s">
        <v>398</v>
      </c>
      <c r="U48" s="88" t="b">
        <f>IF(Flight?,TRUE,NOT(OR(ISBLANK(comments),ISBLANK(hdr_class),ISBLANK(hdr_date),ISBLANK(hdr_stud),ISBLANK(hdr_instr),F41="---")))</f>
        <v>1</v>
      </c>
      <c r="AO48" s="196"/>
      <c r="AP48" s="85" t="s">
        <v>399</v>
      </c>
      <c r="AQ48" s="85"/>
      <c r="AR48" s="85"/>
      <c r="AS48" s="85"/>
      <c r="AT48" s="85"/>
    </row>
    <row r="49" spans="1:67" s="88" customFormat="1" x14ac:dyDescent="0.2">
      <c r="A49" s="87"/>
      <c r="B49" s="87"/>
      <c r="C49" s="87"/>
      <c r="D49" s="87"/>
      <c r="E49" s="87"/>
      <c r="F49" s="87"/>
      <c r="G49" s="87"/>
      <c r="H49" s="87"/>
      <c r="I49" s="87"/>
      <c r="J49" s="87"/>
      <c r="K49" s="87"/>
      <c r="L49" s="87"/>
      <c r="M49" s="87"/>
      <c r="N49" s="87"/>
      <c r="O49" s="87"/>
      <c r="P49" s="87"/>
      <c r="Q49" s="87"/>
      <c r="R49" s="87"/>
      <c r="S49" s="87"/>
      <c r="T49" s="195" t="s">
        <v>400</v>
      </c>
      <c r="U49" s="88" t="b">
        <f>AND(U47:U48)</f>
        <v>0</v>
      </c>
      <c r="AI49" s="89"/>
      <c r="AO49" s="196"/>
      <c r="AP49" s="85"/>
      <c r="AQ49" s="85"/>
      <c r="AR49" s="85">
        <v>0</v>
      </c>
      <c r="AS49" s="85">
        <v>1</v>
      </c>
      <c r="AT49" s="85">
        <v>2</v>
      </c>
      <c r="AU49" s="85">
        <v>3</v>
      </c>
      <c r="AV49" s="85">
        <v>4</v>
      </c>
      <c r="BO49" s="90"/>
    </row>
    <row r="50" spans="1:67" s="88" customFormat="1" x14ac:dyDescent="0.2">
      <c r="A50" s="87"/>
      <c r="B50" s="87"/>
      <c r="C50" s="87"/>
      <c r="D50" s="87"/>
      <c r="E50" s="87"/>
      <c r="F50" s="87"/>
      <c r="G50" s="87"/>
      <c r="H50" s="87"/>
      <c r="I50" s="87"/>
      <c r="J50" s="87"/>
      <c r="K50" s="87"/>
      <c r="L50" s="87"/>
      <c r="M50" s="87"/>
      <c r="N50" s="87"/>
      <c r="O50" s="87"/>
      <c r="P50" s="87"/>
      <c r="Q50" s="87"/>
      <c r="R50" s="87"/>
      <c r="S50" s="87"/>
      <c r="AI50" s="89"/>
      <c r="AO50" s="196"/>
      <c r="AP50" s="85" t="s">
        <v>359</v>
      </c>
      <c r="AQ50" s="85">
        <v>1</v>
      </c>
      <c r="AR50" s="198">
        <v>0.7</v>
      </c>
      <c r="AS50" s="198">
        <v>0.9</v>
      </c>
      <c r="AT50" s="198">
        <v>0.93330000000000002</v>
      </c>
      <c r="AU50" s="198">
        <v>0.9667</v>
      </c>
      <c r="AV50" s="198">
        <v>1</v>
      </c>
      <c r="BO50" s="90"/>
    </row>
    <row r="51" spans="1:67" s="88" customFormat="1" x14ac:dyDescent="0.2">
      <c r="A51" s="87"/>
      <c r="B51" s="87"/>
      <c r="C51" s="87"/>
      <c r="D51" s="87"/>
      <c r="E51" s="87"/>
      <c r="F51" s="87"/>
      <c r="G51" s="87"/>
      <c r="H51" s="87"/>
      <c r="I51" s="87"/>
      <c r="J51" s="87"/>
      <c r="K51" s="87"/>
      <c r="L51" s="87"/>
      <c r="M51" s="87"/>
      <c r="N51" s="87"/>
      <c r="O51" s="87"/>
      <c r="P51" s="87"/>
      <c r="Q51" s="87"/>
      <c r="R51" s="87"/>
      <c r="S51" s="87"/>
      <c r="AI51" s="89"/>
      <c r="AO51" s="196"/>
      <c r="AP51" s="85" t="s">
        <v>360</v>
      </c>
      <c r="AQ51" s="85">
        <v>2</v>
      </c>
      <c r="AR51" s="198">
        <v>0.7</v>
      </c>
      <c r="AS51" s="198">
        <v>0.8</v>
      </c>
      <c r="AT51" s="198">
        <v>0.9</v>
      </c>
      <c r="AU51" s="198">
        <v>0.95</v>
      </c>
      <c r="AV51" s="198">
        <v>1</v>
      </c>
      <c r="BO51" s="90"/>
    </row>
    <row r="52" spans="1:67" s="88" customFormat="1" x14ac:dyDescent="0.2">
      <c r="A52" s="87"/>
      <c r="B52" s="87"/>
      <c r="C52" s="87"/>
      <c r="D52" s="87"/>
      <c r="E52" s="87"/>
      <c r="F52" s="87"/>
      <c r="G52" s="87"/>
      <c r="H52" s="87"/>
      <c r="I52" s="87"/>
      <c r="J52" s="87"/>
      <c r="K52" s="87"/>
      <c r="L52" s="87"/>
      <c r="M52" s="87"/>
      <c r="N52" s="87"/>
      <c r="O52" s="87"/>
      <c r="P52" s="87"/>
      <c r="Q52" s="87"/>
      <c r="R52" s="87"/>
      <c r="S52" s="87"/>
      <c r="AI52" s="89"/>
      <c r="AO52" s="196"/>
      <c r="AP52" s="85" t="s">
        <v>361</v>
      </c>
      <c r="AQ52" s="85">
        <v>3</v>
      </c>
      <c r="AR52" s="198">
        <v>0.7</v>
      </c>
      <c r="AS52" s="198">
        <v>0.76670000000000005</v>
      </c>
      <c r="AT52" s="198">
        <v>0.83330000000000004</v>
      </c>
      <c r="AU52" s="198">
        <v>0.9</v>
      </c>
      <c r="AV52" s="198">
        <v>1</v>
      </c>
      <c r="BO52" s="90"/>
    </row>
    <row r="53" spans="1:67" s="88" customFormat="1" x14ac:dyDescent="0.2">
      <c r="A53" s="87"/>
      <c r="B53" s="87"/>
      <c r="C53" s="87"/>
      <c r="D53" s="87"/>
      <c r="E53" s="87"/>
      <c r="F53" s="87"/>
      <c r="G53" s="87"/>
      <c r="H53" s="87"/>
      <c r="I53" s="87"/>
      <c r="J53" s="87"/>
      <c r="K53" s="87"/>
      <c r="L53" s="87"/>
      <c r="M53" s="87"/>
      <c r="N53" s="87"/>
      <c r="O53" s="87"/>
      <c r="P53" s="87"/>
      <c r="Q53" s="87"/>
      <c r="R53" s="87"/>
      <c r="S53" s="87"/>
      <c r="AI53" s="89"/>
      <c r="AP53" s="199" t="s">
        <v>362</v>
      </c>
      <c r="AQ53" s="85">
        <v>11</v>
      </c>
      <c r="AR53" s="198">
        <v>0.6</v>
      </c>
      <c r="AS53" s="198">
        <v>0.9</v>
      </c>
      <c r="AT53" s="198">
        <v>0.93330000000000002</v>
      </c>
      <c r="AU53" s="198">
        <v>0.9667</v>
      </c>
      <c r="AV53" s="198">
        <v>1</v>
      </c>
      <c r="BO53" s="90"/>
    </row>
    <row r="54" spans="1:67" s="88" customFormat="1" x14ac:dyDescent="0.2">
      <c r="A54" s="87"/>
      <c r="B54" s="87"/>
      <c r="C54" s="87"/>
      <c r="D54" s="87"/>
      <c r="E54" s="87"/>
      <c r="F54" s="87"/>
      <c r="G54" s="87"/>
      <c r="H54" s="87"/>
      <c r="I54" s="87"/>
      <c r="J54" s="87"/>
      <c r="K54" s="87"/>
      <c r="L54" s="87"/>
      <c r="M54" s="87"/>
      <c r="N54" s="87"/>
      <c r="O54" s="87"/>
      <c r="P54" s="87"/>
      <c r="Q54" s="87"/>
      <c r="R54" s="87"/>
      <c r="S54" s="87"/>
      <c r="AI54" s="89"/>
      <c r="AP54" s="199" t="s">
        <v>363</v>
      </c>
      <c r="AQ54" s="85">
        <v>12</v>
      </c>
      <c r="AR54" s="198">
        <v>0.6</v>
      </c>
      <c r="AS54" s="198">
        <v>0.7</v>
      </c>
      <c r="AT54" s="198">
        <v>0.9</v>
      </c>
      <c r="AU54" s="198">
        <v>0.95</v>
      </c>
      <c r="AV54" s="198">
        <v>1</v>
      </c>
      <c r="BO54" s="90"/>
    </row>
    <row r="55" spans="1:67" s="88" customFormat="1" x14ac:dyDescent="0.2">
      <c r="A55" s="87"/>
      <c r="B55" s="87"/>
      <c r="C55" s="87"/>
      <c r="D55" s="87"/>
      <c r="E55" s="87"/>
      <c r="F55" s="87"/>
      <c r="G55" s="87"/>
      <c r="H55" s="87"/>
      <c r="I55" s="87"/>
      <c r="J55" s="87"/>
      <c r="K55" s="87"/>
      <c r="L55" s="87"/>
      <c r="M55" s="87"/>
      <c r="N55" s="87"/>
      <c r="O55" s="87"/>
      <c r="P55" s="87"/>
      <c r="Q55" s="87"/>
      <c r="R55" s="87"/>
      <c r="S55" s="87"/>
      <c r="AI55" s="89"/>
      <c r="AP55" s="199" t="s">
        <v>364</v>
      </c>
      <c r="AQ55" s="85">
        <v>13</v>
      </c>
      <c r="AR55" s="198">
        <v>0.6</v>
      </c>
      <c r="AS55" s="198">
        <v>0.7</v>
      </c>
      <c r="AT55" s="198">
        <v>0.8</v>
      </c>
      <c r="AU55" s="198">
        <v>0.9</v>
      </c>
      <c r="AV55" s="198">
        <v>1</v>
      </c>
      <c r="BO55" s="90"/>
    </row>
    <row r="56" spans="1:67" s="88" customFormat="1" x14ac:dyDescent="0.2">
      <c r="A56" s="87"/>
      <c r="B56" s="87"/>
      <c r="C56" s="87"/>
      <c r="D56" s="87"/>
      <c r="E56" s="87"/>
      <c r="F56" s="87"/>
      <c r="G56" s="87"/>
      <c r="H56" s="87"/>
      <c r="I56" s="87"/>
      <c r="J56" s="87"/>
      <c r="K56" s="87"/>
      <c r="L56" s="87"/>
      <c r="M56" s="87"/>
      <c r="N56" s="87"/>
      <c r="O56" s="87"/>
      <c r="P56" s="87"/>
      <c r="Q56" s="87"/>
      <c r="R56" s="87"/>
      <c r="S56" s="87"/>
      <c r="AI56" s="89"/>
      <c r="AP56" s="199" t="s">
        <v>365</v>
      </c>
      <c r="AQ56" s="85">
        <v>22</v>
      </c>
      <c r="AR56" s="198">
        <v>0.3</v>
      </c>
      <c r="AS56" s="198">
        <v>0.6</v>
      </c>
      <c r="AT56" s="198">
        <v>0.9</v>
      </c>
      <c r="AU56" s="198">
        <v>0.95</v>
      </c>
      <c r="AV56" s="198">
        <v>1</v>
      </c>
      <c r="BO56" s="90"/>
    </row>
    <row r="57" spans="1:67" s="88" customFormat="1" x14ac:dyDescent="0.2">
      <c r="A57" s="87"/>
      <c r="B57" s="87"/>
      <c r="C57" s="87"/>
      <c r="D57" s="87"/>
      <c r="E57" s="87"/>
      <c r="F57" s="87"/>
      <c r="G57" s="87"/>
      <c r="H57" s="87"/>
      <c r="I57" s="87"/>
      <c r="J57" s="87"/>
      <c r="K57" s="87"/>
      <c r="L57" s="87"/>
      <c r="M57" s="87"/>
      <c r="N57" s="87"/>
      <c r="O57" s="87"/>
      <c r="P57" s="87"/>
      <c r="Q57" s="87"/>
      <c r="R57" s="87"/>
      <c r="S57" s="87"/>
      <c r="AI57" s="89"/>
      <c r="AP57" s="199" t="s">
        <v>366</v>
      </c>
      <c r="AQ57" s="85">
        <v>23</v>
      </c>
      <c r="AR57" s="198">
        <v>0.3</v>
      </c>
      <c r="AS57" s="198">
        <v>0.6</v>
      </c>
      <c r="AT57" s="198">
        <v>0.7</v>
      </c>
      <c r="AU57" s="198">
        <v>0.9</v>
      </c>
      <c r="AV57" s="198">
        <v>1</v>
      </c>
      <c r="BO57" s="90"/>
    </row>
    <row r="58" spans="1:67" s="88" customFormat="1" x14ac:dyDescent="0.2">
      <c r="A58" s="87"/>
      <c r="B58" s="87"/>
      <c r="C58" s="87"/>
      <c r="D58" s="87"/>
      <c r="E58" s="87"/>
      <c r="F58" s="87"/>
      <c r="G58" s="87"/>
      <c r="H58" s="87"/>
      <c r="I58" s="87"/>
      <c r="J58" s="87"/>
      <c r="K58" s="87"/>
      <c r="L58" s="87"/>
      <c r="M58" s="87"/>
      <c r="N58" s="87"/>
      <c r="O58" s="87"/>
      <c r="P58" s="87"/>
      <c r="Q58" s="87"/>
      <c r="R58" s="87"/>
      <c r="S58" s="87"/>
      <c r="AI58" s="89"/>
      <c r="AP58" s="199" t="s">
        <v>367</v>
      </c>
      <c r="AQ58" s="85">
        <v>33</v>
      </c>
      <c r="AR58" s="198">
        <v>0</v>
      </c>
      <c r="AS58" s="198">
        <v>0.3</v>
      </c>
      <c r="AT58" s="198">
        <v>0.6</v>
      </c>
      <c r="AU58" s="198">
        <v>0.9</v>
      </c>
      <c r="AV58" s="198">
        <v>1</v>
      </c>
      <c r="AW58" s="85"/>
      <c r="BO58" s="90"/>
    </row>
    <row r="59" spans="1:67" s="88" customFormat="1" x14ac:dyDescent="0.2">
      <c r="A59" s="87"/>
      <c r="B59" s="87"/>
      <c r="C59" s="87"/>
      <c r="D59" s="87"/>
      <c r="E59" s="87"/>
      <c r="F59" s="87"/>
      <c r="G59" s="87"/>
      <c r="H59" s="87"/>
      <c r="I59" s="87"/>
      <c r="J59" s="87"/>
      <c r="K59" s="87"/>
      <c r="L59" s="87"/>
      <c r="M59" s="87"/>
      <c r="N59" s="87"/>
      <c r="O59" s="87"/>
      <c r="P59" s="87"/>
      <c r="Q59" s="87"/>
      <c r="R59" s="87"/>
      <c r="S59" s="87"/>
      <c r="AI59" s="89"/>
      <c r="BO59" s="90"/>
    </row>
    <row r="60" spans="1:67" s="88" customFormat="1" x14ac:dyDescent="0.2">
      <c r="A60" s="87"/>
      <c r="B60" s="87"/>
      <c r="C60" s="87"/>
      <c r="D60" s="87"/>
      <c r="E60" s="87"/>
      <c r="F60" s="87"/>
      <c r="G60" s="87"/>
      <c r="H60" s="87"/>
      <c r="I60" s="87"/>
      <c r="J60" s="87"/>
      <c r="K60" s="87"/>
      <c r="L60" s="87"/>
      <c r="M60" s="87"/>
      <c r="N60" s="87"/>
      <c r="O60" s="87"/>
      <c r="P60" s="87"/>
      <c r="Q60" s="87"/>
      <c r="R60" s="87"/>
      <c r="S60" s="87"/>
      <c r="AI60" s="89"/>
      <c r="AQ60" s="85"/>
      <c r="AW60" s="85"/>
      <c r="AX60" s="85"/>
      <c r="BO60" s="90"/>
    </row>
    <row r="61" spans="1:67" s="88" customFormat="1" x14ac:dyDescent="0.2">
      <c r="A61" s="87"/>
      <c r="B61" s="87"/>
      <c r="C61" s="87"/>
      <c r="D61" s="87"/>
      <c r="E61" s="87"/>
      <c r="F61" s="87"/>
      <c r="G61" s="87"/>
      <c r="H61" s="87"/>
      <c r="I61" s="87"/>
      <c r="J61" s="87"/>
      <c r="K61" s="87"/>
      <c r="L61" s="87"/>
      <c r="M61" s="87"/>
      <c r="N61" s="87"/>
      <c r="O61" s="87"/>
      <c r="P61" s="87"/>
      <c r="Q61" s="87"/>
      <c r="R61" s="87"/>
      <c r="S61" s="87"/>
      <c r="AI61" s="89"/>
      <c r="AP61" s="200"/>
      <c r="AQ61" s="85"/>
      <c r="AW61" s="85"/>
      <c r="AX61" s="85"/>
      <c r="BO61" s="90"/>
    </row>
    <row r="62" spans="1:67" s="88" customFormat="1" x14ac:dyDescent="0.2">
      <c r="A62" s="87"/>
      <c r="B62" s="87"/>
      <c r="C62" s="87"/>
      <c r="D62" s="87"/>
      <c r="E62" s="87"/>
      <c r="F62" s="87"/>
      <c r="G62" s="87"/>
      <c r="H62" s="87"/>
      <c r="I62" s="87"/>
      <c r="J62" s="87"/>
      <c r="K62" s="87"/>
      <c r="L62" s="87"/>
      <c r="M62" s="87"/>
      <c r="N62" s="87"/>
      <c r="O62" s="87"/>
      <c r="P62" s="87"/>
      <c r="Q62" s="87"/>
      <c r="R62" s="87"/>
      <c r="S62" s="87"/>
      <c r="AI62" s="89"/>
      <c r="AP62" s="85"/>
      <c r="AQ62" s="85"/>
      <c r="AW62" s="85"/>
      <c r="AX62" s="85"/>
      <c r="BO62" s="90"/>
    </row>
    <row r="63" spans="1:67" s="88" customFormat="1" x14ac:dyDescent="0.2">
      <c r="A63" s="87"/>
      <c r="B63" s="87"/>
      <c r="C63" s="87"/>
      <c r="D63" s="87"/>
      <c r="E63" s="87"/>
      <c r="F63" s="87"/>
      <c r="G63" s="87"/>
      <c r="H63" s="87"/>
      <c r="I63" s="87"/>
      <c r="J63" s="87"/>
      <c r="K63" s="87"/>
      <c r="L63" s="87"/>
      <c r="M63" s="87"/>
      <c r="N63" s="87"/>
      <c r="O63" s="87"/>
      <c r="P63" s="87"/>
      <c r="Q63" s="87"/>
      <c r="R63" s="87"/>
      <c r="S63" s="87"/>
      <c r="AI63" s="89"/>
      <c r="AP63" s="85"/>
      <c r="AQ63" s="85"/>
      <c r="AW63" s="85"/>
      <c r="BO63" s="90"/>
    </row>
    <row r="64" spans="1:67" s="88" customFormat="1" x14ac:dyDescent="0.2">
      <c r="A64" s="87"/>
      <c r="B64" s="87"/>
      <c r="C64" s="87"/>
      <c r="D64" s="87"/>
      <c r="E64" s="87"/>
      <c r="F64" s="87"/>
      <c r="G64" s="87"/>
      <c r="H64" s="87"/>
      <c r="I64" s="87"/>
      <c r="J64" s="87"/>
      <c r="K64" s="87"/>
      <c r="L64" s="87"/>
      <c r="M64" s="87"/>
      <c r="N64" s="87"/>
      <c r="O64" s="87"/>
      <c r="P64" s="87"/>
      <c r="Q64" s="87"/>
      <c r="R64" s="87"/>
      <c r="S64" s="87"/>
      <c r="AI64" s="89"/>
      <c r="AP64" s="85"/>
      <c r="AQ64" s="85"/>
      <c r="AW64" s="85"/>
      <c r="BO64" s="90"/>
    </row>
    <row r="65" spans="1:67" s="88" customFormat="1" x14ac:dyDescent="0.2">
      <c r="A65" s="87"/>
      <c r="B65" s="87"/>
      <c r="C65" s="87"/>
      <c r="D65" s="87"/>
      <c r="E65" s="87"/>
      <c r="F65" s="87"/>
      <c r="G65" s="87"/>
      <c r="H65" s="87"/>
      <c r="I65" s="87"/>
      <c r="J65" s="87"/>
      <c r="K65" s="87"/>
      <c r="L65" s="87"/>
      <c r="M65" s="87"/>
      <c r="N65" s="87"/>
      <c r="O65" s="87"/>
      <c r="P65" s="87"/>
      <c r="Q65" s="87"/>
      <c r="R65" s="87"/>
      <c r="S65" s="87"/>
      <c r="AI65" s="89"/>
      <c r="AP65" s="85"/>
      <c r="AQ65" s="85"/>
      <c r="BO65" s="90"/>
    </row>
    <row r="66" spans="1:67" s="88" customFormat="1" x14ac:dyDescent="0.2">
      <c r="A66" s="87"/>
      <c r="B66" s="87"/>
      <c r="C66" s="87"/>
      <c r="D66" s="87"/>
      <c r="E66" s="87"/>
      <c r="F66" s="87"/>
      <c r="G66" s="87"/>
      <c r="H66" s="87"/>
      <c r="I66" s="87"/>
      <c r="J66" s="87"/>
      <c r="K66" s="87"/>
      <c r="L66" s="87"/>
      <c r="M66" s="87"/>
      <c r="N66" s="87"/>
      <c r="O66" s="87"/>
      <c r="P66" s="87"/>
      <c r="Q66" s="87"/>
      <c r="R66" s="87"/>
      <c r="S66" s="87"/>
      <c r="AI66" s="89"/>
      <c r="AP66" s="85"/>
      <c r="AQ66" s="85"/>
      <c r="BO66" s="90"/>
    </row>
  </sheetData>
  <sheetProtection algorithmName="SHA-512" hashValue="rNU3hDq61MbVm5Goew7OwjMLQGjRQsrV66EzydUxEmgbCKIR2S+a1ownvj2iKtxxMBiOhfSRrOBY3gSdX+TQuw==" saltValue="JtcWmNa382xiRJ/jl0fgjA==" spinCount="100000" sheet="1" selectLockedCells="1"/>
  <mergeCells count="76">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 ref="C34:F34"/>
    <mergeCell ref="BO34:BU37"/>
    <mergeCell ref="C35:F35"/>
    <mergeCell ref="C36:F36"/>
    <mergeCell ref="C37:F37"/>
    <mergeCell ref="B7:F7"/>
    <mergeCell ref="L7:R7"/>
    <mergeCell ref="BP3:BU4"/>
    <mergeCell ref="C32:F32"/>
    <mergeCell ref="C33:F33"/>
    <mergeCell ref="C14:F14"/>
    <mergeCell ref="C15:F15"/>
    <mergeCell ref="C16:F16"/>
    <mergeCell ref="C18:F18"/>
    <mergeCell ref="O4:P4"/>
    <mergeCell ref="Q4:R4"/>
    <mergeCell ref="BH4:BK6"/>
    <mergeCell ref="C17:F17"/>
    <mergeCell ref="BQ19:BU19"/>
    <mergeCell ref="C20:F20"/>
    <mergeCell ref="C21:F21"/>
    <mergeCell ref="BO21:BO29"/>
    <mergeCell ref="C22:F22"/>
    <mergeCell ref="C23:F23"/>
    <mergeCell ref="C24:F24"/>
    <mergeCell ref="C25:F25"/>
    <mergeCell ref="C26:F26"/>
    <mergeCell ref="C27:F27"/>
    <mergeCell ref="C28:F28"/>
    <mergeCell ref="C29:F29"/>
    <mergeCell ref="B3:G3"/>
    <mergeCell ref="H3:N3"/>
    <mergeCell ref="O3:P3"/>
    <mergeCell ref="Q3:R3"/>
    <mergeCell ref="C8:F8"/>
    <mergeCell ref="L8:R39"/>
    <mergeCell ref="C9:F9"/>
    <mergeCell ref="C10:F10"/>
    <mergeCell ref="C11:F11"/>
    <mergeCell ref="C12:F12"/>
    <mergeCell ref="C13:F13"/>
    <mergeCell ref="C38:F38"/>
    <mergeCell ref="C39:F39"/>
    <mergeCell ref="C31:F31"/>
    <mergeCell ref="C19:F19"/>
    <mergeCell ref="C30:F30"/>
    <mergeCell ref="BL4:BN6"/>
    <mergeCell ref="B5:E5"/>
    <mergeCell ref="F5:G5"/>
    <mergeCell ref="H5:L5"/>
    <mergeCell ref="M5:N5"/>
    <mergeCell ref="O5:P5"/>
    <mergeCell ref="Q5:R5"/>
    <mergeCell ref="B6:E6"/>
    <mergeCell ref="F6:G6"/>
    <mergeCell ref="H6:L6"/>
    <mergeCell ref="B4:G4"/>
    <mergeCell ref="H4:N4"/>
    <mergeCell ref="M6:N6"/>
    <mergeCell ref="O6:P6"/>
    <mergeCell ref="Q6:R6"/>
  </mergeCells>
  <conditionalFormatting sqref="B8:F39">
    <cfRule type="expression" dxfId="173" priority="8" stopIfTrue="1">
      <formula>IF($Z8=1,TRUE,FALSE)</formula>
    </cfRule>
    <cfRule type="expression" dxfId="172" priority="9">
      <formula>IF($Z8=2,TRUE,FALSE)</formula>
    </cfRule>
  </conditionalFormatting>
  <conditionalFormatting sqref="C8:F39">
    <cfRule type="expression" dxfId="171" priority="1" stopIfTrue="1">
      <formula>IF($AF8=FALSE,TRUE,FALSE)</formula>
    </cfRule>
  </conditionalFormatting>
  <conditionalFormatting sqref="F5:G6 M5:P6">
    <cfRule type="expression" dxfId="170" priority="4" stopIfTrue="1">
      <formula>NOT($AU$4)</formula>
    </cfRule>
  </conditionalFormatting>
  <conditionalFormatting sqref="F6:G6">
    <cfRule type="cellIs" dxfId="169" priority="3" operator="equal">
      <formula>""</formula>
    </cfRule>
  </conditionalFormatting>
  <conditionalFormatting sqref="G8:K39">
    <cfRule type="expression" dxfId="168" priority="6" stopIfTrue="1">
      <formula>IF($Z8=1,TRUE,FALSE)</formula>
    </cfRule>
    <cfRule type="expression" dxfId="167" priority="7" stopIfTrue="1">
      <formula>IF($Z8=2,TRUE,FALSE)</formula>
    </cfRule>
  </conditionalFormatting>
  <conditionalFormatting sqref="H8:H39">
    <cfRule type="expression" dxfId="166" priority="10" stopIfTrue="1">
      <formula>IF($AB8=0,TRUE,FALSE)</formula>
    </cfRule>
  </conditionalFormatting>
  <conditionalFormatting sqref="H40:I41">
    <cfRule type="expression" dxfId="165" priority="2" stopIfTrue="1">
      <formula>IF($H$41="N/A",TRUE,FALSE)</formula>
    </cfRule>
  </conditionalFormatting>
  <conditionalFormatting sqref="H6:P6 O4:R4 B6 L8 L41 O41 Q41">
    <cfRule type="containsBlanks" dxfId="164" priority="5">
      <formula>LEN(TRIM(B4))=0</formula>
    </cfRule>
  </conditionalFormatting>
  <conditionalFormatting sqref="J8:J39">
    <cfRule type="expression" dxfId="163" priority="14">
      <formula>IF($Z8=1,FALSE,OR($BE8,$BD8))</formula>
    </cfRule>
  </conditionalFormatting>
  <conditionalFormatting sqref="J8:K39 C8:F39">
    <cfRule type="expression" dxfId="162" priority="13">
      <formula>IF($Z8=1,FALSE,OR($AW8,$AX8,$AY8,$AZ8))</formula>
    </cfRule>
  </conditionalFormatting>
  <conditionalFormatting sqref="J8:K39">
    <cfRule type="expression" dxfId="161" priority="11" stopIfTrue="1">
      <formula>IF(ISNA($Z8),TRUE,FALSE)</formula>
    </cfRule>
  </conditionalFormatting>
  <conditionalFormatting sqref="K8:K39">
    <cfRule type="expression" dxfId="160" priority="12">
      <formula>IF(OR($Z8=1,$Z8=2),FALSE,OR($BC8,$BE8,$BF8))</formula>
    </cfRule>
  </conditionalFormatting>
  <dataValidations count="6">
    <dataValidation type="list" allowBlank="1" showInputMessage="1" showErrorMessage="1" sqref="F6:G6" xr:uid="{7DD639F0-4B1D-41DA-816D-161FACC587BE}">
      <formula1>"No,Yes"</formula1>
    </dataValidation>
    <dataValidation type="list" allowBlank="1" showInputMessage="1" showErrorMessage="1" sqref="J8:J39" xr:uid="{CEFD9652-742A-47F2-9BC4-577D15FC003C}">
      <formula1>"NA,0,1,2,3,4,5,6,7,8,9,10,11,12,13,14,15"</formula1>
    </dataValidation>
    <dataValidation type="list" allowBlank="1" showInputMessage="1" showErrorMessage="1" sqref="K8:K39" xr:uid="{EF011C23-A530-4E9E-8EEC-13854CD4EBD7}">
      <formula1>"D,0,1,2,3,4"</formula1>
    </dataValidation>
    <dataValidation showInputMessage="1" showErrorMessage="1" sqref="O41:R41" xr:uid="{F53E2529-BABC-4BC6-88B9-8B8582A3E99E}"/>
    <dataValidation type="decimal" allowBlank="1" showInputMessage="1" showErrorMessage="1" sqref="O6:P6" xr:uid="{6493745C-99DF-4ACE-9D35-BBF1DE30FF0E}">
      <formula1>0</formula1>
      <formula2>10</formula2>
    </dataValidation>
    <dataValidation type="date" allowBlank="1" showInputMessage="1" showErrorMessage="1" sqref="Q4:R4" xr:uid="{8DEC830A-3A8E-48AF-849C-CEF330B37444}">
      <formula1>41151</formula1>
      <formula2>77433</formula2>
    </dataValidation>
  </dataValidations>
  <hyperlinks>
    <hyperlink ref="BP3" location="PF!A1" display="PF phase Summary Page" xr:uid="{CDA327C3-28B9-4ADD-BB88-28D5D6B1F622}"/>
    <hyperlink ref="BP3:BU4" location="SY!A1" display="SY Summary Page" xr:uid="{47DB08D8-D031-4CD8-91C1-285743390757}"/>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6499"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106500"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106501"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106502"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106503"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CBAD01-EFE5-4105-8493-99E5D1A06F8E}">
  <sheetPr>
    <tabColor rgb="FFFF0000"/>
    <pageSetUpPr autoPageBreaks="0"/>
  </sheetPr>
  <dimension ref="A1:AVW67"/>
  <sheetViews>
    <sheetView showGridLines="0" showRowColHeaders="0" topLeftCell="C3" zoomScaleNormal="100" workbookViewId="0">
      <selection activeCell="L9" sqref="L9:R40"/>
    </sheetView>
  </sheetViews>
  <sheetFormatPr defaultColWidth="9.140625" defaultRowHeight="15" x14ac:dyDescent="0.25"/>
  <cols>
    <col min="1" max="1" width="1.5703125" style="714" customWidth="1"/>
    <col min="2" max="2" width="3.5703125" style="714" customWidth="1"/>
    <col min="3" max="3" width="5.5703125" style="715" customWidth="1"/>
    <col min="4" max="4" width="9.140625" style="715"/>
    <col min="5" max="5" width="14" style="715" customWidth="1"/>
    <col min="6" max="6" width="7.85546875" style="715" customWidth="1"/>
    <col min="7" max="11" width="5.140625" style="715" customWidth="1"/>
    <col min="12" max="12" width="21.5703125" style="715" customWidth="1"/>
    <col min="13" max="13" width="6.5703125" style="715" customWidth="1"/>
    <col min="14" max="14" width="12.5703125" style="715" customWidth="1"/>
    <col min="15" max="15" width="7.85546875" style="715" customWidth="1"/>
    <col min="16" max="16" width="2.7109375" style="715" customWidth="1"/>
    <col min="17" max="17" width="4.85546875" style="715" customWidth="1"/>
    <col min="18" max="18" width="7.28515625" style="715" customWidth="1"/>
    <col min="19" max="19" width="1.7109375" style="715" customWidth="1"/>
    <col min="20" max="20" width="19.140625" style="716" hidden="1" customWidth="1"/>
    <col min="21" max="21" width="31.140625" style="716" hidden="1" customWidth="1"/>
    <col min="22" max="22" width="5.140625" style="716" hidden="1" customWidth="1"/>
    <col min="23" max="24" width="6.28515625" style="716" hidden="1" customWidth="1"/>
    <col min="25" max="25" width="8.42578125" style="716" hidden="1" customWidth="1"/>
    <col min="26" max="26" width="7.85546875" style="716" hidden="1" customWidth="1"/>
    <col min="27" max="27" width="10.7109375" style="716" hidden="1" customWidth="1"/>
    <col min="28" max="28" width="8" style="716" hidden="1" customWidth="1"/>
    <col min="29" max="31" width="5.140625" style="716" hidden="1" customWidth="1"/>
    <col min="32" max="34" width="5.85546875" style="716" hidden="1" customWidth="1"/>
    <col min="35" max="35" width="8.5703125" style="717" hidden="1" customWidth="1"/>
    <col min="36" max="36" width="7" style="716" hidden="1" customWidth="1"/>
    <col min="37" max="38" width="5.28515625" style="716" hidden="1" customWidth="1"/>
    <col min="39" max="40" width="7" style="716" hidden="1" customWidth="1"/>
    <col min="41" max="41" width="5.140625" style="716" hidden="1" customWidth="1"/>
    <col min="42" max="42" width="11.28515625" style="716" hidden="1" customWidth="1"/>
    <col min="43" max="43" width="6.42578125" style="716" hidden="1" customWidth="1"/>
    <col min="44" max="44" width="8.28515625" style="716" hidden="1" customWidth="1"/>
    <col min="45" max="45" width="8.85546875" style="716" hidden="1" customWidth="1"/>
    <col min="46" max="46" width="10.7109375" style="716" hidden="1" customWidth="1"/>
    <col min="47" max="47" width="8.85546875" style="716" hidden="1" customWidth="1"/>
    <col min="48" max="48" width="6.28515625" style="716" hidden="1" customWidth="1"/>
    <col min="49" max="49" width="10" style="716" hidden="1" customWidth="1"/>
    <col min="50" max="50" width="7.5703125" style="716" hidden="1" customWidth="1"/>
    <col min="51" max="51" width="7" style="716" hidden="1" customWidth="1"/>
    <col min="52" max="52" width="8.140625" style="716" hidden="1" customWidth="1"/>
    <col min="53" max="53" width="12.5703125" style="716" hidden="1" customWidth="1"/>
    <col min="54" max="54" width="7.7109375" style="716" hidden="1" customWidth="1"/>
    <col min="55" max="55" width="12.7109375" style="716" hidden="1" customWidth="1"/>
    <col min="56" max="56" width="7" style="716" hidden="1" customWidth="1"/>
    <col min="57" max="57" width="15.5703125" style="718" hidden="1" customWidth="1"/>
    <col min="58" max="58" width="9.140625" style="718" hidden="1" customWidth="1"/>
    <col min="59" max="59" width="10" style="716" hidden="1" customWidth="1"/>
    <col min="60" max="60" width="5.28515625" style="718" hidden="1" customWidth="1"/>
    <col min="61" max="61" width="4" style="718" hidden="1" customWidth="1"/>
    <col min="62" max="62" width="4.7109375" style="718" hidden="1" customWidth="1"/>
    <col min="63" max="63" width="5.5703125" style="718" hidden="1" customWidth="1"/>
    <col min="64" max="64" width="5.28515625" style="718" hidden="1" customWidth="1"/>
    <col min="65" max="65" width="4" style="718" hidden="1" customWidth="1"/>
    <col min="66" max="66" width="5.5703125" style="718" hidden="1" customWidth="1"/>
    <col min="67" max="67" width="5.140625" style="719" customWidth="1"/>
    <col min="68" max="73" width="5.140625" style="715" customWidth="1"/>
    <col min="74" max="16384" width="9.140625" style="715"/>
  </cols>
  <sheetData>
    <row r="1" spans="2:73" s="711" customFormat="1" ht="12" hidden="1" x14ac:dyDescent="0.2">
      <c r="T1" s="712"/>
      <c r="U1" s="712"/>
      <c r="V1" s="712"/>
      <c r="W1" s="712"/>
      <c r="X1" s="712"/>
      <c r="Y1" s="712"/>
      <c r="Z1" s="712"/>
      <c r="AA1" s="712"/>
      <c r="AB1" s="712"/>
      <c r="AC1" s="712"/>
      <c r="AD1" s="712"/>
      <c r="AE1" s="712"/>
      <c r="AF1" s="712"/>
      <c r="AG1" s="712"/>
      <c r="AH1" s="712"/>
      <c r="AI1" s="713"/>
      <c r="AJ1" s="712"/>
      <c r="AK1" s="712"/>
      <c r="AL1" s="712"/>
      <c r="AM1" s="712"/>
      <c r="AN1" s="712"/>
      <c r="AO1" s="712"/>
      <c r="AP1" s="712"/>
      <c r="AQ1" s="712"/>
      <c r="AR1" s="712"/>
      <c r="AS1" s="712"/>
      <c r="AT1" s="712"/>
      <c r="AU1" s="712"/>
      <c r="AV1" s="712"/>
      <c r="AW1" s="712"/>
      <c r="AX1" s="712"/>
      <c r="AY1" s="712"/>
      <c r="AZ1" s="712"/>
      <c r="BA1" s="712"/>
      <c r="BB1" s="712"/>
      <c r="BC1" s="712"/>
      <c r="BD1" s="712"/>
      <c r="BE1" s="712"/>
      <c r="BF1" s="712"/>
      <c r="BG1" s="712"/>
      <c r="BH1" s="712"/>
      <c r="BI1" s="712"/>
      <c r="BJ1" s="712"/>
      <c r="BK1" s="712"/>
      <c r="BL1" s="712"/>
      <c r="BM1" s="712"/>
      <c r="BN1" s="712"/>
    </row>
    <row r="2" spans="2:73" s="711" customFormat="1" ht="12" hidden="1" x14ac:dyDescent="0.2">
      <c r="T2" s="712"/>
      <c r="U2" s="712"/>
      <c r="V2" s="712"/>
      <c r="W2" s="712"/>
      <c r="X2" s="712"/>
      <c r="Y2" s="712"/>
      <c r="Z2" s="712"/>
      <c r="AA2" s="712"/>
      <c r="AB2" s="712"/>
      <c r="AC2" s="712"/>
      <c r="AD2" s="712"/>
      <c r="AE2" s="712"/>
      <c r="AF2" s="712"/>
      <c r="AG2" s="712"/>
      <c r="AH2" s="712"/>
      <c r="AI2" s="713"/>
      <c r="AJ2" s="712"/>
      <c r="AK2" s="712"/>
      <c r="AL2" s="712"/>
      <c r="AM2" s="712"/>
      <c r="AN2" s="712"/>
      <c r="AO2" s="712"/>
      <c r="AP2" s="712"/>
      <c r="AQ2" s="712"/>
      <c r="AR2" s="712"/>
      <c r="AS2" s="712"/>
      <c r="AT2" s="712"/>
      <c r="AU2" s="712"/>
      <c r="AV2" s="712"/>
      <c r="AW2" s="712"/>
      <c r="AX2" s="712"/>
      <c r="AY2" s="712"/>
      <c r="AZ2" s="712"/>
      <c r="BA2" s="712"/>
      <c r="BB2" s="712"/>
      <c r="BC2" s="712"/>
      <c r="BD2" s="712"/>
      <c r="BE2" s="712"/>
      <c r="BF2" s="712"/>
      <c r="BG2" s="712"/>
      <c r="BH2" s="712"/>
      <c r="BI2" s="712"/>
      <c r="BJ2" s="712"/>
      <c r="BK2" s="712"/>
      <c r="BL2" s="712"/>
      <c r="BM2" s="712"/>
      <c r="BN2" s="712"/>
    </row>
    <row r="3" spans="2:73" ht="15.75" thickBot="1" x14ac:dyDescent="0.3">
      <c r="BE3" s="716"/>
      <c r="BF3" s="716"/>
      <c r="BG3" s="718"/>
    </row>
    <row r="4" spans="2:73" ht="13.5" customHeight="1" thickTop="1" x14ac:dyDescent="0.25">
      <c r="B4" s="1078" t="s">
        <v>267</v>
      </c>
      <c r="C4" s="1079"/>
      <c r="D4" s="1079"/>
      <c r="E4" s="1079"/>
      <c r="F4" s="1079"/>
      <c r="G4" s="1080"/>
      <c r="H4" s="1081" t="s">
        <v>617</v>
      </c>
      <c r="I4" s="1082"/>
      <c r="J4" s="1082"/>
      <c r="K4" s="1082"/>
      <c r="L4" s="1082"/>
      <c r="M4" s="1082"/>
      <c r="N4" s="1083"/>
      <c r="O4" s="1084" t="s">
        <v>269</v>
      </c>
      <c r="P4" s="1085"/>
      <c r="Q4" s="1084" t="s">
        <v>270</v>
      </c>
      <c r="R4" s="1086"/>
      <c r="S4" s="720"/>
      <c r="T4" s="721"/>
      <c r="U4" s="721"/>
      <c r="V4" s="721"/>
      <c r="W4" s="721"/>
      <c r="X4" s="721"/>
      <c r="Y4" s="721"/>
      <c r="Z4" s="721"/>
      <c r="AA4" s="721"/>
      <c r="AB4" s="721"/>
      <c r="AC4" s="721"/>
      <c r="AD4" s="721"/>
      <c r="AE4" s="721"/>
      <c r="AF4" s="721"/>
      <c r="AG4" s="721"/>
      <c r="AH4" s="721"/>
      <c r="AI4" s="722"/>
      <c r="AJ4" s="721"/>
      <c r="AK4" s="721"/>
      <c r="AL4" s="721"/>
      <c r="AM4" s="721"/>
      <c r="AN4" s="721"/>
      <c r="AO4" s="721"/>
      <c r="AP4" s="721"/>
      <c r="AQ4" s="712"/>
      <c r="AR4" s="712"/>
      <c r="AW4" s="716" t="s">
        <v>271</v>
      </c>
      <c r="AX4" s="716" t="s">
        <v>272</v>
      </c>
      <c r="AY4" s="716" t="s">
        <v>273</v>
      </c>
      <c r="AZ4" s="716" t="s">
        <v>274</v>
      </c>
      <c r="BA4" s="716" t="s">
        <v>275</v>
      </c>
      <c r="BB4" s="716" t="s">
        <v>276</v>
      </c>
      <c r="BE4" s="716"/>
      <c r="BF4" s="716"/>
      <c r="BG4" s="718"/>
      <c r="BP4" s="976" t="s">
        <v>844</v>
      </c>
      <c r="BQ4" s="976"/>
      <c r="BR4" s="976"/>
      <c r="BS4" s="976"/>
      <c r="BT4" s="976"/>
      <c r="BU4" s="976"/>
    </row>
    <row r="5" spans="2:73" s="731" customFormat="1" ht="15.75" customHeight="1" x14ac:dyDescent="0.2">
      <c r="B5" s="1087" t="s">
        <v>618</v>
      </c>
      <c r="C5" s="1088"/>
      <c r="D5" s="1088"/>
      <c r="E5" s="1088"/>
      <c r="F5" s="1088"/>
      <c r="G5" s="1089"/>
      <c r="H5" s="1090" t="s">
        <v>620</v>
      </c>
      <c r="I5" s="1091"/>
      <c r="J5" s="1091"/>
      <c r="K5" s="1091"/>
      <c r="L5" s="1091"/>
      <c r="M5" s="1091"/>
      <c r="N5" s="1092"/>
      <c r="O5" s="1093"/>
      <c r="P5" s="1094"/>
      <c r="Q5" s="1095"/>
      <c r="R5" s="1096"/>
      <c r="S5" s="723"/>
      <c r="T5" s="724"/>
      <c r="U5" s="724"/>
      <c r="V5" s="724"/>
      <c r="W5" s="724"/>
      <c r="X5" s="724"/>
      <c r="Y5" s="724"/>
      <c r="Z5" s="724"/>
      <c r="AA5" s="724"/>
      <c r="AB5" s="724"/>
      <c r="AC5" s="724"/>
      <c r="AD5" s="724"/>
      <c r="AE5" s="724"/>
      <c r="AF5" s="724"/>
      <c r="AG5" s="724"/>
      <c r="AH5" s="724"/>
      <c r="AI5" s="725"/>
      <c r="AJ5" s="724"/>
      <c r="AK5" s="724"/>
      <c r="AL5" s="724"/>
      <c r="AM5" s="724"/>
      <c r="AN5" s="724"/>
      <c r="AO5" s="724"/>
      <c r="AP5" s="724"/>
      <c r="AQ5" s="726"/>
      <c r="AR5" s="726"/>
      <c r="AS5" s="727"/>
      <c r="AT5" s="728" t="s">
        <v>278</v>
      </c>
      <c r="AU5" s="729" t="b">
        <v>0</v>
      </c>
      <c r="AV5" s="727">
        <v>0</v>
      </c>
      <c r="AW5" s="727" t="b">
        <f>IF(ISERR(OR(AW9:AW40)),"UNK",IF(AND(graded_aca_events&gt;=1,input_test),FALSE,OR(AW9:AW40)))</f>
        <v>0</v>
      </c>
      <c r="AX5" s="727" t="b">
        <f>IF(ISERR(OR(AX9:AX40)),"UNK",IF(AND(graded_aca_events&gt;=1,input_test),FALSE,OR(AX9:AX40)))</f>
        <v>1</v>
      </c>
      <c r="AY5" s="727" t="b">
        <f>IF(ISERR(OR(AY9:AY40)),"UNK",OR(AY9:AY40))</f>
        <v>0</v>
      </c>
      <c r="AZ5" s="727" t="b">
        <f>IF(ISERR(OR(AZ9:AZ40)),"UNK",OR(AZ9:AZ40))</f>
        <v>0</v>
      </c>
      <c r="BA5" s="727" t="b">
        <f>IF(ISERR(OR(BA9:BA40)),"UNK",OR(BA9:BA40))</f>
        <v>0</v>
      </c>
      <c r="BB5" s="727" t="b">
        <f>IF(ISERR(OR(BB9:BB40)),"UNK",OR(BB9:BB40))</f>
        <v>0</v>
      </c>
      <c r="BC5" s="730" t="b">
        <f>OR(BC9:BC40)</f>
        <v>0</v>
      </c>
      <c r="BD5" s="730" t="b">
        <f>OR(BD9:BD40)</f>
        <v>0</v>
      </c>
      <c r="BE5" s="730" t="b">
        <f>OR(BE9:BE40)</f>
        <v>0</v>
      </c>
      <c r="BF5" s="730"/>
      <c r="BG5" s="727"/>
      <c r="BH5" s="1097" t="s">
        <v>279</v>
      </c>
      <c r="BI5" s="1097"/>
      <c r="BJ5" s="1097"/>
      <c r="BK5" s="1097"/>
      <c r="BL5" s="1098" t="s">
        <v>280</v>
      </c>
      <c r="BM5" s="1098"/>
      <c r="BN5" s="1098"/>
      <c r="BO5" s="719"/>
      <c r="BP5" s="976"/>
      <c r="BQ5" s="976"/>
      <c r="BR5" s="976"/>
      <c r="BS5" s="976"/>
      <c r="BT5" s="976"/>
      <c r="BU5" s="976"/>
    </row>
    <row r="6" spans="2:73" s="720" customFormat="1" ht="7.5" customHeight="1" x14ac:dyDescent="0.25">
      <c r="B6" s="1099" t="s">
        <v>281</v>
      </c>
      <c r="C6" s="1100"/>
      <c r="D6" s="1100"/>
      <c r="E6" s="1101"/>
      <c r="F6" s="1102" t="s">
        <v>282</v>
      </c>
      <c r="G6" s="1101"/>
      <c r="H6" s="1102" t="s">
        <v>283</v>
      </c>
      <c r="I6" s="1100"/>
      <c r="J6" s="1100"/>
      <c r="K6" s="1100"/>
      <c r="L6" s="1101"/>
      <c r="M6" s="1103" t="s">
        <v>284</v>
      </c>
      <c r="N6" s="1104"/>
      <c r="O6" s="1105" t="s">
        <v>285</v>
      </c>
      <c r="P6" s="1106"/>
      <c r="Q6" s="1102" t="str">
        <f>IF(AU42=0,"GRADE","GRADE (inc. bonus)")</f>
        <v>GRADE</v>
      </c>
      <c r="R6" s="1107"/>
      <c r="T6" s="721"/>
      <c r="U6" s="721"/>
      <c r="V6" s="721"/>
      <c r="W6" s="721"/>
      <c r="X6" s="721"/>
      <c r="Y6" s="721"/>
      <c r="Z6" s="721"/>
      <c r="AA6" s="721"/>
      <c r="AB6" s="721"/>
      <c r="AC6" s="721"/>
      <c r="AD6" s="721"/>
      <c r="AE6" s="721"/>
      <c r="AF6" s="721"/>
      <c r="AG6" s="721"/>
      <c r="AH6" s="721"/>
      <c r="AI6" s="722"/>
      <c r="AJ6" s="721"/>
      <c r="AK6" s="721"/>
      <c r="AL6" s="721"/>
      <c r="AM6" s="721"/>
      <c r="AN6" s="721"/>
      <c r="AO6" s="721"/>
      <c r="AP6" s="721"/>
      <c r="AQ6" s="721"/>
      <c r="AR6" s="721"/>
      <c r="AS6" s="721"/>
      <c r="AT6" s="721"/>
      <c r="AU6" s="721"/>
      <c r="AV6" s="721"/>
      <c r="AW6" s="721"/>
      <c r="AX6" s="721"/>
      <c r="AY6" s="721"/>
      <c r="AZ6" s="721"/>
      <c r="BA6" s="721"/>
      <c r="BB6" s="721"/>
      <c r="BC6" s="721"/>
      <c r="BD6" s="721"/>
      <c r="BE6" s="721"/>
      <c r="BF6" s="721"/>
      <c r="BG6" s="721"/>
      <c r="BH6" s="1097"/>
      <c r="BI6" s="1097"/>
      <c r="BJ6" s="1097"/>
      <c r="BK6" s="1097"/>
      <c r="BL6" s="1098"/>
      <c r="BM6" s="1098"/>
      <c r="BN6" s="1098"/>
      <c r="BO6" s="732"/>
    </row>
    <row r="7" spans="2:73" s="731" customFormat="1" ht="15.75" customHeight="1" thickBot="1" x14ac:dyDescent="0.25">
      <c r="B7" s="1108"/>
      <c r="C7" s="1109"/>
      <c r="D7" s="1109"/>
      <c r="E7" s="1110"/>
      <c r="F7" s="1111" t="s">
        <v>457</v>
      </c>
      <c r="G7" s="1112"/>
      <c r="H7" s="1113"/>
      <c r="I7" s="1114"/>
      <c r="J7" s="1114"/>
      <c r="K7" s="1114"/>
      <c r="L7" s="1115"/>
      <c r="M7" s="1118"/>
      <c r="N7" s="1119"/>
      <c r="O7" s="1120"/>
      <c r="P7" s="1121"/>
      <c r="Q7" s="1122" t="str">
        <f>IF((graded_aca_events+graded_amn_events)&lt;1,"---",IF(ISERROR(AR47),"",IF(F42&lt;&gt;"COMPLETE","INCOMPLETE",AR47)))</f>
        <v>---</v>
      </c>
      <c r="R7" s="1123"/>
      <c r="S7" s="715"/>
      <c r="T7" s="727"/>
      <c r="U7" s="727">
        <v>2</v>
      </c>
      <c r="V7" s="727">
        <v>3</v>
      </c>
      <c r="W7" s="727">
        <v>6</v>
      </c>
      <c r="X7" s="727">
        <v>7</v>
      </c>
      <c r="Y7" s="727">
        <v>11</v>
      </c>
      <c r="Z7" s="727">
        <v>8</v>
      </c>
      <c r="AA7" s="733">
        <v>9</v>
      </c>
      <c r="AB7" s="733">
        <v>10</v>
      </c>
      <c r="AC7" s="733">
        <v>5</v>
      </c>
      <c r="AD7" s="733">
        <v>4</v>
      </c>
      <c r="AE7" s="733">
        <v>12</v>
      </c>
      <c r="AF7" s="733">
        <v>13</v>
      </c>
      <c r="AG7" s="733"/>
      <c r="AH7" s="733"/>
      <c r="AI7" s="734"/>
      <c r="AJ7" s="735"/>
      <c r="AK7" s="735"/>
      <c r="AL7" s="735"/>
      <c r="AM7" s="735" t="b">
        <f>IF(COUNT(AM9:AM40)&gt;0,TRUE,FALSE)</f>
        <v>0</v>
      </c>
      <c r="AN7" s="735" t="b">
        <f>IF(COUNT(AN9:AN40)&gt;0,TRUE,FALSE)</f>
        <v>0</v>
      </c>
      <c r="AO7" s="727"/>
      <c r="AP7" s="727"/>
      <c r="AQ7" s="726"/>
      <c r="AR7" s="726"/>
      <c r="AS7" s="727"/>
      <c r="AT7" s="736">
        <v>0.2</v>
      </c>
      <c r="AU7" s="727"/>
      <c r="AV7" s="737">
        <f>0.01*input_maxb</f>
        <v>0</v>
      </c>
      <c r="AW7" s="738" t="s">
        <v>287</v>
      </c>
      <c r="AX7" s="739"/>
      <c r="AY7" s="738" t="s">
        <v>288</v>
      </c>
      <c r="AZ7" s="739"/>
      <c r="BA7" s="740" t="s">
        <v>289</v>
      </c>
      <c r="BB7" s="740"/>
      <c r="BC7" s="738" t="s">
        <v>290</v>
      </c>
      <c r="BD7" s="740"/>
      <c r="BE7" s="741"/>
      <c r="BF7" s="742"/>
      <c r="BG7" s="727" t="s">
        <v>291</v>
      </c>
      <c r="BH7" s="1097"/>
      <c r="BI7" s="1097"/>
      <c r="BJ7" s="1097"/>
      <c r="BK7" s="1097"/>
      <c r="BL7" s="1098"/>
      <c r="BM7" s="1098"/>
      <c r="BN7" s="1098"/>
      <c r="BO7" s="719"/>
    </row>
    <row r="8" spans="2:73" ht="27" customHeight="1" thickBot="1" x14ac:dyDescent="0.3">
      <c r="B8" s="1124" t="s">
        <v>292</v>
      </c>
      <c r="C8" s="1125"/>
      <c r="D8" s="1125"/>
      <c r="E8" s="1125"/>
      <c r="F8" s="1126"/>
      <c r="G8" s="743" t="s">
        <v>293</v>
      </c>
      <c r="H8" s="744" t="s">
        <v>294</v>
      </c>
      <c r="I8" s="745" t="s">
        <v>295</v>
      </c>
      <c r="J8" s="746" t="s">
        <v>296</v>
      </c>
      <c r="K8" s="747" t="s">
        <v>297</v>
      </c>
      <c r="L8" s="1127" t="s">
        <v>298</v>
      </c>
      <c r="M8" s="1125"/>
      <c r="N8" s="1125"/>
      <c r="O8" s="1125"/>
      <c r="P8" s="1125"/>
      <c r="Q8" s="1125"/>
      <c r="R8" s="1128"/>
      <c r="S8" s="714"/>
      <c r="T8" s="748" t="s">
        <v>299</v>
      </c>
      <c r="U8" s="748"/>
      <c r="V8" s="748" t="s">
        <v>300</v>
      </c>
      <c r="W8" s="748" t="s">
        <v>301</v>
      </c>
      <c r="X8" s="748" t="s">
        <v>302</v>
      </c>
      <c r="Y8" s="748" t="s">
        <v>303</v>
      </c>
      <c r="Z8" s="748" t="s">
        <v>304</v>
      </c>
      <c r="AA8" s="748" t="s">
        <v>305</v>
      </c>
      <c r="AB8" s="748" t="s">
        <v>306</v>
      </c>
      <c r="AC8" s="748" t="s">
        <v>307</v>
      </c>
      <c r="AD8" s="748" t="s">
        <v>308</v>
      </c>
      <c r="AE8" s="748" t="s">
        <v>309</v>
      </c>
      <c r="AF8" s="748" t="s">
        <v>310</v>
      </c>
      <c r="AG8" s="748" t="s">
        <v>311</v>
      </c>
      <c r="AH8" s="748" t="s">
        <v>312</v>
      </c>
      <c r="AI8" s="749" t="s">
        <v>313</v>
      </c>
      <c r="AJ8" s="750" t="s">
        <v>314</v>
      </c>
      <c r="AK8" s="751" t="s">
        <v>315</v>
      </c>
      <c r="AL8" s="751" t="s">
        <v>316</v>
      </c>
      <c r="AM8" s="751" t="s">
        <v>317</v>
      </c>
      <c r="AN8" s="751" t="s">
        <v>318</v>
      </c>
      <c r="AO8" s="750" t="s">
        <v>319</v>
      </c>
      <c r="AP8" s="750" t="s">
        <v>320</v>
      </c>
      <c r="AQ8" s="752" t="s">
        <v>321</v>
      </c>
      <c r="AR8" s="753" t="s">
        <v>1</v>
      </c>
      <c r="AS8" s="752" t="s">
        <v>322</v>
      </c>
      <c r="AT8" s="753" t="s">
        <v>1</v>
      </c>
      <c r="AU8" s="752" t="s">
        <v>323</v>
      </c>
      <c r="AV8" s="754" t="s">
        <v>324</v>
      </c>
      <c r="AW8" s="755" t="s">
        <v>325</v>
      </c>
      <c r="AX8" s="756" t="s">
        <v>326</v>
      </c>
      <c r="AY8" s="755" t="s">
        <v>327</v>
      </c>
      <c r="AZ8" s="756" t="s">
        <v>328</v>
      </c>
      <c r="BA8" s="757" t="s">
        <v>329</v>
      </c>
      <c r="BB8" s="757" t="s">
        <v>330</v>
      </c>
      <c r="BC8" s="758" t="s">
        <v>331</v>
      </c>
      <c r="BD8" s="759" t="s">
        <v>332</v>
      </c>
      <c r="BE8" s="760" t="s">
        <v>333</v>
      </c>
      <c r="BF8" s="761" t="s">
        <v>334</v>
      </c>
      <c r="BG8" s="718"/>
      <c r="BH8" s="718" t="s">
        <v>335</v>
      </c>
      <c r="BI8" s="718" t="s">
        <v>336</v>
      </c>
      <c r="BJ8" s="748" t="s">
        <v>337</v>
      </c>
      <c r="BK8" s="718" t="s">
        <v>338</v>
      </c>
      <c r="BL8" s="718" t="s">
        <v>335</v>
      </c>
      <c r="BM8" s="718" t="s">
        <v>336</v>
      </c>
      <c r="BN8" s="718" t="s">
        <v>338</v>
      </c>
    </row>
    <row r="9" spans="2:73" ht="12.95" customHeight="1" x14ac:dyDescent="0.25">
      <c r="B9" s="762" t="str">
        <f>IF(ISNA(Z9),"",IF(OR(Z9=1,Z9=2),"",1))</f>
        <v/>
      </c>
      <c r="C9" s="1129" t="str">
        <f t="shared" ref="C9:C37" si="0">IF(ISNA(Z9),"",CONCATENATE($U9,IF(ISNUMBER(AI9),TEXT(ROUND($AI9,3)," (0.0%)"),""),IF(AU9&gt;0," Bonus","")))</f>
        <v>Structure &amp; Logic (11.6%)</v>
      </c>
      <c r="D9" s="1129"/>
      <c r="E9" s="1129"/>
      <c r="F9" s="1130"/>
      <c r="G9" s="763" t="str">
        <f t="shared" ref="G9:G40" si="1">BH9</f>
        <v/>
      </c>
      <c r="H9" s="764" t="str">
        <f t="shared" ref="H9:I40" si="2">BJ9</f>
        <v/>
      </c>
      <c r="I9" s="765" t="str">
        <f t="shared" si="2"/>
        <v/>
      </c>
      <c r="J9" s="766"/>
      <c r="K9" s="767"/>
      <c r="L9" s="1131"/>
      <c r="M9" s="1132"/>
      <c r="N9" s="1132"/>
      <c r="O9" s="1132"/>
      <c r="P9" s="1132"/>
      <c r="Q9" s="1132"/>
      <c r="R9" s="1133"/>
      <c r="T9" s="716">
        <v>1</v>
      </c>
      <c r="U9" s="716" t="s">
        <v>967</v>
      </c>
      <c r="V9" s="768" t="s">
        <v>340</v>
      </c>
      <c r="W9" s="768" t="s">
        <v>340</v>
      </c>
      <c r="X9" s="768" t="s">
        <v>340</v>
      </c>
      <c r="Y9" s="768" t="s">
        <v>340</v>
      </c>
      <c r="Z9" s="768">
        <v>2</v>
      </c>
      <c r="AA9" s="768">
        <v>1</v>
      </c>
      <c r="AB9" s="768">
        <v>1</v>
      </c>
      <c r="AC9" s="768" t="s">
        <v>340</v>
      </c>
      <c r="AD9" s="768" t="s">
        <v>340</v>
      </c>
      <c r="AE9" s="768" t="s">
        <v>340</v>
      </c>
      <c r="AF9" s="768" t="s">
        <v>340</v>
      </c>
      <c r="AG9" s="768" t="str">
        <f t="shared" ref="AG9:AG40" si="3">IF(CrewSoloQual="Yes",$AC9,$AD9)</f>
        <v/>
      </c>
      <c r="AH9" s="768" t="str">
        <f t="shared" ref="AH9:AH40" si="4">IF(ISNUMBER(AC9),IF(CrewSoloQual="Yes",$AC9-1,$AD9-1),"")</f>
        <v/>
      </c>
      <c r="AI9" s="769">
        <f>IF(NOT(OR(Z9=1,Z9=2)),IF(AQ9&gt;0,$AR$45*AQ9/SUMIF($AQ$9:$AQ$40,"&gt;0"),IF(AU9&gt;0,$AV$45*AU9/SUMIF($AU$9:$AU$40,"&gt;0"),IF(AS9&gt;0,$AT$45*AS9/SUMIF($AS$9:$AS$40,"&gt;0"),""))),IF(SUMIF(AJ10:$AJ$40,"=" &amp; AJ9,AI10:$AI$40)=0,"",SUMIF(AJ10:$AJ$40,"=" &amp; AJ9,AI10:$AI$40)))</f>
        <v>0.11643021054923705</v>
      </c>
      <c r="AJ9" s="770">
        <f>0</f>
        <v>0</v>
      </c>
      <c r="AK9" s="768" t="str">
        <f>BI9</f>
        <v/>
      </c>
      <c r="AL9" s="768" t="str">
        <f>IF(ISBLANK(K9),"",K9)</f>
        <v/>
      </c>
      <c r="AM9" s="768" t="str">
        <f>IF(ISNUMBER(AK9),IF(ISNUMBER(AL9),1,""),"")</f>
        <v/>
      </c>
      <c r="AN9" s="768" t="str">
        <f t="shared" ref="AN9:AN37" si="5">IF(ISNUMBER(AH9),IF(AND(AB9=0,ISNUMBER(AC9),ISNUMBER(AL9)),1,""),"")</f>
        <v/>
      </c>
      <c r="AO9" s="768" t="str">
        <f t="shared" ref="AO9:AO40" si="6">IF(AB9=0,IF(CrewSoloQual="No",BI9,BK9),"")</f>
        <v/>
      </c>
      <c r="AP9" s="768" t="str">
        <f t="shared" ref="AP9:AP40" si="7">IF(ISNA(Z9),"",IF(AND(ISNUMBER(B9),G9&gt;=1,H9&lt;&gt;"NG"),IF(K9&lt;BK9,TRUE,FALSE),IF(AND(G9&gt;=1,J9="NA"),TRUE,IF(AND(AM9=1,G9=0,AL9&lt;BI9),TRUE,""))))</f>
        <v/>
      </c>
      <c r="AQ9" s="771">
        <f>IF(ISNA(Z9),0,IF(OR(J9="NA",W9="",AB9=0),0,W9))</f>
        <v>0</v>
      </c>
      <c r="AR9" s="772" t="str">
        <f t="shared" ref="AR9:AR40" si="8">IF(ISNA(Z9),"",IF(AND(NOT(OR(Z9=1,Z9=2,AK9="NG",AB9=0)),IF(ISNUMBER(AL9),AL9&gt;=0,FALSE)),VLOOKUP((10*AD9+AC9),$AQ$51:$AV$59,2+AL9,FALSE),IF(AND(input_test=TRUE,ISNUMBER(AD9),V9&lt;&gt;0),VLOOKUP((10*AD9+AC9),$AQ$51:$AV$59,2,FALSE),"")))</f>
        <v/>
      </c>
      <c r="AS9" s="773">
        <f>IF(ISNA(Z9),0,IF(OR(J9="NA",X9="",AB9=1),0,X9))</f>
        <v>0</v>
      </c>
      <c r="AT9" s="772" t="str">
        <f t="shared" ref="AT9:AT40" si="9">IF(ISNA(Z9),"",IF(AND(NOT(OR(Z9=1,Z9=2,AK9="NG",AB9=1)),IF(ISNUMBER(AL9),AL9&gt;=0,FALSE)),VLOOKUP((10*AH9+AG9),$AQ$51:$AV$59,2+AL9,FALSE),IF(AND(input_test=TRUE,ISNUMBER(AD9),V9&lt;&gt;0),VLOOKUP((10*AH9+AG9),$AQ$51:$AV$59,2,FALSE),"")))</f>
        <v/>
      </c>
      <c r="AU9" s="774">
        <f t="shared" ref="AU9:AU40" si="10">IF(ISNA(Z9),0,IF(OR(J9="NA",Y9=""),0,Y9))</f>
        <v>0</v>
      </c>
      <c r="AV9" s="775" t="str">
        <f t="shared" ref="AV9:AV40" si="11">AR9</f>
        <v/>
      </c>
      <c r="AW9" s="774" t="b">
        <f t="shared" ref="AW9:AW40" si="12">IF(ISNA(Z9),FALSE,IF(OR(AB9=1,G9=0,Z9=1,Z9=2),FALSE,IF(OR(J9="NA",J9&gt;=G9),FALSE,TRUE)))</f>
        <v>0</v>
      </c>
      <c r="AX9" s="776" t="b">
        <f t="shared" ref="AX9:AX40" si="13">IF(ISNA(Z9),FALSE,IF(OR(AB9=0,G9=0,Z9=1,Z9=2,J9="NA"),FALSE,IF(AK9="NG",IF(NOT(ISBLANK(K9)),FALSE,TRUE),IF(J9&gt;=G9,FALSE,TRUE))))</f>
        <v>0</v>
      </c>
      <c r="AY9" s="774" t="b">
        <f t="shared" ref="AY9:AY40" si="14">IF(ISNA(Z9),FALSE,IF(OR(AB9=1,G9&lt;1,Z9=1,Z9=2,AE9=0,ISBLANK(K9)),FALSE,IF(OR(J9="NA",K9&gt;=BI9),FALSE,TRUE)))</f>
        <v>0</v>
      </c>
      <c r="AZ9" s="776" t="b">
        <f t="shared" ref="AZ9:AZ40" si="15">IF(ISNA(Z9),FALSE,IF(OR(AB9=0,G9=0,Z9=1,Z9=2,AE9=0,BI9="NG",K9="",ISBLANK(K9)),FALSE,IF(OR(J9="NA",K9&gt;=AK9),FALSE,TRUE)))</f>
        <v>0</v>
      </c>
      <c r="BA9" s="768" t="b">
        <f t="shared" ref="BA9:BA40" si="16">IF(ISNA(Z9),FALSE,IF(OR(AB9=1,G9&lt;1,Z9=1,Z9=2,AE9=0),FALSE,IF(J9="NA",TRUE,FALSE)))</f>
        <v>0</v>
      </c>
      <c r="BB9" s="768" t="b">
        <f t="shared" ref="BB9:BB40" si="17">IF(ISNA(Z9),FALSE,IF(OR(AB9=0,G9=0,Z9=1,Z9=2),FALSE,IF(J9="NA",TRUE,FALSE)))</f>
        <v>0</v>
      </c>
      <c r="BC9" s="774" t="b">
        <f t="shared" ref="BC9:BC40" si="18">IF(OR(ISNA($Z9),ISNUMBER($Z9),NOT(ISNUMBER($J9)),K9="D"),FALSE,IF(AND(NOT(ISNUMBER($K9)),J9&gt;0),TRUE,FALSE))</f>
        <v>0</v>
      </c>
      <c r="BD9" s="777" t="b">
        <f>IF(OR(ISNA($Z9),ISNUMBER($Z9),NOT(ISNUMBER(K9))),FALSE,OR(NOT(ISNUMBER(J9)),J9=0,AND(J9=0,K9&lt;&gt;0)))</f>
        <v>0</v>
      </c>
      <c r="BE9" s="776" t="b">
        <f t="shared" ref="BE9:BE22" si="19">IF(OR(ISNA($Z9),K9&lt;&gt;"D"),FALSE,IF(OR(AND(H9="NG",J9=0),AND(H9&lt;&gt;"NG",NOT(OR(J9="NA",J9=0)))),TRUE,FALSE))</f>
        <v>0</v>
      </c>
      <c r="BF9" s="778" t="b">
        <f t="shared" ref="BF9:BF31" si="20">IF(OR(ISNA($Z9),H9&lt;&gt;"NG"),FALSE,IF(AND(J9="NA",K9&lt;&gt;""),TRUE,FALSE))</f>
        <v>0</v>
      </c>
      <c r="BG9" s="779" t="b">
        <f t="shared" ref="BG9:BG22" si="21">IF(ISNA($Z9),"NA",IF(OR(AZ9,AY9,AX9,AW9,AP9,BA9,BB9),TRUE,FALSE))</f>
        <v>0</v>
      </c>
      <c r="BH9" s="780" t="str">
        <f>IF(ISNA($Z9),"",IF(OR($Z9=1,$Z9=2),"",$V9))</f>
        <v/>
      </c>
      <c r="BI9" s="779" t="str">
        <f t="shared" ref="BI9:BI40" si="22">IF(ISNA($Z9),"",IF(OR($Z9=1,$Z9=2,$G9=""),"",IF(AB9=0,AH9,$AD9)))</f>
        <v/>
      </c>
      <c r="BJ9" s="779" t="str">
        <f t="shared" ref="BJ9:BJ40" si="23">IF(ISNA(AE9),"",IF(OR(Z9=1,Z9=2),"",IF(OR(AE9=0,AD9="NG"),TEXT(BI9,"0"),CONCATENATE(TEXT(BI9,"0"),"*"))))</f>
        <v/>
      </c>
      <c r="BK9" s="779" t="str">
        <f t="shared" ref="BK9:BK40" si="24">IF(ISNA($Z9),"",IF(OR($Z9=1,$Z9=2,$G9=""),"",IF(AB9=0,AG9,$AC9)))</f>
        <v/>
      </c>
      <c r="BL9" s="780" t="str">
        <f>IF(ISBLANK(BH9),"",IF(BH9=0,"",BH9))</f>
        <v/>
      </c>
      <c r="BM9" s="779" t="str">
        <f t="shared" ref="BM9:BM40" si="25">IF($BH9=0,"",IF($BI9="NG","D",$BI9))</f>
        <v/>
      </c>
      <c r="BN9" s="779" t="str">
        <f t="shared" ref="BN9:BN40" si="26">IF(ISNA(U9),"",IF($BH9=0,"",IF($BI9="NG","D",BK9)))</f>
        <v/>
      </c>
      <c r="BO9" s="781" t="s">
        <v>341</v>
      </c>
      <c r="BP9" s="782"/>
    </row>
    <row r="10" spans="2:73" s="731" customFormat="1" ht="12.95" customHeight="1" x14ac:dyDescent="0.25">
      <c r="B10" s="783">
        <f>IF(ISNA(Z10),"",IF(OR(Z10=1,Z10=2),"    ",MAX($B$9:B9)+1))</f>
        <v>1</v>
      </c>
      <c r="C10" s="1116" t="str">
        <f t="shared" si="0"/>
        <v xml:space="preserve">      - Executive Summary (4.7%)</v>
      </c>
      <c r="D10" s="1116"/>
      <c r="E10" s="1116"/>
      <c r="F10" s="1117"/>
      <c r="G10" s="763">
        <f t="shared" si="1"/>
        <v>1</v>
      </c>
      <c r="H10" s="764" t="str">
        <f t="shared" si="2"/>
        <v>2*</v>
      </c>
      <c r="I10" s="784">
        <f t="shared" si="2"/>
        <v>3</v>
      </c>
      <c r="J10" s="785"/>
      <c r="K10" s="786"/>
      <c r="L10" s="1134"/>
      <c r="M10" s="1135"/>
      <c r="N10" s="1135"/>
      <c r="O10" s="1135"/>
      <c r="P10" s="1135"/>
      <c r="Q10" s="1135"/>
      <c r="R10" s="1136"/>
      <c r="T10" s="727">
        <v>2</v>
      </c>
      <c r="U10" s="716" t="s">
        <v>601</v>
      </c>
      <c r="V10" s="768">
        <v>1</v>
      </c>
      <c r="W10" s="768">
        <v>0.56520000000000004</v>
      </c>
      <c r="X10" s="768" t="s">
        <v>340</v>
      </c>
      <c r="Y10" s="768" t="s">
        <v>340</v>
      </c>
      <c r="Z10" s="777" t="s">
        <v>340</v>
      </c>
      <c r="AA10" s="777">
        <v>2</v>
      </c>
      <c r="AB10" s="777">
        <v>1</v>
      </c>
      <c r="AC10" s="768">
        <v>3</v>
      </c>
      <c r="AD10" s="768">
        <v>2</v>
      </c>
      <c r="AE10" s="768">
        <v>1</v>
      </c>
      <c r="AF10" s="768" t="b">
        <v>1</v>
      </c>
      <c r="AG10" s="768">
        <f t="shared" si="3"/>
        <v>2</v>
      </c>
      <c r="AH10" s="768">
        <f t="shared" si="4"/>
        <v>1</v>
      </c>
      <c r="AI10" s="769">
        <f>IF(NOT(OR(Z10=1,Z10=2)),IF(AQ10&gt;0,$AR$45*AQ10/SUMIF($AQ$9:$AQ$40,"&gt;0"),IF(AU10&gt;0,$AV$45*AU10/SUMIF($AU$9:$AU$40,"&gt;0"),IF(AS10&gt;0,$AT$45*AS10/SUMIF($AS$9:$AS$40,"&gt;0"),""))),IF(SUMIF(AJ11:$AJ$40,"=" &amp; AJ10,AI11:$AI$40)=0,"",SUMIF(AJ11:$AJ$40,"=" &amp; AJ10,AI11:$AI$40)))</f>
        <v>4.7335890521096803E-2</v>
      </c>
      <c r="AJ10" s="770">
        <f>IF(OR(Z10=1,Z10=2,AA10&lt;AA9),AJ9+1,AJ9)</f>
        <v>0</v>
      </c>
      <c r="AK10" s="768">
        <f t="shared" ref="AK10:AK40" si="27">BI10</f>
        <v>2</v>
      </c>
      <c r="AL10" s="777" t="str">
        <f t="shared" ref="AL10:AL40" si="28">IF(ISBLANK(K10),"",K10)</f>
        <v/>
      </c>
      <c r="AM10" s="777" t="str">
        <f>IF(ISNUMBER(AK10),IF(ISNUMBER(AL10),1,""),"")</f>
        <v/>
      </c>
      <c r="AN10" s="777" t="str">
        <f t="shared" si="5"/>
        <v/>
      </c>
      <c r="AO10" s="777" t="str">
        <f t="shared" si="6"/>
        <v/>
      </c>
      <c r="AP10" s="768" t="b">
        <f>IF(ISNA(Z10),"",IF(AND(ISNUMBER(B10),G10&gt;=1,H10&lt;&gt;"NG"),IF(K10&lt;BK10,TRUE,FALSE),IF(AND(G10&gt;=1,J10="NA"),TRUE,IF(AND(AM10=1,G10=0,AL10&lt;BI10),TRUE,""))))</f>
        <v>1</v>
      </c>
      <c r="AQ10" s="771">
        <f t="shared" ref="AQ10:AQ40" si="29">IF(ISNA(Z10),0,IF(OR(J10="NA",W10="",AB10=0),0,W10))</f>
        <v>0.56520000000000004</v>
      </c>
      <c r="AR10" s="772" t="str">
        <f>IF(ISNA(Z10),"",IF(AND(NOT(OR(Z10=1,Z10=2,AK10="NG",AB10=0)),IF(ISNUMBER(AL10),AL10&gt;=0,FALSE)),VLOOKUP((10*AD10+AC10),$AQ$51:$AV$59,2+AL10,FALSE),IF(AND(input_test=TRUE,ISNUMBER(AD10),V10&lt;&gt;0),VLOOKUP((10*AD10+AC10),$AQ$51:$AV$59,2,FALSE),"")))</f>
        <v/>
      </c>
      <c r="AS10" s="773">
        <f t="shared" ref="AS10:AS40" si="30">IF(ISNA(Z10),0,IF(OR(J10="NA",X10="",AB10=1),0,X10))</f>
        <v>0</v>
      </c>
      <c r="AT10" s="772" t="str">
        <f>IF(ISNA(Z10),"",IF(AND(NOT(OR(Z10=1,Z10=2,AK10="NG",AB10=1)),IF(ISNUMBER(AL10),AL10&gt;=0,FALSE)),VLOOKUP((10*AH10+AG10),$AQ$51:$AV$59,2+AL10,FALSE),IF(AND(input_test=TRUE,ISNUMBER(AD10),V10&lt;&gt;0),VLOOKUP((10*AH10+AG10),$AQ$51:$AV$59,2,FALSE),"")))</f>
        <v/>
      </c>
      <c r="AU10" s="774">
        <f t="shared" si="10"/>
        <v>0</v>
      </c>
      <c r="AV10" s="775" t="str">
        <f t="shared" si="11"/>
        <v/>
      </c>
      <c r="AW10" s="774" t="b">
        <f t="shared" si="12"/>
        <v>0</v>
      </c>
      <c r="AX10" s="776" t="b">
        <f t="shared" si="13"/>
        <v>1</v>
      </c>
      <c r="AY10" s="774" t="b">
        <f t="shared" si="14"/>
        <v>0</v>
      </c>
      <c r="AZ10" s="776" t="b">
        <f t="shared" si="15"/>
        <v>0</v>
      </c>
      <c r="BA10" s="768" t="b">
        <f t="shared" si="16"/>
        <v>0</v>
      </c>
      <c r="BB10" s="768" t="b">
        <f t="shared" si="17"/>
        <v>0</v>
      </c>
      <c r="BC10" s="774" t="b">
        <f t="shared" si="18"/>
        <v>0</v>
      </c>
      <c r="BD10" s="777" t="b">
        <f t="shared" ref="BD10:BD40" si="31">IF(OR(ISNA($Z10),ISNUMBER($Z10),NOT(ISNUMBER(K10))),FALSE,OR(NOT(ISNUMBER(J10)),J10=0,AND(J10=0,K10&lt;&gt;0)))</f>
        <v>0</v>
      </c>
      <c r="BE10" s="776" t="b">
        <f t="shared" si="19"/>
        <v>0</v>
      </c>
      <c r="BF10" s="778" t="b">
        <f t="shared" si="20"/>
        <v>0</v>
      </c>
      <c r="BG10" s="779" t="b">
        <f t="shared" si="21"/>
        <v>1</v>
      </c>
      <c r="BH10" s="779">
        <f t="shared" ref="BH10:BH40" si="32">IF(ISNA($Z10),"",IF(OR($Z10=1,$Z10=2),"",$V10))</f>
        <v>1</v>
      </c>
      <c r="BI10" s="779">
        <f t="shared" si="22"/>
        <v>2</v>
      </c>
      <c r="BJ10" s="779" t="str">
        <f t="shared" si="23"/>
        <v>2*</v>
      </c>
      <c r="BK10" s="779">
        <f t="shared" si="24"/>
        <v>3</v>
      </c>
      <c r="BL10" s="780">
        <f t="shared" ref="BL10:BL40" si="33">IF(ISBLANK(BH10),"",IF(BH10=0,"",BH10))</f>
        <v>1</v>
      </c>
      <c r="BM10" s="779">
        <f t="shared" si="25"/>
        <v>2</v>
      </c>
      <c r="BN10" s="779">
        <f t="shared" si="26"/>
        <v>3</v>
      </c>
      <c r="BO10" s="787" t="s">
        <v>343</v>
      </c>
      <c r="BP10" s="788" t="s">
        <v>265</v>
      </c>
    </row>
    <row r="11" spans="2:73" s="731" customFormat="1" ht="12.95" customHeight="1" x14ac:dyDescent="0.25">
      <c r="B11" s="783">
        <f>IF(ISNA(Z11),"",IF(OR(Z11=1,Z11=2),"    ",MAX($B$9:B10)+1))</f>
        <v>2</v>
      </c>
      <c r="C11" s="1116" t="str">
        <f t="shared" si="0"/>
        <v xml:space="preserve">      - Report Organization &amp; Structure (3.8%)</v>
      </c>
      <c r="D11" s="1116"/>
      <c r="E11" s="1116"/>
      <c r="F11" s="1117"/>
      <c r="G11" s="763">
        <f t="shared" si="1"/>
        <v>1</v>
      </c>
      <c r="H11" s="764" t="str">
        <f t="shared" si="2"/>
        <v>2*</v>
      </c>
      <c r="I11" s="784">
        <f t="shared" si="2"/>
        <v>3</v>
      </c>
      <c r="J11" s="789"/>
      <c r="K11" s="786"/>
      <c r="L11" s="1134"/>
      <c r="M11" s="1135"/>
      <c r="N11" s="1135"/>
      <c r="O11" s="1135"/>
      <c r="P11" s="1135"/>
      <c r="Q11" s="1135"/>
      <c r="R11" s="1136"/>
      <c r="T11" s="727">
        <v>3</v>
      </c>
      <c r="U11" s="716" t="s">
        <v>968</v>
      </c>
      <c r="V11" s="768">
        <v>1</v>
      </c>
      <c r="W11" s="768">
        <v>0.45</v>
      </c>
      <c r="X11" s="768" t="s">
        <v>340</v>
      </c>
      <c r="Y11" s="768" t="s">
        <v>340</v>
      </c>
      <c r="Z11" s="777" t="s">
        <v>340</v>
      </c>
      <c r="AA11" s="777">
        <v>2</v>
      </c>
      <c r="AB11" s="777">
        <v>1</v>
      </c>
      <c r="AC11" s="768">
        <v>3</v>
      </c>
      <c r="AD11" s="768">
        <v>2</v>
      </c>
      <c r="AE11" s="768">
        <v>1</v>
      </c>
      <c r="AF11" s="768" t="b">
        <v>1</v>
      </c>
      <c r="AG11" s="768">
        <f t="shared" si="3"/>
        <v>2</v>
      </c>
      <c r="AH11" s="768">
        <f t="shared" si="4"/>
        <v>1</v>
      </c>
      <c r="AI11" s="769">
        <f>IF(NOT(OR(Z11=1,Z11=2)),IF(AQ11&gt;0,$AR$45*AQ11/SUMIF($AQ$9:$AQ$40,"&gt;0"),IF(AU11&gt;0,$AV$45*AU11/SUMIF($AU$9:$AU$40,"&gt;0"),IF(AS11&gt;0,$AT$45*AS11/SUMIF($AS$9:$AS$40,"&gt;0"),""))),IF(SUMIF(AJ12:$AJ$40,"=" &amp; AJ11,AI12:$AI$40)=0,"",SUMIF(AJ12:$AJ$40,"=" &amp; AJ11,AI12:$AI$40)))</f>
        <v>3.7687810924440131E-2</v>
      </c>
      <c r="AJ11" s="770">
        <f t="shared" ref="AJ11:AJ40" si="34">IF(OR(Z11=1,Z11=2,AA11&lt;AA10),AJ10+1,AJ10)</f>
        <v>0</v>
      </c>
      <c r="AK11" s="768">
        <f t="shared" si="27"/>
        <v>2</v>
      </c>
      <c r="AL11" s="777" t="str">
        <f t="shared" si="28"/>
        <v/>
      </c>
      <c r="AM11" s="777" t="str">
        <f t="shared" ref="AM11:AM40" si="35">IF(ISNUMBER(AK11),IF(ISNUMBER(AL11),1,""),"")</f>
        <v/>
      </c>
      <c r="AN11" s="777" t="str">
        <f t="shared" si="5"/>
        <v/>
      </c>
      <c r="AO11" s="777" t="str">
        <f t="shared" si="6"/>
        <v/>
      </c>
      <c r="AP11" s="768" t="b">
        <f t="shared" si="7"/>
        <v>1</v>
      </c>
      <c r="AQ11" s="771">
        <f t="shared" si="29"/>
        <v>0.45</v>
      </c>
      <c r="AR11" s="772" t="str">
        <f t="shared" si="8"/>
        <v/>
      </c>
      <c r="AS11" s="773">
        <f t="shared" si="30"/>
        <v>0</v>
      </c>
      <c r="AT11" s="772" t="str">
        <f t="shared" si="9"/>
        <v/>
      </c>
      <c r="AU11" s="774">
        <f t="shared" si="10"/>
        <v>0</v>
      </c>
      <c r="AV11" s="775" t="str">
        <f t="shared" si="11"/>
        <v/>
      </c>
      <c r="AW11" s="774" t="b">
        <f t="shared" si="12"/>
        <v>0</v>
      </c>
      <c r="AX11" s="776" t="b">
        <f t="shared" si="13"/>
        <v>1</v>
      </c>
      <c r="AY11" s="774" t="b">
        <f t="shared" si="14"/>
        <v>0</v>
      </c>
      <c r="AZ11" s="776" t="b">
        <f t="shared" si="15"/>
        <v>0</v>
      </c>
      <c r="BA11" s="768" t="b">
        <f t="shared" si="16"/>
        <v>0</v>
      </c>
      <c r="BB11" s="768" t="b">
        <f t="shared" si="17"/>
        <v>0</v>
      </c>
      <c r="BC11" s="774" t="b">
        <f t="shared" si="18"/>
        <v>0</v>
      </c>
      <c r="BD11" s="777" t="b">
        <f t="shared" si="31"/>
        <v>0</v>
      </c>
      <c r="BE11" s="776" t="b">
        <f t="shared" si="19"/>
        <v>0</v>
      </c>
      <c r="BF11" s="778" t="b">
        <f t="shared" si="20"/>
        <v>0</v>
      </c>
      <c r="BG11" s="779" t="b">
        <f t="shared" si="21"/>
        <v>1</v>
      </c>
      <c r="BH11" s="779">
        <f t="shared" si="32"/>
        <v>1</v>
      </c>
      <c r="BI11" s="779">
        <f t="shared" si="22"/>
        <v>2</v>
      </c>
      <c r="BJ11" s="779" t="str">
        <f t="shared" si="23"/>
        <v>2*</v>
      </c>
      <c r="BK11" s="779">
        <f t="shared" si="24"/>
        <v>3</v>
      </c>
      <c r="BL11" s="780">
        <f t="shared" si="33"/>
        <v>1</v>
      </c>
      <c r="BM11" s="779">
        <f t="shared" si="25"/>
        <v>2</v>
      </c>
      <c r="BN11" s="779">
        <f t="shared" si="26"/>
        <v>3</v>
      </c>
      <c r="BO11" s="787">
        <v>0</v>
      </c>
      <c r="BP11" s="788" t="s">
        <v>465</v>
      </c>
    </row>
    <row r="12" spans="2:73" s="731" customFormat="1" ht="12.95" customHeight="1" x14ac:dyDescent="0.25">
      <c r="B12" s="783">
        <f>IF(ISNA(Z12),"",IF(OR(Z12=1,Z12=2),"    ",MAX($B$9:B11)+1))</f>
        <v>3</v>
      </c>
      <c r="C12" s="1116" t="str">
        <f t="shared" si="0"/>
        <v xml:space="preserve">      - Logical Chain of Reasoning (3.1%)</v>
      </c>
      <c r="D12" s="1116"/>
      <c r="E12" s="1116"/>
      <c r="F12" s="1117"/>
      <c r="G12" s="763">
        <f t="shared" si="1"/>
        <v>1</v>
      </c>
      <c r="H12" s="764" t="str">
        <f t="shared" si="2"/>
        <v>2*</v>
      </c>
      <c r="I12" s="784">
        <f t="shared" si="2"/>
        <v>3</v>
      </c>
      <c r="J12" s="789"/>
      <c r="K12" s="786"/>
      <c r="L12" s="1134"/>
      <c r="M12" s="1135"/>
      <c r="N12" s="1135"/>
      <c r="O12" s="1135"/>
      <c r="P12" s="1135"/>
      <c r="Q12" s="1135"/>
      <c r="R12" s="1136"/>
      <c r="T12" s="727">
        <v>4</v>
      </c>
      <c r="U12" s="716" t="s">
        <v>969</v>
      </c>
      <c r="V12" s="768">
        <v>1</v>
      </c>
      <c r="W12" s="768">
        <v>0.375</v>
      </c>
      <c r="X12" s="768" t="s">
        <v>340</v>
      </c>
      <c r="Y12" s="768" t="s">
        <v>340</v>
      </c>
      <c r="Z12" s="777" t="s">
        <v>340</v>
      </c>
      <c r="AA12" s="777">
        <v>2</v>
      </c>
      <c r="AB12" s="777">
        <v>1</v>
      </c>
      <c r="AC12" s="768">
        <v>3</v>
      </c>
      <c r="AD12" s="768">
        <v>2</v>
      </c>
      <c r="AE12" s="768">
        <v>1</v>
      </c>
      <c r="AF12" s="768" t="b">
        <v>1</v>
      </c>
      <c r="AG12" s="768">
        <f t="shared" si="3"/>
        <v>2</v>
      </c>
      <c r="AH12" s="768">
        <f t="shared" si="4"/>
        <v>1</v>
      </c>
      <c r="AI12" s="769">
        <f>IF(NOT(OR(Z12=1,Z12=2)),IF(AQ12&gt;0,$AR$45*AQ12/SUMIF($AQ$9:$AQ$40,"&gt;0"),IF(AU12&gt;0,$AV$45*AU12/SUMIF($AU$9:$AU$40,"&gt;0"),IF(AS12&gt;0,$AT$45*AS12/SUMIF($AS$9:$AS$40,"&gt;0"),""))),IF(SUMIF(AJ13:$AJ$40,"=" &amp; AJ12,AI13:$AI$40)=0,"",SUMIF(AJ13:$AJ$40,"=" &amp; AJ12,AI13:$AI$40)))</f>
        <v>3.140650910370011E-2</v>
      </c>
      <c r="AJ12" s="770">
        <f t="shared" si="34"/>
        <v>0</v>
      </c>
      <c r="AK12" s="768">
        <f t="shared" si="27"/>
        <v>2</v>
      </c>
      <c r="AL12" s="777" t="str">
        <f t="shared" si="28"/>
        <v/>
      </c>
      <c r="AM12" s="777" t="str">
        <f t="shared" si="35"/>
        <v/>
      </c>
      <c r="AN12" s="777" t="str">
        <f t="shared" si="5"/>
        <v/>
      </c>
      <c r="AO12" s="777" t="str">
        <f t="shared" si="6"/>
        <v/>
      </c>
      <c r="AP12" s="768" t="b">
        <f t="shared" si="7"/>
        <v>1</v>
      </c>
      <c r="AQ12" s="771">
        <f t="shared" si="29"/>
        <v>0.375</v>
      </c>
      <c r="AR12" s="772" t="str">
        <f t="shared" si="8"/>
        <v/>
      </c>
      <c r="AS12" s="773">
        <f t="shared" si="30"/>
        <v>0</v>
      </c>
      <c r="AT12" s="772" t="str">
        <f t="shared" si="9"/>
        <v/>
      </c>
      <c r="AU12" s="774">
        <f t="shared" si="10"/>
        <v>0</v>
      </c>
      <c r="AV12" s="775" t="str">
        <f t="shared" si="11"/>
        <v/>
      </c>
      <c r="AW12" s="774" t="b">
        <f t="shared" si="12"/>
        <v>0</v>
      </c>
      <c r="AX12" s="776" t="b">
        <f t="shared" si="13"/>
        <v>1</v>
      </c>
      <c r="AY12" s="774" t="b">
        <f t="shared" si="14"/>
        <v>0</v>
      </c>
      <c r="AZ12" s="776" t="b">
        <f t="shared" si="15"/>
        <v>0</v>
      </c>
      <c r="BA12" s="768" t="b">
        <f t="shared" si="16"/>
        <v>0</v>
      </c>
      <c r="BB12" s="768" t="b">
        <f t="shared" si="17"/>
        <v>0</v>
      </c>
      <c r="BC12" s="774" t="b">
        <f t="shared" si="18"/>
        <v>0</v>
      </c>
      <c r="BD12" s="777" t="b">
        <f t="shared" si="31"/>
        <v>0</v>
      </c>
      <c r="BE12" s="776" t="b">
        <f t="shared" si="19"/>
        <v>0</v>
      </c>
      <c r="BF12" s="778" t="b">
        <f t="shared" si="20"/>
        <v>0</v>
      </c>
      <c r="BG12" s="779" t="b">
        <f t="shared" si="21"/>
        <v>1</v>
      </c>
      <c r="BH12" s="779">
        <f t="shared" si="32"/>
        <v>1</v>
      </c>
      <c r="BI12" s="779">
        <f t="shared" si="22"/>
        <v>2</v>
      </c>
      <c r="BJ12" s="779" t="str">
        <f t="shared" si="23"/>
        <v>2*</v>
      </c>
      <c r="BK12" s="779">
        <f t="shared" si="24"/>
        <v>3</v>
      </c>
      <c r="BL12" s="780">
        <f t="shared" si="33"/>
        <v>1</v>
      </c>
      <c r="BM12" s="779">
        <f t="shared" si="25"/>
        <v>2</v>
      </c>
      <c r="BN12" s="779">
        <f t="shared" si="26"/>
        <v>3</v>
      </c>
      <c r="BO12" s="787">
        <v>1</v>
      </c>
      <c r="BP12" s="788" t="s">
        <v>467</v>
      </c>
    </row>
    <row r="13" spans="2:73" s="731" customFormat="1" ht="12.95" customHeight="1" x14ac:dyDescent="0.25">
      <c r="B13" s="783" t="str">
        <f>IF(ISNA(Z13),"",IF(OR(Z13=1,Z13=2),"    ",MAX($B$9:B12)+1))</f>
        <v xml:space="preserve">    </v>
      </c>
      <c r="C13" s="1116" t="str">
        <f t="shared" si="0"/>
        <v>Content &amp; Analysis (Obj 1) (21.8%)</v>
      </c>
      <c r="D13" s="1116"/>
      <c r="E13" s="1116"/>
      <c r="F13" s="1117"/>
      <c r="G13" s="763" t="str">
        <f t="shared" si="1"/>
        <v/>
      </c>
      <c r="H13" s="764" t="str">
        <f t="shared" si="2"/>
        <v/>
      </c>
      <c r="I13" s="784" t="str">
        <f t="shared" si="2"/>
        <v/>
      </c>
      <c r="J13" s="793"/>
      <c r="K13" s="794"/>
      <c r="L13" s="1134"/>
      <c r="M13" s="1135"/>
      <c r="N13" s="1135"/>
      <c r="O13" s="1135"/>
      <c r="P13" s="1135"/>
      <c r="Q13" s="1135"/>
      <c r="R13" s="1136"/>
      <c r="T13" s="727">
        <v>5</v>
      </c>
      <c r="U13" s="716" t="s">
        <v>983</v>
      </c>
      <c r="V13" s="768" t="s">
        <v>340</v>
      </c>
      <c r="W13" s="768" t="s">
        <v>340</v>
      </c>
      <c r="X13" s="768" t="s">
        <v>340</v>
      </c>
      <c r="Y13" s="768" t="s">
        <v>340</v>
      </c>
      <c r="Z13" s="777">
        <v>2</v>
      </c>
      <c r="AA13" s="777">
        <v>1</v>
      </c>
      <c r="AB13" s="777">
        <v>1</v>
      </c>
      <c r="AC13" s="768" t="s">
        <v>340</v>
      </c>
      <c r="AD13" s="768" t="s">
        <v>340</v>
      </c>
      <c r="AE13" s="768" t="s">
        <v>340</v>
      </c>
      <c r="AF13" s="768" t="s">
        <v>340</v>
      </c>
      <c r="AG13" s="768" t="str">
        <f t="shared" si="3"/>
        <v/>
      </c>
      <c r="AH13" s="768" t="str">
        <f t="shared" si="4"/>
        <v/>
      </c>
      <c r="AI13" s="769">
        <f>IF(NOT(OR(Z13=1,Z13=2)),IF(AQ13&gt;0,$AR$45*AQ13/SUMIF($AQ$9:$AQ$40,"&gt;0"),IF(AU13&gt;0,$AV$45*AU13/SUMIF($AU$9:$AU$40,"&gt;0"),IF(AS13&gt;0,$AT$45*AS13/SUMIF($AS$9:$AS$40,"&gt;0"),""))),IF(SUMIF(AJ14:$AJ$40,"=" &amp; AJ13,AI14:$AI$40)=0,"",SUMIF(AJ14:$AJ$40,"=" &amp; AJ13,AI14:$AI$40)))</f>
        <v>0.21775179645232073</v>
      </c>
      <c r="AJ13" s="770">
        <f t="shared" si="34"/>
        <v>1</v>
      </c>
      <c r="AK13" s="768" t="str">
        <f t="shared" si="27"/>
        <v/>
      </c>
      <c r="AL13" s="777" t="str">
        <f t="shared" si="28"/>
        <v/>
      </c>
      <c r="AM13" s="777" t="str">
        <f t="shared" si="35"/>
        <v/>
      </c>
      <c r="AN13" s="777" t="str">
        <f t="shared" si="5"/>
        <v/>
      </c>
      <c r="AO13" s="777" t="str">
        <f t="shared" si="6"/>
        <v/>
      </c>
      <c r="AP13" s="768" t="str">
        <f t="shared" si="7"/>
        <v/>
      </c>
      <c r="AQ13" s="771">
        <f t="shared" si="29"/>
        <v>0</v>
      </c>
      <c r="AR13" s="772" t="str">
        <f t="shared" si="8"/>
        <v/>
      </c>
      <c r="AS13" s="773">
        <f t="shared" si="30"/>
        <v>0</v>
      </c>
      <c r="AT13" s="772" t="str">
        <f t="shared" si="9"/>
        <v/>
      </c>
      <c r="AU13" s="774">
        <f t="shared" si="10"/>
        <v>0</v>
      </c>
      <c r="AV13" s="775" t="str">
        <f t="shared" si="11"/>
        <v/>
      </c>
      <c r="AW13" s="774" t="b">
        <f t="shared" si="12"/>
        <v>0</v>
      </c>
      <c r="AX13" s="776" t="b">
        <f t="shared" si="13"/>
        <v>0</v>
      </c>
      <c r="AY13" s="774" t="b">
        <f t="shared" si="14"/>
        <v>0</v>
      </c>
      <c r="AZ13" s="776" t="b">
        <f t="shared" si="15"/>
        <v>0</v>
      </c>
      <c r="BA13" s="768" t="b">
        <f t="shared" si="16"/>
        <v>0</v>
      </c>
      <c r="BB13" s="768" t="b">
        <f t="shared" si="17"/>
        <v>0</v>
      </c>
      <c r="BC13" s="774" t="b">
        <f t="shared" si="18"/>
        <v>0</v>
      </c>
      <c r="BD13" s="777" t="b">
        <f t="shared" si="31"/>
        <v>0</v>
      </c>
      <c r="BE13" s="776" t="b">
        <f t="shared" si="19"/>
        <v>0</v>
      </c>
      <c r="BF13" s="778" t="b">
        <f t="shared" si="20"/>
        <v>0</v>
      </c>
      <c r="BG13" s="779" t="b">
        <f t="shared" si="21"/>
        <v>0</v>
      </c>
      <c r="BH13" s="779" t="str">
        <f t="shared" si="32"/>
        <v/>
      </c>
      <c r="BI13" s="779" t="str">
        <f t="shared" si="22"/>
        <v/>
      </c>
      <c r="BJ13" s="779" t="str">
        <f t="shared" si="23"/>
        <v/>
      </c>
      <c r="BK13" s="779" t="str">
        <f t="shared" si="24"/>
        <v/>
      </c>
      <c r="BL13" s="780" t="str">
        <f t="shared" si="33"/>
        <v/>
      </c>
      <c r="BM13" s="779" t="str">
        <f t="shared" si="25"/>
        <v/>
      </c>
      <c r="BN13" s="779" t="str">
        <f t="shared" si="26"/>
        <v/>
      </c>
      <c r="BO13" s="787">
        <v>2</v>
      </c>
      <c r="BP13" s="788" t="s">
        <v>350</v>
      </c>
    </row>
    <row r="14" spans="2:73" s="731" customFormat="1" ht="12.95" customHeight="1" x14ac:dyDescent="0.25">
      <c r="B14" s="783">
        <f>IF(ISNA(Z14),"",IF(OR(Z14=1,Z14=2),"    ",MAX($B$9:B13)+1))</f>
        <v>4</v>
      </c>
      <c r="C14" s="1116" t="str">
        <f t="shared" si="0"/>
        <v xml:space="preserve">      - Test Methods and Conditions (8.4%)</v>
      </c>
      <c r="D14" s="1116"/>
      <c r="E14" s="1116"/>
      <c r="F14" s="1117"/>
      <c r="G14" s="763">
        <f t="shared" si="1"/>
        <v>1</v>
      </c>
      <c r="H14" s="764" t="str">
        <f t="shared" si="2"/>
        <v>2*</v>
      </c>
      <c r="I14" s="784">
        <f t="shared" si="2"/>
        <v>3</v>
      </c>
      <c r="J14" s="789"/>
      <c r="K14" s="786"/>
      <c r="L14" s="1134"/>
      <c r="M14" s="1135"/>
      <c r="N14" s="1135"/>
      <c r="O14" s="1135"/>
      <c r="P14" s="1135"/>
      <c r="Q14" s="1135"/>
      <c r="R14" s="1136"/>
      <c r="T14" s="727">
        <v>6</v>
      </c>
      <c r="U14" s="716" t="s">
        <v>984</v>
      </c>
      <c r="V14" s="768">
        <v>1</v>
      </c>
      <c r="W14" s="768">
        <v>1</v>
      </c>
      <c r="X14" s="768" t="s">
        <v>340</v>
      </c>
      <c r="Y14" s="768" t="s">
        <v>340</v>
      </c>
      <c r="Z14" s="777" t="s">
        <v>340</v>
      </c>
      <c r="AA14" s="777">
        <v>2</v>
      </c>
      <c r="AB14" s="777">
        <v>1</v>
      </c>
      <c r="AC14" s="768">
        <v>3</v>
      </c>
      <c r="AD14" s="768">
        <v>2</v>
      </c>
      <c r="AE14" s="768">
        <v>1</v>
      </c>
      <c r="AF14" s="768" t="b">
        <v>1</v>
      </c>
      <c r="AG14" s="768">
        <f t="shared" si="3"/>
        <v>2</v>
      </c>
      <c r="AH14" s="768">
        <f t="shared" si="4"/>
        <v>1</v>
      </c>
      <c r="AI14" s="769">
        <f>IF(NOT(OR(Z14=1,Z14=2)),IF(AQ14&gt;0,$AR$45*AQ14/SUMIF($AQ$9:$AQ$40,"&gt;0"),IF(AU14&gt;0,$AV$45*AU14/SUMIF($AU$9:$AU$40,"&gt;0"),IF(AS14&gt;0,$AT$45*AS14/SUMIF($AS$9:$AS$40,"&gt;0"),""))),IF(SUMIF(AJ15:$AJ$40,"=" &amp; AJ14,AI15:$AI$40)=0,"",SUMIF(AJ15:$AJ$40,"=" &amp; AJ14,AI15:$AI$40)))</f>
        <v>8.3750690943200284E-2</v>
      </c>
      <c r="AJ14" s="770">
        <f t="shared" si="34"/>
        <v>1</v>
      </c>
      <c r="AK14" s="768">
        <f t="shared" si="27"/>
        <v>2</v>
      </c>
      <c r="AL14" s="777" t="str">
        <f t="shared" si="28"/>
        <v/>
      </c>
      <c r="AM14" s="777" t="str">
        <f t="shared" si="35"/>
        <v/>
      </c>
      <c r="AN14" s="777" t="str">
        <f t="shared" si="5"/>
        <v/>
      </c>
      <c r="AO14" s="777" t="str">
        <f t="shared" si="6"/>
        <v/>
      </c>
      <c r="AP14" s="768" t="b">
        <f t="shared" si="7"/>
        <v>1</v>
      </c>
      <c r="AQ14" s="771">
        <f t="shared" si="29"/>
        <v>1</v>
      </c>
      <c r="AR14" s="772" t="str">
        <f t="shared" si="8"/>
        <v/>
      </c>
      <c r="AS14" s="773">
        <f t="shared" si="30"/>
        <v>0</v>
      </c>
      <c r="AT14" s="772" t="str">
        <f t="shared" si="9"/>
        <v/>
      </c>
      <c r="AU14" s="774">
        <f t="shared" si="10"/>
        <v>0</v>
      </c>
      <c r="AV14" s="775" t="str">
        <f t="shared" si="11"/>
        <v/>
      </c>
      <c r="AW14" s="774" t="b">
        <f t="shared" si="12"/>
        <v>0</v>
      </c>
      <c r="AX14" s="776" t="b">
        <f t="shared" si="13"/>
        <v>1</v>
      </c>
      <c r="AY14" s="774" t="b">
        <f t="shared" si="14"/>
        <v>0</v>
      </c>
      <c r="AZ14" s="776" t="b">
        <f t="shared" si="15"/>
        <v>0</v>
      </c>
      <c r="BA14" s="768" t="b">
        <f t="shared" si="16"/>
        <v>0</v>
      </c>
      <c r="BB14" s="768" t="b">
        <f t="shared" si="17"/>
        <v>0</v>
      </c>
      <c r="BC14" s="774" t="b">
        <f t="shared" si="18"/>
        <v>0</v>
      </c>
      <c r="BD14" s="777" t="b">
        <f t="shared" si="31"/>
        <v>0</v>
      </c>
      <c r="BE14" s="776" t="b">
        <f t="shared" si="19"/>
        <v>0</v>
      </c>
      <c r="BF14" s="778" t="b">
        <f t="shared" si="20"/>
        <v>0</v>
      </c>
      <c r="BG14" s="779" t="b">
        <f t="shared" si="21"/>
        <v>1</v>
      </c>
      <c r="BH14" s="779">
        <f t="shared" si="32"/>
        <v>1</v>
      </c>
      <c r="BI14" s="779">
        <f t="shared" si="22"/>
        <v>2</v>
      </c>
      <c r="BJ14" s="779" t="str">
        <f t="shared" si="23"/>
        <v>2*</v>
      </c>
      <c r="BK14" s="779">
        <f t="shared" si="24"/>
        <v>3</v>
      </c>
      <c r="BL14" s="780">
        <f t="shared" si="33"/>
        <v>1</v>
      </c>
      <c r="BM14" s="779">
        <f t="shared" si="25"/>
        <v>2</v>
      </c>
      <c r="BN14" s="779">
        <f t="shared" si="26"/>
        <v>3</v>
      </c>
      <c r="BO14" s="787">
        <v>3</v>
      </c>
      <c r="BP14" s="788" t="s">
        <v>352</v>
      </c>
    </row>
    <row r="15" spans="2:73" s="731" customFormat="1" ht="12.95" customHeight="1" x14ac:dyDescent="0.25">
      <c r="B15" s="783">
        <f>IF(ISNA(Z15),"",IF(OR(Z15=1,Z15=2),"    ",MAX($B$9:B14)+1))</f>
        <v>5</v>
      </c>
      <c r="C15" s="1116" t="str">
        <f t="shared" si="0"/>
        <v xml:space="preserve">      - Objective Results (4.2%)</v>
      </c>
      <c r="D15" s="1116"/>
      <c r="E15" s="1116"/>
      <c r="F15" s="1117"/>
      <c r="G15" s="763">
        <f t="shared" si="1"/>
        <v>1</v>
      </c>
      <c r="H15" s="764" t="str">
        <f t="shared" si="2"/>
        <v>2*</v>
      </c>
      <c r="I15" s="784">
        <f t="shared" si="2"/>
        <v>3</v>
      </c>
      <c r="J15" s="789"/>
      <c r="K15" s="786"/>
      <c r="L15" s="1134"/>
      <c r="M15" s="1135"/>
      <c r="N15" s="1135"/>
      <c r="O15" s="1135"/>
      <c r="P15" s="1135"/>
      <c r="Q15" s="1135"/>
      <c r="R15" s="1136"/>
      <c r="T15" s="727">
        <v>7</v>
      </c>
      <c r="U15" s="716" t="s">
        <v>985</v>
      </c>
      <c r="V15" s="768">
        <v>1</v>
      </c>
      <c r="W15" s="768">
        <v>0.5</v>
      </c>
      <c r="X15" s="768" t="s">
        <v>340</v>
      </c>
      <c r="Y15" s="768" t="s">
        <v>340</v>
      </c>
      <c r="Z15" s="777" t="s">
        <v>340</v>
      </c>
      <c r="AA15" s="777">
        <v>2</v>
      </c>
      <c r="AB15" s="777">
        <v>1</v>
      </c>
      <c r="AC15" s="768">
        <v>3</v>
      </c>
      <c r="AD15" s="768">
        <v>2</v>
      </c>
      <c r="AE15" s="768">
        <v>1</v>
      </c>
      <c r="AF15" s="768" t="b">
        <v>1</v>
      </c>
      <c r="AG15" s="768">
        <f t="shared" si="3"/>
        <v>2</v>
      </c>
      <c r="AH15" s="768">
        <f t="shared" si="4"/>
        <v>1</v>
      </c>
      <c r="AI15" s="769">
        <f>IF(NOT(OR(Z15=1,Z15=2)),IF(AQ15&gt;0,$AR$45*AQ15/SUMIF($AQ$9:$AQ$40,"&gt;0"),IF(AU15&gt;0,$AV$45*AU15/SUMIF($AU$9:$AU$40,"&gt;0"),IF(AS15&gt;0,$AT$45*AS15/SUMIF($AS$9:$AS$40,"&gt;0"),""))),IF(SUMIF(AJ16:$AJ$40,"=" &amp; AJ15,AI16:$AI$40)=0,"",SUMIF(AJ16:$AJ$40,"=" &amp; AJ15,AI16:$AI$40)))</f>
        <v>4.1875345471600142E-2</v>
      </c>
      <c r="AJ15" s="770">
        <f t="shared" si="34"/>
        <v>1</v>
      </c>
      <c r="AK15" s="768">
        <f t="shared" si="27"/>
        <v>2</v>
      </c>
      <c r="AL15" s="777" t="str">
        <f t="shared" si="28"/>
        <v/>
      </c>
      <c r="AM15" s="777" t="str">
        <f t="shared" si="35"/>
        <v/>
      </c>
      <c r="AN15" s="777" t="str">
        <f t="shared" si="5"/>
        <v/>
      </c>
      <c r="AO15" s="777" t="str">
        <f t="shared" si="6"/>
        <v/>
      </c>
      <c r="AP15" s="768" t="b">
        <f t="shared" si="7"/>
        <v>1</v>
      </c>
      <c r="AQ15" s="771">
        <f t="shared" si="29"/>
        <v>0.5</v>
      </c>
      <c r="AR15" s="772" t="str">
        <f t="shared" si="8"/>
        <v/>
      </c>
      <c r="AS15" s="773">
        <f t="shared" si="30"/>
        <v>0</v>
      </c>
      <c r="AT15" s="772" t="str">
        <f t="shared" si="9"/>
        <v/>
      </c>
      <c r="AU15" s="774">
        <f t="shared" si="10"/>
        <v>0</v>
      </c>
      <c r="AV15" s="775" t="str">
        <f t="shared" si="11"/>
        <v/>
      </c>
      <c r="AW15" s="774" t="b">
        <f t="shared" si="12"/>
        <v>0</v>
      </c>
      <c r="AX15" s="776" t="b">
        <f t="shared" si="13"/>
        <v>1</v>
      </c>
      <c r="AY15" s="774" t="b">
        <f t="shared" si="14"/>
        <v>0</v>
      </c>
      <c r="AZ15" s="776" t="b">
        <f t="shared" si="15"/>
        <v>0</v>
      </c>
      <c r="BA15" s="768" t="b">
        <f t="shared" si="16"/>
        <v>0</v>
      </c>
      <c r="BB15" s="768" t="b">
        <f t="shared" si="17"/>
        <v>0</v>
      </c>
      <c r="BC15" s="774" t="b">
        <f t="shared" si="18"/>
        <v>0</v>
      </c>
      <c r="BD15" s="777" t="b">
        <f t="shared" si="31"/>
        <v>0</v>
      </c>
      <c r="BE15" s="776" t="b">
        <f t="shared" si="19"/>
        <v>0</v>
      </c>
      <c r="BF15" s="778" t="b">
        <f t="shared" si="20"/>
        <v>0</v>
      </c>
      <c r="BG15" s="779" t="b">
        <f t="shared" si="21"/>
        <v>1</v>
      </c>
      <c r="BH15" s="779">
        <f t="shared" si="32"/>
        <v>1</v>
      </c>
      <c r="BI15" s="779">
        <f t="shared" si="22"/>
        <v>2</v>
      </c>
      <c r="BJ15" s="779" t="str">
        <f t="shared" si="23"/>
        <v>2*</v>
      </c>
      <c r="BK15" s="779">
        <f t="shared" si="24"/>
        <v>3</v>
      </c>
      <c r="BL15" s="780">
        <f t="shared" si="33"/>
        <v>1</v>
      </c>
      <c r="BM15" s="779">
        <f t="shared" si="25"/>
        <v>2</v>
      </c>
      <c r="BN15" s="779">
        <f t="shared" si="26"/>
        <v>3</v>
      </c>
      <c r="BO15" s="787">
        <v>4</v>
      </c>
      <c r="BP15" s="788" t="s">
        <v>354</v>
      </c>
    </row>
    <row r="16" spans="2:73" s="731" customFormat="1" ht="12.95" customHeight="1" x14ac:dyDescent="0.25">
      <c r="B16" s="783">
        <f>IF(ISNA(Z16),"",IF(OR(Z16=1,Z16=2),"    ",MAX($B$9:B15)+1))</f>
        <v>6</v>
      </c>
      <c r="C16" s="1116" t="str">
        <f t="shared" si="0"/>
        <v xml:space="preserve">      - Eng Analysis &amp; Oper. Impact (4.2%)</v>
      </c>
      <c r="D16" s="1116"/>
      <c r="E16" s="1116"/>
      <c r="F16" s="1117"/>
      <c r="G16" s="763">
        <f t="shared" si="1"/>
        <v>1</v>
      </c>
      <c r="H16" s="764" t="str">
        <f t="shared" si="2"/>
        <v>2*</v>
      </c>
      <c r="I16" s="784">
        <f t="shared" si="2"/>
        <v>3</v>
      </c>
      <c r="J16" s="789"/>
      <c r="K16" s="786"/>
      <c r="L16" s="1134"/>
      <c r="M16" s="1135"/>
      <c r="N16" s="1135"/>
      <c r="O16" s="1135"/>
      <c r="P16" s="1135"/>
      <c r="Q16" s="1135"/>
      <c r="R16" s="1136"/>
      <c r="T16" s="727">
        <v>8</v>
      </c>
      <c r="U16" s="716" t="s">
        <v>986</v>
      </c>
      <c r="V16" s="768">
        <v>1</v>
      </c>
      <c r="W16" s="768">
        <v>0.5</v>
      </c>
      <c r="X16" s="768" t="s">
        <v>340</v>
      </c>
      <c r="Y16" s="768" t="s">
        <v>340</v>
      </c>
      <c r="Z16" s="777" t="s">
        <v>340</v>
      </c>
      <c r="AA16" s="777">
        <v>2</v>
      </c>
      <c r="AB16" s="777">
        <v>1</v>
      </c>
      <c r="AC16" s="768">
        <v>3</v>
      </c>
      <c r="AD16" s="768">
        <v>2</v>
      </c>
      <c r="AE16" s="768">
        <v>1</v>
      </c>
      <c r="AF16" s="768" t="b">
        <v>1</v>
      </c>
      <c r="AG16" s="768">
        <f t="shared" si="3"/>
        <v>2</v>
      </c>
      <c r="AH16" s="768">
        <f t="shared" si="4"/>
        <v>1</v>
      </c>
      <c r="AI16" s="769">
        <f>IF(NOT(OR(Z16=1,Z16=2)),IF(AQ16&gt;0,$AR$45*AQ16/SUMIF($AQ$9:$AQ$40,"&gt;0"),IF(AU16&gt;0,$AV$45*AU16/SUMIF($AU$9:$AU$40,"&gt;0"),IF(AS16&gt;0,$AT$45*AS16/SUMIF($AS$9:$AS$40,"&gt;0"),""))),IF(SUMIF(AJ17:$AJ$40,"=" &amp; AJ16,AI17:$AI$40)=0,"",SUMIF(AJ17:$AJ$40,"=" &amp; AJ16,AI17:$AI$40)))</f>
        <v>4.1875345471600142E-2</v>
      </c>
      <c r="AJ16" s="770">
        <f t="shared" si="34"/>
        <v>1</v>
      </c>
      <c r="AK16" s="768">
        <f t="shared" si="27"/>
        <v>2</v>
      </c>
      <c r="AL16" s="777" t="str">
        <f t="shared" si="28"/>
        <v/>
      </c>
      <c r="AM16" s="777" t="str">
        <f t="shared" si="35"/>
        <v/>
      </c>
      <c r="AN16" s="777" t="str">
        <f t="shared" si="5"/>
        <v/>
      </c>
      <c r="AO16" s="777" t="str">
        <f t="shared" si="6"/>
        <v/>
      </c>
      <c r="AP16" s="768" t="b">
        <f t="shared" si="7"/>
        <v>1</v>
      </c>
      <c r="AQ16" s="771">
        <f t="shared" si="29"/>
        <v>0.5</v>
      </c>
      <c r="AR16" s="772" t="str">
        <f t="shared" si="8"/>
        <v/>
      </c>
      <c r="AS16" s="773">
        <f t="shared" si="30"/>
        <v>0</v>
      </c>
      <c r="AT16" s="772" t="str">
        <f t="shared" si="9"/>
        <v/>
      </c>
      <c r="AU16" s="774">
        <f t="shared" si="10"/>
        <v>0</v>
      </c>
      <c r="AV16" s="775" t="str">
        <f t="shared" si="11"/>
        <v/>
      </c>
      <c r="AW16" s="774" t="b">
        <f t="shared" si="12"/>
        <v>0</v>
      </c>
      <c r="AX16" s="776" t="b">
        <f t="shared" si="13"/>
        <v>1</v>
      </c>
      <c r="AY16" s="774" t="b">
        <f t="shared" si="14"/>
        <v>0</v>
      </c>
      <c r="AZ16" s="776" t="b">
        <f t="shared" si="15"/>
        <v>0</v>
      </c>
      <c r="BA16" s="768" t="b">
        <f t="shared" si="16"/>
        <v>0</v>
      </c>
      <c r="BB16" s="768" t="b">
        <f t="shared" si="17"/>
        <v>0</v>
      </c>
      <c r="BC16" s="774" t="b">
        <f t="shared" si="18"/>
        <v>0</v>
      </c>
      <c r="BD16" s="777" t="b">
        <f t="shared" si="31"/>
        <v>0</v>
      </c>
      <c r="BE16" s="776" t="b">
        <f t="shared" si="19"/>
        <v>0</v>
      </c>
      <c r="BF16" s="778" t="b">
        <f t="shared" si="20"/>
        <v>0</v>
      </c>
      <c r="BG16" s="779" t="b">
        <f t="shared" si="21"/>
        <v>1</v>
      </c>
      <c r="BH16" s="779">
        <f t="shared" si="32"/>
        <v>1</v>
      </c>
      <c r="BI16" s="779">
        <f t="shared" si="22"/>
        <v>2</v>
      </c>
      <c r="BJ16" s="779" t="str">
        <f t="shared" si="23"/>
        <v>2*</v>
      </c>
      <c r="BK16" s="779">
        <f t="shared" si="24"/>
        <v>3</v>
      </c>
      <c r="BL16" s="780">
        <f t="shared" si="33"/>
        <v>1</v>
      </c>
      <c r="BM16" s="779">
        <f t="shared" si="25"/>
        <v>2</v>
      </c>
      <c r="BN16" s="779">
        <f t="shared" si="26"/>
        <v>3</v>
      </c>
      <c r="BO16" s="719"/>
    </row>
    <row r="17" spans="2:75" s="731" customFormat="1" ht="12.95" customHeight="1" x14ac:dyDescent="0.25">
      <c r="B17" s="783">
        <f>IF(ISNA(Z17),"",IF(OR(Z17=1,Z17=2),"    ",MAX($B$9:B16)+1))</f>
        <v>7</v>
      </c>
      <c r="C17" s="1116" t="str">
        <f t="shared" si="0"/>
        <v xml:space="preserve">      - Conclusions &amp; Recomm. (5.0%)</v>
      </c>
      <c r="D17" s="1116"/>
      <c r="E17" s="1116"/>
      <c r="F17" s="1117"/>
      <c r="G17" s="763">
        <f t="shared" si="1"/>
        <v>1</v>
      </c>
      <c r="H17" s="764" t="str">
        <f t="shared" si="2"/>
        <v>2*</v>
      </c>
      <c r="I17" s="784">
        <f t="shared" si="2"/>
        <v>3</v>
      </c>
      <c r="J17" s="789"/>
      <c r="K17" s="786"/>
      <c r="L17" s="1134"/>
      <c r="M17" s="1135"/>
      <c r="N17" s="1135"/>
      <c r="O17" s="1135"/>
      <c r="P17" s="1135"/>
      <c r="Q17" s="1135"/>
      <c r="R17" s="1136"/>
      <c r="T17" s="727">
        <v>9</v>
      </c>
      <c r="U17" s="716" t="s">
        <v>987</v>
      </c>
      <c r="V17" s="768">
        <v>1</v>
      </c>
      <c r="W17" s="768">
        <v>0.6</v>
      </c>
      <c r="X17" s="768" t="s">
        <v>340</v>
      </c>
      <c r="Y17" s="768" t="s">
        <v>340</v>
      </c>
      <c r="Z17" s="777" t="s">
        <v>340</v>
      </c>
      <c r="AA17" s="777">
        <v>2</v>
      </c>
      <c r="AB17" s="777">
        <v>1</v>
      </c>
      <c r="AC17" s="768">
        <v>3</v>
      </c>
      <c r="AD17" s="768">
        <v>2</v>
      </c>
      <c r="AE17" s="768">
        <v>1</v>
      </c>
      <c r="AF17" s="768" t="b">
        <v>1</v>
      </c>
      <c r="AG17" s="768">
        <f t="shared" si="3"/>
        <v>2</v>
      </c>
      <c r="AH17" s="768">
        <f t="shared" si="4"/>
        <v>1</v>
      </c>
      <c r="AI17" s="769">
        <f>IF(NOT(OR(Z17=1,Z17=2)),IF(AQ17&gt;0,$AR$45*AQ17/SUMIF($AQ$9:$AQ$40,"&gt;0"),IF(AU17&gt;0,$AV$45*AU17/SUMIF($AU$9:$AU$40,"&gt;0"),IF(AS17&gt;0,$AT$45*AS17/SUMIF($AS$9:$AS$40,"&gt;0"),""))),IF(SUMIF(AJ18:$AJ$40,"=" &amp; AJ17,AI18:$AI$40)=0,"",SUMIF(AJ18:$AJ$40,"=" &amp; AJ17,AI18:$AI$40)))</f>
        <v>5.0250414565920172E-2</v>
      </c>
      <c r="AJ17" s="770">
        <f t="shared" si="34"/>
        <v>1</v>
      </c>
      <c r="AK17" s="768">
        <f t="shared" si="27"/>
        <v>2</v>
      </c>
      <c r="AL17" s="777" t="str">
        <f t="shared" si="28"/>
        <v/>
      </c>
      <c r="AM17" s="777" t="str">
        <f t="shared" si="35"/>
        <v/>
      </c>
      <c r="AN17" s="777" t="str">
        <f t="shared" si="5"/>
        <v/>
      </c>
      <c r="AO17" s="777" t="str">
        <f t="shared" si="6"/>
        <v/>
      </c>
      <c r="AP17" s="768" t="b">
        <f t="shared" si="7"/>
        <v>1</v>
      </c>
      <c r="AQ17" s="771">
        <f t="shared" si="29"/>
        <v>0.6</v>
      </c>
      <c r="AR17" s="772" t="str">
        <f t="shared" si="8"/>
        <v/>
      </c>
      <c r="AS17" s="773">
        <f t="shared" si="30"/>
        <v>0</v>
      </c>
      <c r="AT17" s="772" t="str">
        <f t="shared" si="9"/>
        <v/>
      </c>
      <c r="AU17" s="774">
        <f t="shared" si="10"/>
        <v>0</v>
      </c>
      <c r="AV17" s="775" t="str">
        <f t="shared" si="11"/>
        <v/>
      </c>
      <c r="AW17" s="774" t="b">
        <f t="shared" si="12"/>
        <v>0</v>
      </c>
      <c r="AX17" s="776" t="b">
        <f t="shared" si="13"/>
        <v>1</v>
      </c>
      <c r="AY17" s="774" t="b">
        <f t="shared" si="14"/>
        <v>0</v>
      </c>
      <c r="AZ17" s="776" t="b">
        <f t="shared" si="15"/>
        <v>0</v>
      </c>
      <c r="BA17" s="768" t="b">
        <f t="shared" si="16"/>
        <v>0</v>
      </c>
      <c r="BB17" s="768" t="b">
        <f t="shared" si="17"/>
        <v>0</v>
      </c>
      <c r="BC17" s="774" t="b">
        <f t="shared" si="18"/>
        <v>0</v>
      </c>
      <c r="BD17" s="777" t="b">
        <f t="shared" si="31"/>
        <v>0</v>
      </c>
      <c r="BE17" s="776" t="b">
        <f t="shared" si="19"/>
        <v>0</v>
      </c>
      <c r="BF17" s="778" t="b">
        <f t="shared" si="20"/>
        <v>0</v>
      </c>
      <c r="BG17" s="779" t="b">
        <f t="shared" si="21"/>
        <v>1</v>
      </c>
      <c r="BH17" s="779">
        <f t="shared" si="32"/>
        <v>1</v>
      </c>
      <c r="BI17" s="779">
        <f t="shared" si="22"/>
        <v>2</v>
      </c>
      <c r="BJ17" s="779" t="str">
        <f t="shared" si="23"/>
        <v>2*</v>
      </c>
      <c r="BK17" s="779">
        <f t="shared" si="24"/>
        <v>3</v>
      </c>
      <c r="BL17" s="780">
        <f t="shared" si="33"/>
        <v>1</v>
      </c>
      <c r="BM17" s="779">
        <f t="shared" si="25"/>
        <v>2</v>
      </c>
      <c r="BN17" s="779">
        <f t="shared" si="26"/>
        <v>3</v>
      </c>
      <c r="BO17" s="787"/>
      <c r="BP17" s="790"/>
    </row>
    <row r="18" spans="2:75" s="731" customFormat="1" ht="12.95" customHeight="1" x14ac:dyDescent="0.25">
      <c r="B18" s="783" t="str">
        <f>IF(ISNA(Z18),"",IF(OR(Z18=1,Z18=2),"    ",MAX($B$9:B17)+1))</f>
        <v xml:space="preserve">    </v>
      </c>
      <c r="C18" s="1116" t="str">
        <f t="shared" si="0"/>
        <v>Content &amp; Analysis (Obj 2) (21.8%)</v>
      </c>
      <c r="D18" s="1116"/>
      <c r="E18" s="1116"/>
      <c r="F18" s="1117"/>
      <c r="G18" s="763" t="str">
        <f t="shared" si="1"/>
        <v/>
      </c>
      <c r="H18" s="764" t="str">
        <f t="shared" si="2"/>
        <v/>
      </c>
      <c r="I18" s="784" t="str">
        <f t="shared" si="2"/>
        <v/>
      </c>
      <c r="J18" s="793"/>
      <c r="K18" s="794"/>
      <c r="L18" s="1134"/>
      <c r="M18" s="1135"/>
      <c r="N18" s="1135"/>
      <c r="O18" s="1135"/>
      <c r="P18" s="1135"/>
      <c r="Q18" s="1135"/>
      <c r="R18" s="1136"/>
      <c r="T18" s="727">
        <v>10</v>
      </c>
      <c r="U18" s="716" t="s">
        <v>988</v>
      </c>
      <c r="V18" s="768" t="s">
        <v>340</v>
      </c>
      <c r="W18" s="768" t="s">
        <v>340</v>
      </c>
      <c r="X18" s="768" t="s">
        <v>340</v>
      </c>
      <c r="Y18" s="768" t="s">
        <v>340</v>
      </c>
      <c r="Z18" s="777">
        <v>2</v>
      </c>
      <c r="AA18" s="777">
        <v>1</v>
      </c>
      <c r="AB18" s="777">
        <v>1</v>
      </c>
      <c r="AC18" s="768" t="s">
        <v>340</v>
      </c>
      <c r="AD18" s="768" t="s">
        <v>340</v>
      </c>
      <c r="AE18" s="768" t="s">
        <v>340</v>
      </c>
      <c r="AF18" s="768" t="s">
        <v>340</v>
      </c>
      <c r="AG18" s="768" t="str">
        <f t="shared" si="3"/>
        <v/>
      </c>
      <c r="AH18" s="768" t="str">
        <f t="shared" si="4"/>
        <v/>
      </c>
      <c r="AI18" s="769">
        <f>IF(NOT(OR(Z18=1,Z18=2)),IF(AQ18&gt;0,$AR$45*AQ18/SUMIF($AQ$9:$AQ$40,"&gt;0"),IF(AU18&gt;0,$AV$45*AU18/SUMIF($AU$9:$AU$40,"&gt;0"),IF(AS18&gt;0,$AT$45*AS18/SUMIF($AS$9:$AS$40,"&gt;0"),""))),IF(SUMIF(AJ19:$AJ$40,"=" &amp; AJ18,AI19:$AI$40)=0,"",SUMIF(AJ19:$AJ$40,"=" &amp; AJ18,AI19:$AI$40)))</f>
        <v>0.21775179645232073</v>
      </c>
      <c r="AJ18" s="770">
        <f t="shared" si="34"/>
        <v>2</v>
      </c>
      <c r="AK18" s="768" t="str">
        <f t="shared" si="27"/>
        <v/>
      </c>
      <c r="AL18" s="777" t="str">
        <f t="shared" si="28"/>
        <v/>
      </c>
      <c r="AM18" s="777" t="str">
        <f t="shared" si="35"/>
        <v/>
      </c>
      <c r="AN18" s="777" t="str">
        <f t="shared" si="5"/>
        <v/>
      </c>
      <c r="AO18" s="777" t="str">
        <f t="shared" si="6"/>
        <v/>
      </c>
      <c r="AP18" s="768" t="str">
        <f t="shared" si="7"/>
        <v/>
      </c>
      <c r="AQ18" s="771">
        <f t="shared" si="29"/>
        <v>0</v>
      </c>
      <c r="AR18" s="772" t="str">
        <f t="shared" si="8"/>
        <v/>
      </c>
      <c r="AS18" s="773">
        <f t="shared" si="30"/>
        <v>0</v>
      </c>
      <c r="AT18" s="772" t="str">
        <f t="shared" si="9"/>
        <v/>
      </c>
      <c r="AU18" s="774">
        <f t="shared" si="10"/>
        <v>0</v>
      </c>
      <c r="AV18" s="775" t="str">
        <f t="shared" si="11"/>
        <v/>
      </c>
      <c r="AW18" s="774" t="b">
        <f t="shared" si="12"/>
        <v>0</v>
      </c>
      <c r="AX18" s="776" t="b">
        <f t="shared" si="13"/>
        <v>0</v>
      </c>
      <c r="AY18" s="774" t="b">
        <f t="shared" si="14"/>
        <v>0</v>
      </c>
      <c r="AZ18" s="776" t="b">
        <f t="shared" si="15"/>
        <v>0</v>
      </c>
      <c r="BA18" s="768" t="b">
        <f t="shared" si="16"/>
        <v>0</v>
      </c>
      <c r="BB18" s="768" t="b">
        <f t="shared" si="17"/>
        <v>0</v>
      </c>
      <c r="BC18" s="774" t="b">
        <f t="shared" si="18"/>
        <v>0</v>
      </c>
      <c r="BD18" s="777" t="b">
        <f t="shared" si="31"/>
        <v>0</v>
      </c>
      <c r="BE18" s="776" t="b">
        <f t="shared" si="19"/>
        <v>0</v>
      </c>
      <c r="BF18" s="778" t="b">
        <f t="shared" si="20"/>
        <v>0</v>
      </c>
      <c r="BG18" s="779" t="b">
        <f t="shared" si="21"/>
        <v>0</v>
      </c>
      <c r="BH18" s="779" t="str">
        <f t="shared" si="32"/>
        <v/>
      </c>
      <c r="BI18" s="779" t="str">
        <f t="shared" si="22"/>
        <v/>
      </c>
      <c r="BJ18" s="779" t="str">
        <f t="shared" si="23"/>
        <v/>
      </c>
      <c r="BK18" s="779" t="str">
        <f t="shared" si="24"/>
        <v/>
      </c>
      <c r="BL18" s="780" t="str">
        <f t="shared" si="33"/>
        <v/>
      </c>
      <c r="BM18" s="779" t="str">
        <f t="shared" si="25"/>
        <v/>
      </c>
      <c r="BN18" s="779" t="str">
        <f t="shared" si="26"/>
        <v/>
      </c>
      <c r="BO18" s="719"/>
    </row>
    <row r="19" spans="2:75" s="731" customFormat="1" ht="12.95" customHeight="1" x14ac:dyDescent="0.25">
      <c r="B19" s="783">
        <f>IF(ISNA(Z19),"",IF(OR(Z19=1,Z19=2),"    ",MAX($B$9:B18)+1))</f>
        <v>8</v>
      </c>
      <c r="C19" s="1116" t="str">
        <f t="shared" si="0"/>
        <v xml:space="preserve">      - Test Methods and Conditions (8.4%)</v>
      </c>
      <c r="D19" s="1116"/>
      <c r="E19" s="1116"/>
      <c r="F19" s="1117"/>
      <c r="G19" s="763">
        <f t="shared" si="1"/>
        <v>1</v>
      </c>
      <c r="H19" s="764" t="str">
        <f t="shared" si="2"/>
        <v>2*</v>
      </c>
      <c r="I19" s="784">
        <f t="shared" si="2"/>
        <v>3</v>
      </c>
      <c r="J19" s="789"/>
      <c r="K19" s="786"/>
      <c r="L19" s="1134"/>
      <c r="M19" s="1135"/>
      <c r="N19" s="1135"/>
      <c r="O19" s="1135"/>
      <c r="P19" s="1135"/>
      <c r="Q19" s="1135"/>
      <c r="R19" s="1136"/>
      <c r="T19" s="727">
        <v>11</v>
      </c>
      <c r="U19" s="716" t="s">
        <v>984</v>
      </c>
      <c r="V19" s="768">
        <v>1</v>
      </c>
      <c r="W19" s="768">
        <v>1</v>
      </c>
      <c r="X19" s="768" t="s">
        <v>340</v>
      </c>
      <c r="Y19" s="768" t="s">
        <v>340</v>
      </c>
      <c r="Z19" s="777" t="s">
        <v>340</v>
      </c>
      <c r="AA19" s="777">
        <v>2</v>
      </c>
      <c r="AB19" s="777">
        <v>1</v>
      </c>
      <c r="AC19" s="768">
        <v>3</v>
      </c>
      <c r="AD19" s="768">
        <v>2</v>
      </c>
      <c r="AE19" s="768">
        <v>1</v>
      </c>
      <c r="AF19" s="768" t="b">
        <v>1</v>
      </c>
      <c r="AG19" s="768">
        <f t="shared" si="3"/>
        <v>2</v>
      </c>
      <c r="AH19" s="768">
        <f t="shared" si="4"/>
        <v>1</v>
      </c>
      <c r="AI19" s="769">
        <f>IF(NOT(OR(Z19=1,Z19=2)),IF(AQ19&gt;0,$AR$45*AQ19/SUMIF($AQ$9:$AQ$40,"&gt;0"),IF(AU19&gt;0,$AV$45*AU19/SUMIF($AU$9:$AU$40,"&gt;0"),IF(AS19&gt;0,$AT$45*AS19/SUMIF($AS$9:$AS$40,"&gt;0"),""))),IF(SUMIF(AJ20:$AJ$40,"=" &amp; AJ19,AI20:$AI$40)=0,"",SUMIF(AJ20:$AJ$40,"=" &amp; AJ19,AI20:$AI$40)))</f>
        <v>8.3750690943200284E-2</v>
      </c>
      <c r="AJ19" s="770">
        <f t="shared" si="34"/>
        <v>2</v>
      </c>
      <c r="AK19" s="768">
        <f t="shared" si="27"/>
        <v>2</v>
      </c>
      <c r="AL19" s="777" t="str">
        <f t="shared" si="28"/>
        <v/>
      </c>
      <c r="AM19" s="777" t="str">
        <f t="shared" si="35"/>
        <v/>
      </c>
      <c r="AN19" s="777" t="str">
        <f t="shared" si="5"/>
        <v/>
      </c>
      <c r="AO19" s="777" t="str">
        <f t="shared" si="6"/>
        <v/>
      </c>
      <c r="AP19" s="768" t="b">
        <f t="shared" si="7"/>
        <v>1</v>
      </c>
      <c r="AQ19" s="771">
        <f t="shared" si="29"/>
        <v>1</v>
      </c>
      <c r="AR19" s="772" t="str">
        <f t="shared" si="8"/>
        <v/>
      </c>
      <c r="AS19" s="773">
        <f t="shared" si="30"/>
        <v>0</v>
      </c>
      <c r="AT19" s="772" t="str">
        <f t="shared" si="9"/>
        <v/>
      </c>
      <c r="AU19" s="774">
        <f t="shared" si="10"/>
        <v>0</v>
      </c>
      <c r="AV19" s="775" t="str">
        <f t="shared" si="11"/>
        <v/>
      </c>
      <c r="AW19" s="774" t="b">
        <f t="shared" si="12"/>
        <v>0</v>
      </c>
      <c r="AX19" s="776" t="b">
        <f t="shared" si="13"/>
        <v>1</v>
      </c>
      <c r="AY19" s="774" t="b">
        <f t="shared" si="14"/>
        <v>0</v>
      </c>
      <c r="AZ19" s="776" t="b">
        <f t="shared" si="15"/>
        <v>0</v>
      </c>
      <c r="BA19" s="768" t="b">
        <f t="shared" si="16"/>
        <v>0</v>
      </c>
      <c r="BB19" s="768" t="b">
        <f t="shared" si="17"/>
        <v>0</v>
      </c>
      <c r="BC19" s="774" t="b">
        <f t="shared" si="18"/>
        <v>0</v>
      </c>
      <c r="BD19" s="777" t="b">
        <f t="shared" si="31"/>
        <v>0</v>
      </c>
      <c r="BE19" s="776" t="b">
        <f t="shared" si="19"/>
        <v>0</v>
      </c>
      <c r="BF19" s="778" t="b">
        <f t="shared" si="20"/>
        <v>0</v>
      </c>
      <c r="BG19" s="779" t="b">
        <f t="shared" si="21"/>
        <v>1</v>
      </c>
      <c r="BH19" s="779">
        <f t="shared" si="32"/>
        <v>1</v>
      </c>
      <c r="BI19" s="779">
        <f t="shared" si="22"/>
        <v>2</v>
      </c>
      <c r="BJ19" s="779" t="str">
        <f t="shared" si="23"/>
        <v>2*</v>
      </c>
      <c r="BK19" s="779">
        <f t="shared" si="24"/>
        <v>3</v>
      </c>
      <c r="BL19" s="780">
        <f t="shared" si="33"/>
        <v>1</v>
      </c>
      <c r="BM19" s="779">
        <f t="shared" si="25"/>
        <v>2</v>
      </c>
      <c r="BN19" s="779">
        <f t="shared" si="26"/>
        <v>3</v>
      </c>
      <c r="BO19" s="791"/>
      <c r="BP19" s="790" t="s">
        <v>355</v>
      </c>
      <c r="BQ19" s="792"/>
      <c r="BR19" s="792"/>
      <c r="BS19" s="792"/>
      <c r="BT19" s="792"/>
      <c r="BU19" s="792"/>
    </row>
    <row r="20" spans="2:75" s="731" customFormat="1" ht="12.95" customHeight="1" x14ac:dyDescent="0.25">
      <c r="B20" s="783">
        <f>IF(ISNA(Z20),"",IF(OR(Z20=1,Z20=2),"    ",MAX($B$9:B19)+1))</f>
        <v>9</v>
      </c>
      <c r="C20" s="1116" t="str">
        <f t="shared" si="0"/>
        <v xml:space="preserve">      - Objective Results (4.2%)</v>
      </c>
      <c r="D20" s="1116"/>
      <c r="E20" s="1116"/>
      <c r="F20" s="1117"/>
      <c r="G20" s="763">
        <f t="shared" si="1"/>
        <v>1</v>
      </c>
      <c r="H20" s="764" t="str">
        <f t="shared" si="2"/>
        <v>2*</v>
      </c>
      <c r="I20" s="784">
        <f t="shared" si="2"/>
        <v>3</v>
      </c>
      <c r="J20" s="789"/>
      <c r="K20" s="786"/>
      <c r="L20" s="1134"/>
      <c r="M20" s="1135"/>
      <c r="N20" s="1135"/>
      <c r="O20" s="1135"/>
      <c r="P20" s="1135"/>
      <c r="Q20" s="1135"/>
      <c r="R20" s="1136"/>
      <c r="T20" s="727">
        <v>12</v>
      </c>
      <c r="U20" s="716" t="s">
        <v>985</v>
      </c>
      <c r="V20" s="768">
        <v>1</v>
      </c>
      <c r="W20" s="768">
        <v>0.5</v>
      </c>
      <c r="X20" s="768" t="s">
        <v>340</v>
      </c>
      <c r="Y20" s="768" t="s">
        <v>340</v>
      </c>
      <c r="Z20" s="777" t="s">
        <v>340</v>
      </c>
      <c r="AA20" s="777">
        <v>2</v>
      </c>
      <c r="AB20" s="777">
        <v>1</v>
      </c>
      <c r="AC20" s="768">
        <v>3</v>
      </c>
      <c r="AD20" s="768">
        <v>2</v>
      </c>
      <c r="AE20" s="768">
        <v>1</v>
      </c>
      <c r="AF20" s="768" t="b">
        <v>1</v>
      </c>
      <c r="AG20" s="768">
        <f t="shared" si="3"/>
        <v>2</v>
      </c>
      <c r="AH20" s="768">
        <f t="shared" si="4"/>
        <v>1</v>
      </c>
      <c r="AI20" s="769">
        <f>IF(NOT(OR(Z20=1,Z20=2)),IF(AQ20&gt;0,$AR$45*AQ20/SUMIF($AQ$9:$AQ$40,"&gt;0"),IF(AU20&gt;0,$AV$45*AU20/SUMIF($AU$9:$AU$40,"&gt;0"),IF(AS20&gt;0,$AT$45*AS20/SUMIF($AS$9:$AS$40,"&gt;0"),""))),IF(SUMIF(AJ21:$AJ$40,"=" &amp; AJ20,AI21:$AI$40)=0,"",SUMIF(AJ21:$AJ$40,"=" &amp; AJ20,AI21:$AI$40)))</f>
        <v>4.1875345471600142E-2</v>
      </c>
      <c r="AJ20" s="770">
        <f t="shared" si="34"/>
        <v>2</v>
      </c>
      <c r="AK20" s="768">
        <f t="shared" si="27"/>
        <v>2</v>
      </c>
      <c r="AL20" s="777" t="str">
        <f t="shared" si="28"/>
        <v/>
      </c>
      <c r="AM20" s="777" t="str">
        <f t="shared" si="35"/>
        <v/>
      </c>
      <c r="AN20" s="777" t="str">
        <f t="shared" si="5"/>
        <v/>
      </c>
      <c r="AO20" s="777" t="str">
        <f t="shared" si="6"/>
        <v/>
      </c>
      <c r="AP20" s="768" t="b">
        <f t="shared" si="7"/>
        <v>1</v>
      </c>
      <c r="AQ20" s="771">
        <f t="shared" si="29"/>
        <v>0.5</v>
      </c>
      <c r="AR20" s="772" t="str">
        <f t="shared" si="8"/>
        <v/>
      </c>
      <c r="AS20" s="773">
        <f t="shared" si="30"/>
        <v>0</v>
      </c>
      <c r="AT20" s="772" t="str">
        <f t="shared" si="9"/>
        <v/>
      </c>
      <c r="AU20" s="774">
        <f t="shared" si="10"/>
        <v>0</v>
      </c>
      <c r="AV20" s="775" t="str">
        <f t="shared" si="11"/>
        <v/>
      </c>
      <c r="AW20" s="774" t="b">
        <f t="shared" si="12"/>
        <v>0</v>
      </c>
      <c r="AX20" s="776" t="b">
        <f t="shared" si="13"/>
        <v>1</v>
      </c>
      <c r="AY20" s="774" t="b">
        <f t="shared" si="14"/>
        <v>0</v>
      </c>
      <c r="AZ20" s="776" t="b">
        <f t="shared" si="15"/>
        <v>0</v>
      </c>
      <c r="BA20" s="768" t="b">
        <f t="shared" si="16"/>
        <v>0</v>
      </c>
      <c r="BB20" s="768" t="b">
        <f t="shared" si="17"/>
        <v>0</v>
      </c>
      <c r="BC20" s="774" t="b">
        <f t="shared" si="18"/>
        <v>0</v>
      </c>
      <c r="BD20" s="777" t="b">
        <f t="shared" si="31"/>
        <v>0</v>
      </c>
      <c r="BE20" s="776" t="b">
        <f t="shared" si="19"/>
        <v>0</v>
      </c>
      <c r="BF20" s="778" t="b">
        <f t="shared" si="20"/>
        <v>0</v>
      </c>
      <c r="BG20" s="779" t="b">
        <f t="shared" si="21"/>
        <v>1</v>
      </c>
      <c r="BH20" s="779">
        <f t="shared" si="32"/>
        <v>1</v>
      </c>
      <c r="BI20" s="779">
        <f t="shared" si="22"/>
        <v>2</v>
      </c>
      <c r="BJ20" s="779" t="str">
        <f t="shared" si="23"/>
        <v>2*</v>
      </c>
      <c r="BK20" s="779">
        <f t="shared" si="24"/>
        <v>3</v>
      </c>
      <c r="BL20" s="780">
        <f t="shared" si="33"/>
        <v>1</v>
      </c>
      <c r="BM20" s="779">
        <f t="shared" si="25"/>
        <v>2</v>
      </c>
      <c r="BN20" s="779">
        <f t="shared" si="26"/>
        <v>3</v>
      </c>
      <c r="BO20" s="791"/>
      <c r="BP20" s="782"/>
      <c r="BQ20" s="1140" t="s">
        <v>356</v>
      </c>
      <c r="BR20" s="1140"/>
      <c r="BS20" s="1140"/>
      <c r="BT20" s="1140"/>
      <c r="BU20" s="1140"/>
    </row>
    <row r="21" spans="2:75" s="731" customFormat="1" ht="12.95" customHeight="1" x14ac:dyDescent="0.25">
      <c r="B21" s="783">
        <f>IF(ISNA(Z21),"",IF(OR(Z21=1,Z21=2),"    ",MAX($B$9:B20)+1))</f>
        <v>10</v>
      </c>
      <c r="C21" s="1116" t="str">
        <f t="shared" si="0"/>
        <v xml:space="preserve">      - Eng Analysis &amp; Oper. Impact (4.2%)</v>
      </c>
      <c r="D21" s="1116"/>
      <c r="E21" s="1116"/>
      <c r="F21" s="1117"/>
      <c r="G21" s="763">
        <f t="shared" si="1"/>
        <v>1</v>
      </c>
      <c r="H21" s="764" t="str">
        <f t="shared" si="2"/>
        <v>2*</v>
      </c>
      <c r="I21" s="784">
        <f t="shared" si="2"/>
        <v>3</v>
      </c>
      <c r="J21" s="789"/>
      <c r="K21" s="786"/>
      <c r="L21" s="1134"/>
      <c r="M21" s="1135"/>
      <c r="N21" s="1135"/>
      <c r="O21" s="1135"/>
      <c r="P21" s="1135"/>
      <c r="Q21" s="1135"/>
      <c r="R21" s="1136"/>
      <c r="T21" s="727">
        <v>13</v>
      </c>
      <c r="U21" s="716" t="s">
        <v>986</v>
      </c>
      <c r="V21" s="768">
        <v>1</v>
      </c>
      <c r="W21" s="768">
        <v>0.5</v>
      </c>
      <c r="X21" s="768" t="s">
        <v>340</v>
      </c>
      <c r="Y21" s="768" t="s">
        <v>340</v>
      </c>
      <c r="Z21" s="777" t="s">
        <v>340</v>
      </c>
      <c r="AA21" s="777">
        <v>2</v>
      </c>
      <c r="AB21" s="777">
        <v>1</v>
      </c>
      <c r="AC21" s="768">
        <v>3</v>
      </c>
      <c r="AD21" s="768">
        <v>2</v>
      </c>
      <c r="AE21" s="768">
        <v>1</v>
      </c>
      <c r="AF21" s="768" t="b">
        <v>1</v>
      </c>
      <c r="AG21" s="768">
        <f t="shared" si="3"/>
        <v>2</v>
      </c>
      <c r="AH21" s="768">
        <f t="shared" si="4"/>
        <v>1</v>
      </c>
      <c r="AI21" s="769">
        <f>IF(NOT(OR(Z21=1,Z21=2)),IF(AQ21&gt;0,$AR$45*AQ21/SUMIF($AQ$9:$AQ$40,"&gt;0"),IF(AU21&gt;0,$AV$45*AU21/SUMIF($AU$9:$AU$40,"&gt;0"),IF(AS21&gt;0,$AT$45*AS21/SUMIF($AS$9:$AS$40,"&gt;0"),""))),IF(SUMIF(AJ22:$AJ$40,"=" &amp; AJ21,AI22:$AI$40)=0,"",SUMIF(AJ22:$AJ$40,"=" &amp; AJ21,AI22:$AI$40)))</f>
        <v>4.1875345471600142E-2</v>
      </c>
      <c r="AJ21" s="770">
        <f t="shared" si="34"/>
        <v>2</v>
      </c>
      <c r="AK21" s="768">
        <f t="shared" si="27"/>
        <v>2</v>
      </c>
      <c r="AL21" s="777" t="str">
        <f t="shared" si="28"/>
        <v/>
      </c>
      <c r="AM21" s="777" t="str">
        <f t="shared" si="35"/>
        <v/>
      </c>
      <c r="AN21" s="777" t="str">
        <f t="shared" si="5"/>
        <v/>
      </c>
      <c r="AO21" s="777" t="str">
        <f t="shared" si="6"/>
        <v/>
      </c>
      <c r="AP21" s="768" t="b">
        <f t="shared" si="7"/>
        <v>1</v>
      </c>
      <c r="AQ21" s="771">
        <f t="shared" si="29"/>
        <v>0.5</v>
      </c>
      <c r="AR21" s="772" t="str">
        <f t="shared" si="8"/>
        <v/>
      </c>
      <c r="AS21" s="773">
        <f t="shared" si="30"/>
        <v>0</v>
      </c>
      <c r="AT21" s="772" t="str">
        <f t="shared" si="9"/>
        <v/>
      </c>
      <c r="AU21" s="774">
        <f t="shared" si="10"/>
        <v>0</v>
      </c>
      <c r="AV21" s="775" t="str">
        <f t="shared" si="11"/>
        <v/>
      </c>
      <c r="AW21" s="774" t="b">
        <f t="shared" si="12"/>
        <v>0</v>
      </c>
      <c r="AX21" s="776" t="b">
        <f t="shared" si="13"/>
        <v>1</v>
      </c>
      <c r="AY21" s="774" t="b">
        <f t="shared" si="14"/>
        <v>0</v>
      </c>
      <c r="AZ21" s="776" t="b">
        <f t="shared" si="15"/>
        <v>0</v>
      </c>
      <c r="BA21" s="768" t="b">
        <f t="shared" si="16"/>
        <v>0</v>
      </c>
      <c r="BB21" s="768" t="b">
        <f t="shared" si="17"/>
        <v>0</v>
      </c>
      <c r="BC21" s="774" t="b">
        <f t="shared" si="18"/>
        <v>0</v>
      </c>
      <c r="BD21" s="777" t="b">
        <f t="shared" si="31"/>
        <v>0</v>
      </c>
      <c r="BE21" s="776" t="b">
        <f t="shared" si="19"/>
        <v>0</v>
      </c>
      <c r="BF21" s="778" t="b">
        <f t="shared" si="20"/>
        <v>0</v>
      </c>
      <c r="BG21" s="779" t="b">
        <f t="shared" si="21"/>
        <v>1</v>
      </c>
      <c r="BH21" s="779">
        <f t="shared" si="32"/>
        <v>1</v>
      </c>
      <c r="BI21" s="779">
        <f t="shared" si="22"/>
        <v>2</v>
      </c>
      <c r="BJ21" s="779" t="str">
        <f t="shared" si="23"/>
        <v>2*</v>
      </c>
      <c r="BK21" s="779">
        <f t="shared" si="24"/>
        <v>3</v>
      </c>
      <c r="BL21" s="780">
        <f t="shared" si="33"/>
        <v>1</v>
      </c>
      <c r="BM21" s="779">
        <f t="shared" si="25"/>
        <v>2</v>
      </c>
      <c r="BN21" s="779">
        <f t="shared" si="26"/>
        <v>3</v>
      </c>
      <c r="BO21" s="791"/>
      <c r="BP21" s="791"/>
      <c r="BQ21" s="791">
        <v>0</v>
      </c>
      <c r="BR21" s="791">
        <v>1</v>
      </c>
      <c r="BS21" s="791">
        <v>2</v>
      </c>
      <c r="BT21" s="791">
        <v>3</v>
      </c>
      <c r="BU21" s="791">
        <v>4</v>
      </c>
    </row>
    <row r="22" spans="2:75" s="731" customFormat="1" ht="12.95" customHeight="1" x14ac:dyDescent="0.25">
      <c r="B22" s="783">
        <f>IF(ISNA(Z22),"",IF(OR(Z22=1,Z22=2),"    ",MAX($B$9:B21)+1))</f>
        <v>11</v>
      </c>
      <c r="C22" s="1116" t="str">
        <f t="shared" si="0"/>
        <v xml:space="preserve">      - Conclusions &amp; Recomm. (5.0%)</v>
      </c>
      <c r="D22" s="1116"/>
      <c r="E22" s="1116"/>
      <c r="F22" s="1117"/>
      <c r="G22" s="763">
        <f t="shared" si="1"/>
        <v>1</v>
      </c>
      <c r="H22" s="764" t="str">
        <f t="shared" si="2"/>
        <v>2*</v>
      </c>
      <c r="I22" s="784">
        <f t="shared" si="2"/>
        <v>3</v>
      </c>
      <c r="J22" s="789"/>
      <c r="K22" s="786"/>
      <c r="L22" s="1134"/>
      <c r="M22" s="1135"/>
      <c r="N22" s="1135"/>
      <c r="O22" s="1135"/>
      <c r="P22" s="1135"/>
      <c r="Q22" s="1135"/>
      <c r="R22" s="1136"/>
      <c r="T22" s="727">
        <v>14</v>
      </c>
      <c r="U22" s="716" t="s">
        <v>987</v>
      </c>
      <c r="V22" s="768">
        <v>1</v>
      </c>
      <c r="W22" s="768">
        <v>0.6</v>
      </c>
      <c r="X22" s="768" t="s">
        <v>340</v>
      </c>
      <c r="Y22" s="768" t="s">
        <v>340</v>
      </c>
      <c r="Z22" s="777" t="s">
        <v>340</v>
      </c>
      <c r="AA22" s="777">
        <v>2</v>
      </c>
      <c r="AB22" s="777">
        <v>1</v>
      </c>
      <c r="AC22" s="768">
        <v>3</v>
      </c>
      <c r="AD22" s="768">
        <v>2</v>
      </c>
      <c r="AE22" s="768">
        <v>1</v>
      </c>
      <c r="AF22" s="768" t="b">
        <v>1</v>
      </c>
      <c r="AG22" s="768">
        <f t="shared" si="3"/>
        <v>2</v>
      </c>
      <c r="AH22" s="768">
        <f t="shared" si="4"/>
        <v>1</v>
      </c>
      <c r="AI22" s="769">
        <f>IF(NOT(OR(Z22=1,Z22=2)),IF(AQ22&gt;0,$AR$45*AQ22/SUMIF($AQ$9:$AQ$40,"&gt;0"),IF(AU22&gt;0,$AV$45*AU22/SUMIF($AU$9:$AU$40,"&gt;0"),IF(AS22&gt;0,$AT$45*AS22/SUMIF($AS$9:$AS$40,"&gt;0"),""))),IF(SUMIF(AJ23:$AJ$40,"=" &amp; AJ22,AI23:$AI$40)=0,"",SUMIF(AJ23:$AJ$40,"=" &amp; AJ22,AI23:$AI$40)))</f>
        <v>5.0250414565920172E-2</v>
      </c>
      <c r="AJ22" s="770">
        <f t="shared" si="34"/>
        <v>2</v>
      </c>
      <c r="AK22" s="768">
        <f t="shared" si="27"/>
        <v>2</v>
      </c>
      <c r="AL22" s="777" t="str">
        <f t="shared" si="28"/>
        <v/>
      </c>
      <c r="AM22" s="777" t="str">
        <f t="shared" si="35"/>
        <v/>
      </c>
      <c r="AN22" s="777" t="str">
        <f t="shared" si="5"/>
        <v/>
      </c>
      <c r="AO22" s="777" t="str">
        <f t="shared" si="6"/>
        <v/>
      </c>
      <c r="AP22" s="768" t="b">
        <f t="shared" si="7"/>
        <v>1</v>
      </c>
      <c r="AQ22" s="771">
        <f t="shared" si="29"/>
        <v>0.6</v>
      </c>
      <c r="AR22" s="772" t="str">
        <f t="shared" si="8"/>
        <v/>
      </c>
      <c r="AS22" s="773">
        <f t="shared" si="30"/>
        <v>0</v>
      </c>
      <c r="AT22" s="772" t="str">
        <f t="shared" si="9"/>
        <v/>
      </c>
      <c r="AU22" s="774">
        <f t="shared" si="10"/>
        <v>0</v>
      </c>
      <c r="AV22" s="775" t="str">
        <f t="shared" si="11"/>
        <v/>
      </c>
      <c r="AW22" s="774" t="b">
        <f t="shared" si="12"/>
        <v>0</v>
      </c>
      <c r="AX22" s="776" t="b">
        <f t="shared" si="13"/>
        <v>1</v>
      </c>
      <c r="AY22" s="774" t="b">
        <f t="shared" si="14"/>
        <v>0</v>
      </c>
      <c r="AZ22" s="776" t="b">
        <f t="shared" si="15"/>
        <v>0</v>
      </c>
      <c r="BA22" s="768" t="b">
        <f t="shared" si="16"/>
        <v>0</v>
      </c>
      <c r="BB22" s="768" t="b">
        <f t="shared" si="17"/>
        <v>0</v>
      </c>
      <c r="BC22" s="774" t="b">
        <f t="shared" si="18"/>
        <v>0</v>
      </c>
      <c r="BD22" s="777" t="b">
        <f t="shared" si="31"/>
        <v>0</v>
      </c>
      <c r="BE22" s="776" t="b">
        <f t="shared" si="19"/>
        <v>0</v>
      </c>
      <c r="BF22" s="778" t="b">
        <f t="shared" si="20"/>
        <v>0</v>
      </c>
      <c r="BG22" s="779" t="b">
        <f t="shared" si="21"/>
        <v>1</v>
      </c>
      <c r="BH22" s="779">
        <f t="shared" si="32"/>
        <v>1</v>
      </c>
      <c r="BI22" s="779">
        <f t="shared" si="22"/>
        <v>2</v>
      </c>
      <c r="BJ22" s="779" t="str">
        <f t="shared" si="23"/>
        <v>2*</v>
      </c>
      <c r="BK22" s="779">
        <f t="shared" si="24"/>
        <v>3</v>
      </c>
      <c r="BL22" s="780">
        <f t="shared" si="33"/>
        <v>1</v>
      </c>
      <c r="BM22" s="779">
        <f t="shared" si="25"/>
        <v>2</v>
      </c>
      <c r="BN22" s="779">
        <f t="shared" si="26"/>
        <v>3</v>
      </c>
      <c r="BO22" s="1141" t="s">
        <v>358</v>
      </c>
      <c r="BP22" s="791" t="s">
        <v>359</v>
      </c>
      <c r="BQ22" s="795">
        <f t="shared" ref="BQ22:BU30" si="36">AR51</f>
        <v>0.7</v>
      </c>
      <c r="BR22" s="796">
        <f t="shared" si="36"/>
        <v>0.9</v>
      </c>
      <c r="BS22" s="796">
        <f t="shared" si="36"/>
        <v>0.93330000000000002</v>
      </c>
      <c r="BT22" s="796">
        <f t="shared" si="36"/>
        <v>0.9667</v>
      </c>
      <c r="BU22" s="797">
        <f t="shared" si="36"/>
        <v>1</v>
      </c>
      <c r="BV22" s="798"/>
      <c r="BW22" s="711"/>
    </row>
    <row r="23" spans="2:75" s="731" customFormat="1" ht="12.95" customHeight="1" x14ac:dyDescent="0.25">
      <c r="B23" s="783" t="str">
        <f>IF(ISNA(Z23),"",IF(OR(Z23=1,Z23=2),"    ",MAX($B$9:B22)+1))</f>
        <v xml:space="preserve">    </v>
      </c>
      <c r="C23" s="1116" t="str">
        <f t="shared" si="0"/>
        <v>Content &amp; Analysis (Obj 6) (21.8%)</v>
      </c>
      <c r="D23" s="1116"/>
      <c r="E23" s="1116"/>
      <c r="F23" s="1117"/>
      <c r="G23" s="763" t="str">
        <f t="shared" si="1"/>
        <v/>
      </c>
      <c r="H23" s="764" t="str">
        <f t="shared" si="2"/>
        <v/>
      </c>
      <c r="I23" s="784" t="str">
        <f t="shared" si="2"/>
        <v/>
      </c>
      <c r="J23" s="793"/>
      <c r="K23" s="794"/>
      <c r="L23" s="1134"/>
      <c r="M23" s="1135"/>
      <c r="N23" s="1135"/>
      <c r="O23" s="1135"/>
      <c r="P23" s="1135"/>
      <c r="Q23" s="1135"/>
      <c r="R23" s="1136"/>
      <c r="T23" s="727">
        <v>15</v>
      </c>
      <c r="U23" s="716" t="s">
        <v>989</v>
      </c>
      <c r="V23" s="768" t="s">
        <v>340</v>
      </c>
      <c r="W23" s="768" t="s">
        <v>340</v>
      </c>
      <c r="X23" s="768" t="s">
        <v>340</v>
      </c>
      <c r="Y23" s="768" t="s">
        <v>340</v>
      </c>
      <c r="Z23" s="777">
        <v>2</v>
      </c>
      <c r="AA23" s="777">
        <v>1</v>
      </c>
      <c r="AB23" s="777">
        <v>1</v>
      </c>
      <c r="AC23" s="768" t="s">
        <v>340</v>
      </c>
      <c r="AD23" s="768" t="s">
        <v>340</v>
      </c>
      <c r="AE23" s="768" t="s">
        <v>340</v>
      </c>
      <c r="AF23" s="768" t="s">
        <v>340</v>
      </c>
      <c r="AG23" s="768" t="str">
        <f t="shared" si="3"/>
        <v/>
      </c>
      <c r="AH23" s="768" t="str">
        <f t="shared" si="4"/>
        <v/>
      </c>
      <c r="AI23" s="769">
        <f>IF(NOT(OR(Z23=1,Z23=2)),IF(AQ23&gt;0,$AR$45*AQ23/SUMIF($AQ$9:$AQ$40,"&gt;0"),IF(AU23&gt;0,$AV$45*AU23/SUMIF($AU$9:$AU$40,"&gt;0"),IF(AS23&gt;0,$AT$45*AS23/SUMIF($AS$9:$AS$40,"&gt;0"),""))),IF(SUMIF(AJ24:$AJ$40,"=" &amp; AJ23,AI24:$AI$40)=0,"",SUMIF(AJ24:$AJ$40,"=" &amp; AJ23,AI24:$AI$40)))</f>
        <v>0.21775179645232073</v>
      </c>
      <c r="AJ23" s="770">
        <f t="shared" si="34"/>
        <v>3</v>
      </c>
      <c r="AK23" s="768" t="str">
        <f t="shared" si="27"/>
        <v/>
      </c>
      <c r="AL23" s="777" t="str">
        <f t="shared" si="28"/>
        <v/>
      </c>
      <c r="AM23" s="777" t="str">
        <f t="shared" si="35"/>
        <v/>
      </c>
      <c r="AN23" s="777" t="str">
        <f t="shared" si="5"/>
        <v/>
      </c>
      <c r="AO23" s="777" t="str">
        <f t="shared" si="6"/>
        <v/>
      </c>
      <c r="AP23" s="768" t="str">
        <f t="shared" si="7"/>
        <v/>
      </c>
      <c r="AQ23" s="771">
        <f t="shared" si="29"/>
        <v>0</v>
      </c>
      <c r="AR23" s="772" t="str">
        <f t="shared" si="8"/>
        <v/>
      </c>
      <c r="AS23" s="773">
        <f t="shared" si="30"/>
        <v>0</v>
      </c>
      <c r="AT23" s="772" t="str">
        <f t="shared" si="9"/>
        <v/>
      </c>
      <c r="AU23" s="774">
        <f t="shared" si="10"/>
        <v>0</v>
      </c>
      <c r="AV23" s="775" t="str">
        <f t="shared" si="11"/>
        <v/>
      </c>
      <c r="AW23" s="774" t="b">
        <f t="shared" si="12"/>
        <v>0</v>
      </c>
      <c r="AX23" s="776" t="b">
        <f t="shared" si="13"/>
        <v>0</v>
      </c>
      <c r="AY23" s="774" t="b">
        <f t="shared" si="14"/>
        <v>0</v>
      </c>
      <c r="AZ23" s="776" t="b">
        <f t="shared" si="15"/>
        <v>0</v>
      </c>
      <c r="BA23" s="768" t="b">
        <f t="shared" si="16"/>
        <v>0</v>
      </c>
      <c r="BB23" s="768" t="b">
        <f t="shared" si="17"/>
        <v>0</v>
      </c>
      <c r="BC23" s="774" t="b">
        <f t="shared" si="18"/>
        <v>0</v>
      </c>
      <c r="BD23" s="777" t="b">
        <f t="shared" si="31"/>
        <v>0</v>
      </c>
      <c r="BE23" s="776" t="b">
        <f>IF(OR(ISNA($Z23),K23&lt;&gt;"D"),FALSE,IF(OR(AND(H23="NG",J23=0),AND(H23&lt;&gt;"NG",NOT(OR(J23="NA",J23=0)))),TRUE,FALSE))</f>
        <v>0</v>
      </c>
      <c r="BF23" s="778" t="b">
        <f t="shared" si="20"/>
        <v>0</v>
      </c>
      <c r="BG23" s="779" t="b">
        <f>IF(ISNA($Z23),"NA",IF(OR(AZ23,AY23,AX23,AW23,AP23,BA23,BB23),TRUE,FALSE))</f>
        <v>0</v>
      </c>
      <c r="BH23" s="779" t="str">
        <f t="shared" si="32"/>
        <v/>
      </c>
      <c r="BI23" s="779" t="str">
        <f t="shared" si="22"/>
        <v/>
      </c>
      <c r="BJ23" s="779" t="str">
        <f t="shared" si="23"/>
        <v/>
      </c>
      <c r="BK23" s="779" t="str">
        <f t="shared" si="24"/>
        <v/>
      </c>
      <c r="BL23" s="780" t="str">
        <f t="shared" si="33"/>
        <v/>
      </c>
      <c r="BM23" s="779" t="str">
        <f t="shared" si="25"/>
        <v/>
      </c>
      <c r="BN23" s="779" t="str">
        <f t="shared" si="26"/>
        <v/>
      </c>
      <c r="BO23" s="1141"/>
      <c r="BP23" s="791" t="s">
        <v>360</v>
      </c>
      <c r="BQ23" s="799">
        <f t="shared" si="36"/>
        <v>0.7</v>
      </c>
      <c r="BR23" s="800">
        <f t="shared" si="36"/>
        <v>0.8</v>
      </c>
      <c r="BS23" s="800">
        <f t="shared" si="36"/>
        <v>0.9</v>
      </c>
      <c r="BT23" s="800">
        <f t="shared" si="36"/>
        <v>0.95</v>
      </c>
      <c r="BU23" s="801">
        <f t="shared" si="36"/>
        <v>1</v>
      </c>
      <c r="BV23" s="711"/>
      <c r="BW23" s="802"/>
    </row>
    <row r="24" spans="2:75" s="731" customFormat="1" ht="12.95" customHeight="1" x14ac:dyDescent="0.25">
      <c r="B24" s="783">
        <f>IF(ISNA(Z24),"",IF(OR(Z24=1,Z24=2),"    ",MAX($B$9:B23)+1))</f>
        <v>12</v>
      </c>
      <c r="C24" s="1116" t="str">
        <f t="shared" si="0"/>
        <v xml:space="preserve">      - Test Methods and Conditions (8.4%)</v>
      </c>
      <c r="D24" s="1116"/>
      <c r="E24" s="1116"/>
      <c r="F24" s="1117"/>
      <c r="G24" s="763">
        <f t="shared" si="1"/>
        <v>1</v>
      </c>
      <c r="H24" s="764" t="str">
        <f t="shared" si="2"/>
        <v>2*</v>
      </c>
      <c r="I24" s="784">
        <f t="shared" si="2"/>
        <v>3</v>
      </c>
      <c r="J24" s="789"/>
      <c r="K24" s="786"/>
      <c r="L24" s="1134"/>
      <c r="M24" s="1135"/>
      <c r="N24" s="1135"/>
      <c r="O24" s="1135"/>
      <c r="P24" s="1135"/>
      <c r="Q24" s="1135"/>
      <c r="R24" s="1136"/>
      <c r="T24" s="727">
        <v>16</v>
      </c>
      <c r="U24" s="716" t="s">
        <v>984</v>
      </c>
      <c r="V24" s="768">
        <v>1</v>
      </c>
      <c r="W24" s="768">
        <v>1</v>
      </c>
      <c r="X24" s="768" t="s">
        <v>340</v>
      </c>
      <c r="Y24" s="768" t="s">
        <v>340</v>
      </c>
      <c r="Z24" s="777" t="s">
        <v>340</v>
      </c>
      <c r="AA24" s="777">
        <v>2</v>
      </c>
      <c r="AB24" s="777">
        <v>1</v>
      </c>
      <c r="AC24" s="768">
        <v>3</v>
      </c>
      <c r="AD24" s="768">
        <v>2</v>
      </c>
      <c r="AE24" s="768">
        <v>1</v>
      </c>
      <c r="AF24" s="768" t="b">
        <v>1</v>
      </c>
      <c r="AG24" s="768">
        <f t="shared" si="3"/>
        <v>2</v>
      </c>
      <c r="AH24" s="768">
        <f t="shared" si="4"/>
        <v>1</v>
      </c>
      <c r="AI24" s="769">
        <f>IF(NOT(OR(Z24=1,Z24=2)),IF(AQ24&gt;0,$AR$45*AQ24/SUMIF($AQ$9:$AQ$40,"&gt;0"),IF(AU24&gt;0,$AV$45*AU24/SUMIF($AU$9:$AU$40,"&gt;0"),IF(AS24&gt;0,$AT$45*AS24/SUMIF($AS$9:$AS$40,"&gt;0"),""))),IF(SUMIF(AJ25:$AJ$40,"=" &amp; AJ24,AI25:$AI$40)=0,"",SUMIF(AJ25:$AJ$40,"=" &amp; AJ24,AI25:$AI$40)))</f>
        <v>8.3750690943200284E-2</v>
      </c>
      <c r="AJ24" s="770">
        <f t="shared" si="34"/>
        <v>3</v>
      </c>
      <c r="AK24" s="768">
        <f t="shared" si="27"/>
        <v>2</v>
      </c>
      <c r="AL24" s="777" t="str">
        <f t="shared" si="28"/>
        <v/>
      </c>
      <c r="AM24" s="777" t="str">
        <f t="shared" si="35"/>
        <v/>
      </c>
      <c r="AN24" s="777" t="str">
        <f t="shared" si="5"/>
        <v/>
      </c>
      <c r="AO24" s="777" t="str">
        <f t="shared" si="6"/>
        <v/>
      </c>
      <c r="AP24" s="768" t="b">
        <f t="shared" si="7"/>
        <v>1</v>
      </c>
      <c r="AQ24" s="771">
        <f t="shared" si="29"/>
        <v>1</v>
      </c>
      <c r="AR24" s="772" t="str">
        <f t="shared" si="8"/>
        <v/>
      </c>
      <c r="AS24" s="773">
        <f t="shared" si="30"/>
        <v>0</v>
      </c>
      <c r="AT24" s="772" t="str">
        <f t="shared" si="9"/>
        <v/>
      </c>
      <c r="AU24" s="774">
        <f t="shared" si="10"/>
        <v>0</v>
      </c>
      <c r="AV24" s="775" t="str">
        <f t="shared" si="11"/>
        <v/>
      </c>
      <c r="AW24" s="774" t="b">
        <f t="shared" si="12"/>
        <v>0</v>
      </c>
      <c r="AX24" s="776" t="b">
        <f t="shared" si="13"/>
        <v>1</v>
      </c>
      <c r="AY24" s="774" t="b">
        <f t="shared" si="14"/>
        <v>0</v>
      </c>
      <c r="AZ24" s="776" t="b">
        <f t="shared" si="15"/>
        <v>0</v>
      </c>
      <c r="BA24" s="768" t="b">
        <f t="shared" si="16"/>
        <v>0</v>
      </c>
      <c r="BB24" s="768" t="b">
        <f t="shared" si="17"/>
        <v>0</v>
      </c>
      <c r="BC24" s="774" t="b">
        <f t="shared" si="18"/>
        <v>0</v>
      </c>
      <c r="BD24" s="777" t="b">
        <f t="shared" si="31"/>
        <v>0</v>
      </c>
      <c r="BE24" s="776" t="b">
        <f t="shared" ref="BE24:BE40" si="37">IF(OR(ISNA($Z24),K24&lt;&gt;"D"),FALSE,IF(OR(AND(H24="NG",J24=0),AND(H24&lt;&gt;"NG",NOT(OR(J24="NA",J24=0)))),TRUE,FALSE))</f>
        <v>0</v>
      </c>
      <c r="BF24" s="778" t="b">
        <f t="shared" si="20"/>
        <v>0</v>
      </c>
      <c r="BG24" s="779" t="b">
        <f t="shared" ref="BG24:BG40" si="38">IF(ISNA($Z24),"NA",IF(OR(AZ24,AY24,AX24,AW24,AP24,BA24,BB24),TRUE,FALSE))</f>
        <v>1</v>
      </c>
      <c r="BH24" s="779">
        <f t="shared" si="32"/>
        <v>1</v>
      </c>
      <c r="BI24" s="779">
        <f t="shared" si="22"/>
        <v>2</v>
      </c>
      <c r="BJ24" s="779" t="str">
        <f t="shared" si="23"/>
        <v>2*</v>
      </c>
      <c r="BK24" s="779">
        <f t="shared" si="24"/>
        <v>3</v>
      </c>
      <c r="BL24" s="780">
        <f t="shared" si="33"/>
        <v>1</v>
      </c>
      <c r="BM24" s="779">
        <f t="shared" si="25"/>
        <v>2</v>
      </c>
      <c r="BN24" s="779">
        <f t="shared" si="26"/>
        <v>3</v>
      </c>
      <c r="BO24" s="1141"/>
      <c r="BP24" s="791" t="s">
        <v>361</v>
      </c>
      <c r="BQ24" s="799">
        <f t="shared" si="36"/>
        <v>0.7</v>
      </c>
      <c r="BR24" s="800">
        <f t="shared" si="36"/>
        <v>0.76670000000000005</v>
      </c>
      <c r="BS24" s="800">
        <f t="shared" si="36"/>
        <v>0.83330000000000004</v>
      </c>
      <c r="BT24" s="800">
        <f t="shared" si="36"/>
        <v>0.9</v>
      </c>
      <c r="BU24" s="801">
        <f t="shared" si="36"/>
        <v>1</v>
      </c>
      <c r="BV24" s="711"/>
      <c r="BW24" s="802"/>
    </row>
    <row r="25" spans="2:75" s="731" customFormat="1" ht="12.95" customHeight="1" x14ac:dyDescent="0.25">
      <c r="B25" s="783">
        <f>IF(ISNA(Z25),"",IF(OR(Z25=1,Z25=2),"    ",MAX($B$9:B24)+1))</f>
        <v>13</v>
      </c>
      <c r="C25" s="1116" t="str">
        <f t="shared" si="0"/>
        <v xml:space="preserve">      - Objective Results (4.2%)</v>
      </c>
      <c r="D25" s="1116"/>
      <c r="E25" s="1116"/>
      <c r="F25" s="1117"/>
      <c r="G25" s="763">
        <f t="shared" si="1"/>
        <v>1</v>
      </c>
      <c r="H25" s="764" t="str">
        <f t="shared" si="2"/>
        <v>2*</v>
      </c>
      <c r="I25" s="784">
        <f t="shared" si="2"/>
        <v>3</v>
      </c>
      <c r="J25" s="789"/>
      <c r="K25" s="786"/>
      <c r="L25" s="1134"/>
      <c r="M25" s="1135"/>
      <c r="N25" s="1135"/>
      <c r="O25" s="1135"/>
      <c r="P25" s="1135"/>
      <c r="Q25" s="1135"/>
      <c r="R25" s="1136"/>
      <c r="T25" s="727">
        <v>17</v>
      </c>
      <c r="U25" s="716" t="s">
        <v>985</v>
      </c>
      <c r="V25" s="768">
        <v>1</v>
      </c>
      <c r="W25" s="768">
        <v>0.5</v>
      </c>
      <c r="X25" s="768" t="s">
        <v>340</v>
      </c>
      <c r="Y25" s="768" t="s">
        <v>340</v>
      </c>
      <c r="Z25" s="777" t="s">
        <v>340</v>
      </c>
      <c r="AA25" s="777">
        <v>2</v>
      </c>
      <c r="AB25" s="777">
        <v>1</v>
      </c>
      <c r="AC25" s="768">
        <v>3</v>
      </c>
      <c r="AD25" s="768">
        <v>2</v>
      </c>
      <c r="AE25" s="768">
        <v>1</v>
      </c>
      <c r="AF25" s="768" t="b">
        <v>1</v>
      </c>
      <c r="AG25" s="768">
        <f t="shared" si="3"/>
        <v>2</v>
      </c>
      <c r="AH25" s="768">
        <f t="shared" si="4"/>
        <v>1</v>
      </c>
      <c r="AI25" s="769">
        <f>IF(NOT(OR(Z25=1,Z25=2)),IF(AQ25&gt;0,$AR$45*AQ25/SUMIF($AQ$9:$AQ$40,"&gt;0"),IF(AU25&gt;0,$AV$45*AU25/SUMIF($AU$9:$AU$40,"&gt;0"),IF(AS25&gt;0,$AT$45*AS25/SUMIF($AS$9:$AS$40,"&gt;0"),""))),IF(SUMIF(AJ26:$AJ$40,"=" &amp; AJ25,AI26:$AI$40)=0,"",SUMIF(AJ26:$AJ$40,"=" &amp; AJ25,AI26:$AI$40)))</f>
        <v>4.1875345471600142E-2</v>
      </c>
      <c r="AJ25" s="770">
        <f t="shared" si="34"/>
        <v>3</v>
      </c>
      <c r="AK25" s="768">
        <f t="shared" si="27"/>
        <v>2</v>
      </c>
      <c r="AL25" s="777" t="str">
        <f t="shared" si="28"/>
        <v/>
      </c>
      <c r="AM25" s="777" t="str">
        <f t="shared" si="35"/>
        <v/>
      </c>
      <c r="AN25" s="777" t="str">
        <f t="shared" si="5"/>
        <v/>
      </c>
      <c r="AO25" s="777" t="str">
        <f t="shared" si="6"/>
        <v/>
      </c>
      <c r="AP25" s="768" t="b">
        <f t="shared" si="7"/>
        <v>1</v>
      </c>
      <c r="AQ25" s="771">
        <f t="shared" si="29"/>
        <v>0.5</v>
      </c>
      <c r="AR25" s="772" t="str">
        <f t="shared" si="8"/>
        <v/>
      </c>
      <c r="AS25" s="773">
        <f t="shared" si="30"/>
        <v>0</v>
      </c>
      <c r="AT25" s="772" t="str">
        <f t="shared" si="9"/>
        <v/>
      </c>
      <c r="AU25" s="774">
        <f t="shared" si="10"/>
        <v>0</v>
      </c>
      <c r="AV25" s="775" t="str">
        <f t="shared" si="11"/>
        <v/>
      </c>
      <c r="AW25" s="774" t="b">
        <f t="shared" si="12"/>
        <v>0</v>
      </c>
      <c r="AX25" s="776" t="b">
        <f t="shared" si="13"/>
        <v>1</v>
      </c>
      <c r="AY25" s="774" t="b">
        <f t="shared" si="14"/>
        <v>0</v>
      </c>
      <c r="AZ25" s="776" t="b">
        <f t="shared" si="15"/>
        <v>0</v>
      </c>
      <c r="BA25" s="768" t="b">
        <f t="shared" si="16"/>
        <v>0</v>
      </c>
      <c r="BB25" s="768" t="b">
        <f t="shared" si="17"/>
        <v>0</v>
      </c>
      <c r="BC25" s="774" t="b">
        <f t="shared" si="18"/>
        <v>0</v>
      </c>
      <c r="BD25" s="777" t="b">
        <f t="shared" si="31"/>
        <v>0</v>
      </c>
      <c r="BE25" s="776" t="b">
        <f t="shared" si="37"/>
        <v>0</v>
      </c>
      <c r="BF25" s="778" t="b">
        <f t="shared" si="20"/>
        <v>0</v>
      </c>
      <c r="BG25" s="779" t="b">
        <f t="shared" si="38"/>
        <v>1</v>
      </c>
      <c r="BH25" s="779">
        <f t="shared" si="32"/>
        <v>1</v>
      </c>
      <c r="BI25" s="779">
        <f t="shared" si="22"/>
        <v>2</v>
      </c>
      <c r="BJ25" s="779" t="str">
        <f t="shared" si="23"/>
        <v>2*</v>
      </c>
      <c r="BK25" s="779">
        <f t="shared" si="24"/>
        <v>3</v>
      </c>
      <c r="BL25" s="780">
        <f t="shared" si="33"/>
        <v>1</v>
      </c>
      <c r="BM25" s="779">
        <f t="shared" si="25"/>
        <v>2</v>
      </c>
      <c r="BN25" s="779">
        <f t="shared" si="26"/>
        <v>3</v>
      </c>
      <c r="BO25" s="1141"/>
      <c r="BP25" s="791" t="s">
        <v>362</v>
      </c>
      <c r="BQ25" s="799">
        <f t="shared" si="36"/>
        <v>0.6</v>
      </c>
      <c r="BR25" s="800">
        <f t="shared" si="36"/>
        <v>0.9</v>
      </c>
      <c r="BS25" s="800">
        <f t="shared" si="36"/>
        <v>0.93330000000000002</v>
      </c>
      <c r="BT25" s="800">
        <f t="shared" si="36"/>
        <v>0.9667</v>
      </c>
      <c r="BU25" s="801">
        <f t="shared" si="36"/>
        <v>1</v>
      </c>
      <c r="BV25" s="711"/>
      <c r="BW25" s="802"/>
    </row>
    <row r="26" spans="2:75" s="731" customFormat="1" ht="12.95" customHeight="1" x14ac:dyDescent="0.25">
      <c r="B26" s="783">
        <f>IF(ISNA(Z26),"",IF(OR(Z26=1,Z26=2),"    ",MAX($B$9:B25)+1))</f>
        <v>14</v>
      </c>
      <c r="C26" s="1116" t="str">
        <f t="shared" si="0"/>
        <v xml:space="preserve">      - Eng Analysis &amp; Oper. Impact (4.2%)</v>
      </c>
      <c r="D26" s="1116"/>
      <c r="E26" s="1116"/>
      <c r="F26" s="1117"/>
      <c r="G26" s="763">
        <f t="shared" si="1"/>
        <v>1</v>
      </c>
      <c r="H26" s="764" t="str">
        <f t="shared" si="2"/>
        <v>2*</v>
      </c>
      <c r="I26" s="784">
        <f t="shared" si="2"/>
        <v>3</v>
      </c>
      <c r="J26" s="789"/>
      <c r="K26" s="786"/>
      <c r="L26" s="1134"/>
      <c r="M26" s="1135"/>
      <c r="N26" s="1135"/>
      <c r="O26" s="1135"/>
      <c r="P26" s="1135"/>
      <c r="Q26" s="1135"/>
      <c r="R26" s="1136"/>
      <c r="T26" s="727">
        <v>18</v>
      </c>
      <c r="U26" s="716" t="s">
        <v>986</v>
      </c>
      <c r="V26" s="768">
        <v>1</v>
      </c>
      <c r="W26" s="768">
        <v>0.5</v>
      </c>
      <c r="X26" s="768" t="s">
        <v>340</v>
      </c>
      <c r="Y26" s="768" t="s">
        <v>340</v>
      </c>
      <c r="Z26" s="777" t="s">
        <v>340</v>
      </c>
      <c r="AA26" s="777">
        <v>2</v>
      </c>
      <c r="AB26" s="777">
        <v>1</v>
      </c>
      <c r="AC26" s="768">
        <v>3</v>
      </c>
      <c r="AD26" s="768">
        <v>2</v>
      </c>
      <c r="AE26" s="768">
        <v>1</v>
      </c>
      <c r="AF26" s="768" t="b">
        <v>1</v>
      </c>
      <c r="AG26" s="768">
        <f t="shared" si="3"/>
        <v>2</v>
      </c>
      <c r="AH26" s="768">
        <f t="shared" si="4"/>
        <v>1</v>
      </c>
      <c r="AI26" s="769">
        <f>IF(NOT(OR(Z26=1,Z26=2)),IF(AQ26&gt;0,$AR$45*AQ26/SUMIF($AQ$9:$AQ$40,"&gt;0"),IF(AU26&gt;0,$AV$45*AU26/SUMIF($AU$9:$AU$40,"&gt;0"),IF(AS26&gt;0,$AT$45*AS26/SUMIF($AS$9:$AS$40,"&gt;0"),""))),IF(SUMIF(AJ27:$AJ$40,"=" &amp; AJ26,AI27:$AI$40)=0,"",SUMIF(AJ27:$AJ$40,"=" &amp; AJ26,AI27:$AI$40)))</f>
        <v>4.1875345471600142E-2</v>
      </c>
      <c r="AJ26" s="770">
        <f t="shared" si="34"/>
        <v>3</v>
      </c>
      <c r="AK26" s="768">
        <f t="shared" si="27"/>
        <v>2</v>
      </c>
      <c r="AL26" s="777" t="str">
        <f t="shared" si="28"/>
        <v/>
      </c>
      <c r="AM26" s="777" t="str">
        <f t="shared" si="35"/>
        <v/>
      </c>
      <c r="AN26" s="777" t="str">
        <f t="shared" si="5"/>
        <v/>
      </c>
      <c r="AO26" s="777" t="str">
        <f t="shared" si="6"/>
        <v/>
      </c>
      <c r="AP26" s="768" t="b">
        <f t="shared" si="7"/>
        <v>1</v>
      </c>
      <c r="AQ26" s="771">
        <f t="shared" si="29"/>
        <v>0.5</v>
      </c>
      <c r="AR26" s="772" t="str">
        <f t="shared" si="8"/>
        <v/>
      </c>
      <c r="AS26" s="773">
        <f t="shared" si="30"/>
        <v>0</v>
      </c>
      <c r="AT26" s="772" t="str">
        <f t="shared" si="9"/>
        <v/>
      </c>
      <c r="AU26" s="774">
        <f t="shared" si="10"/>
        <v>0</v>
      </c>
      <c r="AV26" s="775" t="str">
        <f t="shared" si="11"/>
        <v/>
      </c>
      <c r="AW26" s="774" t="b">
        <f t="shared" si="12"/>
        <v>0</v>
      </c>
      <c r="AX26" s="776" t="b">
        <f t="shared" si="13"/>
        <v>1</v>
      </c>
      <c r="AY26" s="774" t="b">
        <f t="shared" si="14"/>
        <v>0</v>
      </c>
      <c r="AZ26" s="776" t="b">
        <f t="shared" si="15"/>
        <v>0</v>
      </c>
      <c r="BA26" s="768" t="b">
        <f t="shared" si="16"/>
        <v>0</v>
      </c>
      <c r="BB26" s="768" t="b">
        <f t="shared" si="17"/>
        <v>0</v>
      </c>
      <c r="BC26" s="774" t="b">
        <f t="shared" si="18"/>
        <v>0</v>
      </c>
      <c r="BD26" s="777" t="b">
        <f t="shared" si="31"/>
        <v>0</v>
      </c>
      <c r="BE26" s="776" t="b">
        <f t="shared" si="37"/>
        <v>0</v>
      </c>
      <c r="BF26" s="778" t="b">
        <f t="shared" si="20"/>
        <v>0</v>
      </c>
      <c r="BG26" s="779" t="b">
        <f t="shared" si="38"/>
        <v>1</v>
      </c>
      <c r="BH26" s="779">
        <f t="shared" si="32"/>
        <v>1</v>
      </c>
      <c r="BI26" s="779">
        <f t="shared" si="22"/>
        <v>2</v>
      </c>
      <c r="BJ26" s="779" t="str">
        <f t="shared" si="23"/>
        <v>2*</v>
      </c>
      <c r="BK26" s="779">
        <f t="shared" si="24"/>
        <v>3</v>
      </c>
      <c r="BL26" s="780">
        <f t="shared" si="33"/>
        <v>1</v>
      </c>
      <c r="BM26" s="779">
        <f t="shared" si="25"/>
        <v>2</v>
      </c>
      <c r="BN26" s="779">
        <f t="shared" si="26"/>
        <v>3</v>
      </c>
      <c r="BO26" s="1141"/>
      <c r="BP26" s="791" t="s">
        <v>363</v>
      </c>
      <c r="BQ26" s="799">
        <f t="shared" si="36"/>
        <v>0.6</v>
      </c>
      <c r="BR26" s="800">
        <f t="shared" si="36"/>
        <v>0.7</v>
      </c>
      <c r="BS26" s="800">
        <f t="shared" si="36"/>
        <v>0.9</v>
      </c>
      <c r="BT26" s="800">
        <f t="shared" si="36"/>
        <v>0.95</v>
      </c>
      <c r="BU26" s="801">
        <f t="shared" si="36"/>
        <v>1</v>
      </c>
      <c r="BV26" s="711"/>
      <c r="BW26" s="802"/>
    </row>
    <row r="27" spans="2:75" s="731" customFormat="1" ht="12.95" customHeight="1" x14ac:dyDescent="0.25">
      <c r="B27" s="783">
        <f>IF(ISNA(Z27),"",IF(OR(Z27=1,Z27=2),"    ",MAX($B$9:B26)+1))</f>
        <v>15</v>
      </c>
      <c r="C27" s="1116" t="str">
        <f t="shared" si="0"/>
        <v xml:space="preserve">      - Conclusions &amp; Recomm. (5.0%)</v>
      </c>
      <c r="D27" s="1116"/>
      <c r="E27" s="1116"/>
      <c r="F27" s="1117"/>
      <c r="G27" s="763">
        <f t="shared" si="1"/>
        <v>1</v>
      </c>
      <c r="H27" s="764" t="str">
        <f t="shared" si="2"/>
        <v>2*</v>
      </c>
      <c r="I27" s="784">
        <f t="shared" si="2"/>
        <v>3</v>
      </c>
      <c r="J27" s="789"/>
      <c r="K27" s="786"/>
      <c r="L27" s="1134"/>
      <c r="M27" s="1135"/>
      <c r="N27" s="1135"/>
      <c r="O27" s="1135"/>
      <c r="P27" s="1135"/>
      <c r="Q27" s="1135"/>
      <c r="R27" s="1136"/>
      <c r="T27" s="727">
        <v>19</v>
      </c>
      <c r="U27" s="716" t="s">
        <v>987</v>
      </c>
      <c r="V27" s="768">
        <v>1</v>
      </c>
      <c r="W27" s="768">
        <v>0.6</v>
      </c>
      <c r="X27" s="768" t="s">
        <v>340</v>
      </c>
      <c r="Y27" s="768" t="s">
        <v>340</v>
      </c>
      <c r="Z27" s="777" t="s">
        <v>340</v>
      </c>
      <c r="AA27" s="777">
        <v>2</v>
      </c>
      <c r="AB27" s="777">
        <v>1</v>
      </c>
      <c r="AC27" s="768">
        <v>3</v>
      </c>
      <c r="AD27" s="768">
        <v>2</v>
      </c>
      <c r="AE27" s="768">
        <v>1</v>
      </c>
      <c r="AF27" s="768" t="b">
        <v>1</v>
      </c>
      <c r="AG27" s="768">
        <f t="shared" si="3"/>
        <v>2</v>
      </c>
      <c r="AH27" s="768">
        <f t="shared" si="4"/>
        <v>1</v>
      </c>
      <c r="AI27" s="769">
        <f>IF(NOT(OR(Z27=1,Z27=2)),IF(AQ27&gt;0,$AR$45*AQ27/SUMIF($AQ$9:$AQ$40,"&gt;0"),IF(AU27&gt;0,$AV$45*AU27/SUMIF($AU$9:$AU$40,"&gt;0"),IF(AS27&gt;0,$AT$45*AS27/SUMIF($AS$9:$AS$40,"&gt;0"),""))),IF(SUMIF(AJ28:$AJ$40,"=" &amp; AJ27,AI28:$AI$40)=0,"",SUMIF(AJ28:$AJ$40,"=" &amp; AJ27,AI28:$AI$40)))</f>
        <v>5.0250414565920172E-2</v>
      </c>
      <c r="AJ27" s="770">
        <f t="shared" si="34"/>
        <v>3</v>
      </c>
      <c r="AK27" s="768">
        <f t="shared" si="27"/>
        <v>2</v>
      </c>
      <c r="AL27" s="777" t="str">
        <f t="shared" si="28"/>
        <v/>
      </c>
      <c r="AM27" s="777" t="str">
        <f t="shared" si="35"/>
        <v/>
      </c>
      <c r="AN27" s="777" t="str">
        <f t="shared" si="5"/>
        <v/>
      </c>
      <c r="AO27" s="777" t="str">
        <f t="shared" si="6"/>
        <v/>
      </c>
      <c r="AP27" s="768" t="b">
        <f t="shared" si="7"/>
        <v>1</v>
      </c>
      <c r="AQ27" s="771">
        <f t="shared" si="29"/>
        <v>0.6</v>
      </c>
      <c r="AR27" s="772" t="str">
        <f t="shared" si="8"/>
        <v/>
      </c>
      <c r="AS27" s="773">
        <f t="shared" si="30"/>
        <v>0</v>
      </c>
      <c r="AT27" s="772" t="str">
        <f t="shared" si="9"/>
        <v/>
      </c>
      <c r="AU27" s="774">
        <f t="shared" si="10"/>
        <v>0</v>
      </c>
      <c r="AV27" s="775" t="str">
        <f t="shared" si="11"/>
        <v/>
      </c>
      <c r="AW27" s="774" t="b">
        <f t="shared" si="12"/>
        <v>0</v>
      </c>
      <c r="AX27" s="776" t="b">
        <f t="shared" si="13"/>
        <v>1</v>
      </c>
      <c r="AY27" s="774" t="b">
        <f t="shared" si="14"/>
        <v>0</v>
      </c>
      <c r="AZ27" s="776" t="b">
        <f t="shared" si="15"/>
        <v>0</v>
      </c>
      <c r="BA27" s="768" t="b">
        <f t="shared" si="16"/>
        <v>0</v>
      </c>
      <c r="BB27" s="768" t="b">
        <f t="shared" si="17"/>
        <v>0</v>
      </c>
      <c r="BC27" s="774" t="b">
        <f t="shared" si="18"/>
        <v>0</v>
      </c>
      <c r="BD27" s="777" t="b">
        <f t="shared" si="31"/>
        <v>0</v>
      </c>
      <c r="BE27" s="776" t="b">
        <f t="shared" si="37"/>
        <v>0</v>
      </c>
      <c r="BF27" s="778" t="b">
        <f t="shared" si="20"/>
        <v>0</v>
      </c>
      <c r="BG27" s="779" t="b">
        <f t="shared" si="38"/>
        <v>1</v>
      </c>
      <c r="BH27" s="779">
        <f t="shared" si="32"/>
        <v>1</v>
      </c>
      <c r="BI27" s="779">
        <f t="shared" si="22"/>
        <v>2</v>
      </c>
      <c r="BJ27" s="779" t="str">
        <f t="shared" si="23"/>
        <v>2*</v>
      </c>
      <c r="BK27" s="779">
        <f t="shared" si="24"/>
        <v>3</v>
      </c>
      <c r="BL27" s="780">
        <f t="shared" si="33"/>
        <v>1</v>
      </c>
      <c r="BM27" s="779">
        <f t="shared" si="25"/>
        <v>2</v>
      </c>
      <c r="BN27" s="779">
        <f t="shared" si="26"/>
        <v>3</v>
      </c>
      <c r="BO27" s="1141"/>
      <c r="BP27" s="791" t="s">
        <v>364</v>
      </c>
      <c r="BQ27" s="799">
        <f t="shared" si="36"/>
        <v>0.6</v>
      </c>
      <c r="BR27" s="800">
        <f t="shared" si="36"/>
        <v>0.7</v>
      </c>
      <c r="BS27" s="800">
        <f t="shared" si="36"/>
        <v>0.8</v>
      </c>
      <c r="BT27" s="800">
        <f t="shared" si="36"/>
        <v>0.9</v>
      </c>
      <c r="BU27" s="801">
        <f t="shared" si="36"/>
        <v>1</v>
      </c>
    </row>
    <row r="28" spans="2:75" s="731" customFormat="1" ht="12.95" customHeight="1" x14ac:dyDescent="0.25">
      <c r="B28" s="783" t="str">
        <f>IF(ISNA(Z28),"",IF(OR(Z28=1,Z28=2),"    ",MAX($B$9:B27)+1))</f>
        <v xml:space="preserve">    </v>
      </c>
      <c r="C28" s="1116" t="str">
        <f t="shared" si="0"/>
        <v>Clarity &amp; Precision (Mechanics) (11.5%)</v>
      </c>
      <c r="D28" s="1116"/>
      <c r="E28" s="1116"/>
      <c r="F28" s="1117"/>
      <c r="G28" s="763" t="str">
        <f t="shared" si="1"/>
        <v/>
      </c>
      <c r="H28" s="764" t="str">
        <f t="shared" si="2"/>
        <v/>
      </c>
      <c r="I28" s="784" t="str">
        <f t="shared" si="2"/>
        <v/>
      </c>
      <c r="J28" s="793"/>
      <c r="K28" s="794"/>
      <c r="L28" s="1134"/>
      <c r="M28" s="1135"/>
      <c r="N28" s="1135"/>
      <c r="O28" s="1135"/>
      <c r="P28" s="1135"/>
      <c r="Q28" s="1135"/>
      <c r="R28" s="1136"/>
      <c r="T28" s="727">
        <v>20</v>
      </c>
      <c r="U28" s="716" t="s">
        <v>970</v>
      </c>
      <c r="V28" s="768" t="s">
        <v>340</v>
      </c>
      <c r="W28" s="768" t="s">
        <v>340</v>
      </c>
      <c r="X28" s="768" t="s">
        <v>340</v>
      </c>
      <c r="Y28" s="768" t="s">
        <v>340</v>
      </c>
      <c r="Z28" s="777">
        <v>2</v>
      </c>
      <c r="AA28" s="777">
        <v>1</v>
      </c>
      <c r="AB28" s="777">
        <v>1</v>
      </c>
      <c r="AC28" s="768" t="s">
        <v>340</v>
      </c>
      <c r="AD28" s="768" t="s">
        <v>340</v>
      </c>
      <c r="AE28" s="768" t="s">
        <v>340</v>
      </c>
      <c r="AF28" s="768" t="s">
        <v>340</v>
      </c>
      <c r="AG28" s="768" t="str">
        <f t="shared" si="3"/>
        <v/>
      </c>
      <c r="AH28" s="768" t="str">
        <f t="shared" si="4"/>
        <v/>
      </c>
      <c r="AI28" s="769">
        <f>IF(NOT(OR(Z28=1,Z28=2)),IF(AQ28&gt;0,$AR$45*AQ28/SUMIF($AQ$9:$AQ$40,"&gt;0"),IF(AU28&gt;0,$AV$45*AU28/SUMIF($AU$9:$AU$40,"&gt;0"),IF(AS28&gt;0,$AT$45*AS28/SUMIF($AS$9:$AS$40,"&gt;0"),""))),IF(SUMIF(AJ29:$AJ$40,"=" &amp; AJ28,AI29:$AI$40)=0,"",SUMIF(AJ29:$AJ$40,"=" &amp; AJ28,AI29:$AI$40)))</f>
        <v>0.1151572000469004</v>
      </c>
      <c r="AJ28" s="770">
        <f t="shared" si="34"/>
        <v>4</v>
      </c>
      <c r="AK28" s="768" t="str">
        <f t="shared" si="27"/>
        <v/>
      </c>
      <c r="AL28" s="777" t="str">
        <f t="shared" si="28"/>
        <v/>
      </c>
      <c r="AM28" s="777" t="str">
        <f t="shared" si="35"/>
        <v/>
      </c>
      <c r="AN28" s="777" t="str">
        <f t="shared" si="5"/>
        <v/>
      </c>
      <c r="AO28" s="777" t="str">
        <f t="shared" si="6"/>
        <v/>
      </c>
      <c r="AP28" s="768" t="str">
        <f t="shared" si="7"/>
        <v/>
      </c>
      <c r="AQ28" s="771">
        <f t="shared" si="29"/>
        <v>0</v>
      </c>
      <c r="AR28" s="772" t="str">
        <f t="shared" si="8"/>
        <v/>
      </c>
      <c r="AS28" s="773">
        <f t="shared" si="30"/>
        <v>0</v>
      </c>
      <c r="AT28" s="772" t="str">
        <f t="shared" si="9"/>
        <v/>
      </c>
      <c r="AU28" s="774">
        <f t="shared" si="10"/>
        <v>0</v>
      </c>
      <c r="AV28" s="775" t="str">
        <f t="shared" si="11"/>
        <v/>
      </c>
      <c r="AW28" s="774" t="b">
        <f t="shared" si="12"/>
        <v>0</v>
      </c>
      <c r="AX28" s="776" t="b">
        <f t="shared" si="13"/>
        <v>0</v>
      </c>
      <c r="AY28" s="774" t="b">
        <f t="shared" si="14"/>
        <v>0</v>
      </c>
      <c r="AZ28" s="776" t="b">
        <f t="shared" si="15"/>
        <v>0</v>
      </c>
      <c r="BA28" s="768" t="b">
        <f t="shared" si="16"/>
        <v>0</v>
      </c>
      <c r="BB28" s="768" t="b">
        <f t="shared" si="17"/>
        <v>0</v>
      </c>
      <c r="BC28" s="774" t="b">
        <f t="shared" si="18"/>
        <v>0</v>
      </c>
      <c r="BD28" s="777" t="b">
        <f t="shared" si="31"/>
        <v>0</v>
      </c>
      <c r="BE28" s="776" t="b">
        <f t="shared" si="37"/>
        <v>0</v>
      </c>
      <c r="BF28" s="778" t="b">
        <f t="shared" si="20"/>
        <v>0</v>
      </c>
      <c r="BG28" s="779" t="b">
        <f t="shared" si="38"/>
        <v>0</v>
      </c>
      <c r="BH28" s="779" t="str">
        <f t="shared" si="32"/>
        <v/>
      </c>
      <c r="BI28" s="779" t="str">
        <f t="shared" si="22"/>
        <v/>
      </c>
      <c r="BJ28" s="779" t="str">
        <f t="shared" si="23"/>
        <v/>
      </c>
      <c r="BK28" s="779" t="str">
        <f t="shared" si="24"/>
        <v/>
      </c>
      <c r="BL28" s="780" t="str">
        <f t="shared" si="33"/>
        <v/>
      </c>
      <c r="BM28" s="779" t="str">
        <f t="shared" si="25"/>
        <v/>
      </c>
      <c r="BN28" s="779" t="str">
        <f t="shared" si="26"/>
        <v/>
      </c>
      <c r="BO28" s="1141"/>
      <c r="BP28" s="791" t="s">
        <v>365</v>
      </c>
      <c r="BQ28" s="799">
        <f t="shared" si="36"/>
        <v>0.3</v>
      </c>
      <c r="BR28" s="800">
        <f t="shared" si="36"/>
        <v>0.6</v>
      </c>
      <c r="BS28" s="800">
        <f t="shared" si="36"/>
        <v>0.9</v>
      </c>
      <c r="BT28" s="800">
        <f t="shared" si="36"/>
        <v>0.95</v>
      </c>
      <c r="BU28" s="801">
        <f t="shared" si="36"/>
        <v>1</v>
      </c>
    </row>
    <row r="29" spans="2:75" s="731" customFormat="1" ht="12.95" customHeight="1" x14ac:dyDescent="0.25">
      <c r="B29" s="783">
        <f>IF(ISNA(Z29),"",IF(OR(Z29=1,Z29=2),"    ",MAX($B$9:B28)+1))</f>
        <v>16</v>
      </c>
      <c r="C29" s="1116" t="str">
        <f t="shared" si="0"/>
        <v xml:space="preserve">      - Grammar &amp; Syntax (3.1%)</v>
      </c>
      <c r="D29" s="1116"/>
      <c r="E29" s="1116"/>
      <c r="F29" s="1117"/>
      <c r="G29" s="763">
        <f t="shared" si="1"/>
        <v>1</v>
      </c>
      <c r="H29" s="764" t="str">
        <f t="shared" si="2"/>
        <v>2*</v>
      </c>
      <c r="I29" s="784">
        <f t="shared" si="2"/>
        <v>3</v>
      </c>
      <c r="J29" s="789"/>
      <c r="K29" s="786"/>
      <c r="L29" s="1134"/>
      <c r="M29" s="1135"/>
      <c r="N29" s="1135"/>
      <c r="O29" s="1135"/>
      <c r="P29" s="1135"/>
      <c r="Q29" s="1135"/>
      <c r="R29" s="1136"/>
      <c r="T29" s="727">
        <v>21</v>
      </c>
      <c r="U29" s="716" t="s">
        <v>971</v>
      </c>
      <c r="V29" s="768">
        <v>1</v>
      </c>
      <c r="W29" s="768">
        <v>0.375</v>
      </c>
      <c r="X29" s="768" t="s">
        <v>340</v>
      </c>
      <c r="Y29" s="768" t="s">
        <v>340</v>
      </c>
      <c r="Z29" s="777" t="s">
        <v>340</v>
      </c>
      <c r="AA29" s="777">
        <v>2</v>
      </c>
      <c r="AB29" s="777">
        <v>1</v>
      </c>
      <c r="AC29" s="768">
        <v>3</v>
      </c>
      <c r="AD29" s="768">
        <v>2</v>
      </c>
      <c r="AE29" s="768">
        <v>1</v>
      </c>
      <c r="AF29" s="768" t="b">
        <v>1</v>
      </c>
      <c r="AG29" s="768">
        <f t="shared" si="3"/>
        <v>2</v>
      </c>
      <c r="AH29" s="768">
        <f t="shared" si="4"/>
        <v>1</v>
      </c>
      <c r="AI29" s="769">
        <f>IF(NOT(OR(Z29=1,Z29=2)),IF(AQ29&gt;0,$AR$45*AQ29/SUMIF($AQ$9:$AQ$40,"&gt;0"),IF(AU29&gt;0,$AV$45*AU29/SUMIF($AU$9:$AU$40,"&gt;0"),IF(AS29&gt;0,$AT$45*AS29/SUMIF($AS$9:$AS$40,"&gt;0"),""))),IF(SUMIF(AJ30:$AJ$40,"=" &amp; AJ29,AI30:$AI$40)=0,"",SUMIF(AJ30:$AJ$40,"=" &amp; AJ29,AI30:$AI$40)))</f>
        <v>3.140650910370011E-2</v>
      </c>
      <c r="AJ29" s="770">
        <f t="shared" si="34"/>
        <v>4</v>
      </c>
      <c r="AK29" s="768">
        <f t="shared" si="27"/>
        <v>2</v>
      </c>
      <c r="AL29" s="777" t="str">
        <f t="shared" si="28"/>
        <v/>
      </c>
      <c r="AM29" s="777" t="str">
        <f t="shared" si="35"/>
        <v/>
      </c>
      <c r="AN29" s="777" t="str">
        <f t="shared" si="5"/>
        <v/>
      </c>
      <c r="AO29" s="777" t="str">
        <f t="shared" si="6"/>
        <v/>
      </c>
      <c r="AP29" s="768" t="b">
        <f t="shared" si="7"/>
        <v>1</v>
      </c>
      <c r="AQ29" s="771">
        <f t="shared" si="29"/>
        <v>0.375</v>
      </c>
      <c r="AR29" s="772" t="str">
        <f t="shared" si="8"/>
        <v/>
      </c>
      <c r="AS29" s="773">
        <f t="shared" si="30"/>
        <v>0</v>
      </c>
      <c r="AT29" s="772" t="str">
        <f t="shared" si="9"/>
        <v/>
      </c>
      <c r="AU29" s="774">
        <f t="shared" si="10"/>
        <v>0</v>
      </c>
      <c r="AV29" s="775" t="str">
        <f t="shared" si="11"/>
        <v/>
      </c>
      <c r="AW29" s="774" t="b">
        <f t="shared" si="12"/>
        <v>0</v>
      </c>
      <c r="AX29" s="776" t="b">
        <f t="shared" si="13"/>
        <v>1</v>
      </c>
      <c r="AY29" s="774" t="b">
        <f t="shared" si="14"/>
        <v>0</v>
      </c>
      <c r="AZ29" s="776" t="b">
        <f t="shared" si="15"/>
        <v>0</v>
      </c>
      <c r="BA29" s="768" t="b">
        <f t="shared" si="16"/>
        <v>0</v>
      </c>
      <c r="BB29" s="768" t="b">
        <f t="shared" si="17"/>
        <v>0</v>
      </c>
      <c r="BC29" s="774" t="b">
        <f t="shared" si="18"/>
        <v>0</v>
      </c>
      <c r="BD29" s="777" t="b">
        <f t="shared" si="31"/>
        <v>0</v>
      </c>
      <c r="BE29" s="776" t="b">
        <f t="shared" si="37"/>
        <v>0</v>
      </c>
      <c r="BF29" s="778" t="b">
        <f t="shared" si="20"/>
        <v>0</v>
      </c>
      <c r="BG29" s="779" t="b">
        <f t="shared" si="38"/>
        <v>1</v>
      </c>
      <c r="BH29" s="779">
        <f t="shared" si="32"/>
        <v>1</v>
      </c>
      <c r="BI29" s="779">
        <f t="shared" si="22"/>
        <v>2</v>
      </c>
      <c r="BJ29" s="779" t="str">
        <f t="shared" si="23"/>
        <v>2*</v>
      </c>
      <c r="BK29" s="779">
        <f t="shared" si="24"/>
        <v>3</v>
      </c>
      <c r="BL29" s="780">
        <f t="shared" si="33"/>
        <v>1</v>
      </c>
      <c r="BM29" s="779">
        <f t="shared" si="25"/>
        <v>2</v>
      </c>
      <c r="BN29" s="779">
        <f t="shared" si="26"/>
        <v>3</v>
      </c>
      <c r="BO29" s="1141"/>
      <c r="BP29" s="791" t="s">
        <v>366</v>
      </c>
      <c r="BQ29" s="799">
        <f t="shared" si="36"/>
        <v>0.3</v>
      </c>
      <c r="BR29" s="800">
        <f t="shared" si="36"/>
        <v>0.6</v>
      </c>
      <c r="BS29" s="800">
        <f t="shared" si="36"/>
        <v>0.7</v>
      </c>
      <c r="BT29" s="800">
        <f t="shared" si="36"/>
        <v>0.9</v>
      </c>
      <c r="BU29" s="801">
        <f t="shared" si="36"/>
        <v>1</v>
      </c>
    </row>
    <row r="30" spans="2:75" s="731" customFormat="1" ht="12.95" customHeight="1" x14ac:dyDescent="0.25">
      <c r="B30" s="783">
        <f>IF(ISNA(Z30),"",IF(OR(Z30=1,Z30=2),"    ",MAX($B$9:B29)+1))</f>
        <v>17</v>
      </c>
      <c r="C30" s="1116" t="str">
        <f t="shared" si="0"/>
        <v xml:space="preserve">      - Punct. Acronyms &amp; Format (4.2%)</v>
      </c>
      <c r="D30" s="1116"/>
      <c r="E30" s="1116"/>
      <c r="F30" s="1117"/>
      <c r="G30" s="763">
        <f t="shared" si="1"/>
        <v>1</v>
      </c>
      <c r="H30" s="764" t="str">
        <f t="shared" si="2"/>
        <v>2*</v>
      </c>
      <c r="I30" s="784">
        <f t="shared" si="2"/>
        <v>3</v>
      </c>
      <c r="J30" s="789"/>
      <c r="K30" s="786"/>
      <c r="L30" s="1134"/>
      <c r="M30" s="1135"/>
      <c r="N30" s="1135"/>
      <c r="O30" s="1135"/>
      <c r="P30" s="1135"/>
      <c r="Q30" s="1135"/>
      <c r="R30" s="1136"/>
      <c r="T30" s="727">
        <v>22</v>
      </c>
      <c r="U30" s="716" t="s">
        <v>990</v>
      </c>
      <c r="V30" s="768">
        <v>1</v>
      </c>
      <c r="W30" s="768">
        <v>0.5</v>
      </c>
      <c r="X30" s="768" t="s">
        <v>340</v>
      </c>
      <c r="Y30" s="768" t="s">
        <v>340</v>
      </c>
      <c r="Z30" s="777" t="s">
        <v>340</v>
      </c>
      <c r="AA30" s="777">
        <v>2</v>
      </c>
      <c r="AB30" s="777">
        <v>1</v>
      </c>
      <c r="AC30" s="768">
        <v>3</v>
      </c>
      <c r="AD30" s="768">
        <v>2</v>
      </c>
      <c r="AE30" s="768">
        <v>1</v>
      </c>
      <c r="AF30" s="768" t="b">
        <v>1</v>
      </c>
      <c r="AG30" s="768">
        <f t="shared" si="3"/>
        <v>2</v>
      </c>
      <c r="AH30" s="768">
        <f t="shared" si="4"/>
        <v>1</v>
      </c>
      <c r="AI30" s="769">
        <f>IF(NOT(OR(Z30=1,Z30=2)),IF(AQ30&gt;0,$AR$45*AQ30/SUMIF($AQ$9:$AQ$40,"&gt;0"),IF(AU30&gt;0,$AV$45*AU30/SUMIF($AU$9:$AU$40,"&gt;0"),IF(AS30&gt;0,$AT$45*AS30/SUMIF($AS$9:$AS$40,"&gt;0"),""))),IF(SUMIF(AJ31:$AJ$40,"=" &amp; AJ30,AI31:$AI$40)=0,"",SUMIF(AJ31:$AJ$40,"=" &amp; AJ30,AI31:$AI$40)))</f>
        <v>4.1875345471600142E-2</v>
      </c>
      <c r="AJ30" s="770">
        <f t="shared" si="34"/>
        <v>4</v>
      </c>
      <c r="AK30" s="768">
        <f t="shared" si="27"/>
        <v>2</v>
      </c>
      <c r="AL30" s="777" t="str">
        <f t="shared" si="28"/>
        <v/>
      </c>
      <c r="AM30" s="777" t="str">
        <f t="shared" si="35"/>
        <v/>
      </c>
      <c r="AN30" s="777" t="str">
        <f t="shared" si="5"/>
        <v/>
      </c>
      <c r="AO30" s="777" t="str">
        <f t="shared" si="6"/>
        <v/>
      </c>
      <c r="AP30" s="768" t="b">
        <f t="shared" si="7"/>
        <v>1</v>
      </c>
      <c r="AQ30" s="771">
        <f t="shared" si="29"/>
        <v>0.5</v>
      </c>
      <c r="AR30" s="772" t="str">
        <f t="shared" si="8"/>
        <v/>
      </c>
      <c r="AS30" s="773">
        <f t="shared" si="30"/>
        <v>0</v>
      </c>
      <c r="AT30" s="772" t="str">
        <f t="shared" si="9"/>
        <v/>
      </c>
      <c r="AU30" s="774">
        <f t="shared" si="10"/>
        <v>0</v>
      </c>
      <c r="AV30" s="775" t="str">
        <f t="shared" si="11"/>
        <v/>
      </c>
      <c r="AW30" s="774" t="b">
        <f t="shared" si="12"/>
        <v>0</v>
      </c>
      <c r="AX30" s="776" t="b">
        <f t="shared" si="13"/>
        <v>1</v>
      </c>
      <c r="AY30" s="774" t="b">
        <f t="shared" si="14"/>
        <v>0</v>
      </c>
      <c r="AZ30" s="776" t="b">
        <f t="shared" si="15"/>
        <v>0</v>
      </c>
      <c r="BA30" s="768" t="b">
        <f t="shared" si="16"/>
        <v>0</v>
      </c>
      <c r="BB30" s="768" t="b">
        <f t="shared" si="17"/>
        <v>0</v>
      </c>
      <c r="BC30" s="774" t="b">
        <f t="shared" si="18"/>
        <v>0</v>
      </c>
      <c r="BD30" s="777" t="b">
        <f t="shared" si="31"/>
        <v>0</v>
      </c>
      <c r="BE30" s="776" t="b">
        <f t="shared" si="37"/>
        <v>0</v>
      </c>
      <c r="BF30" s="778" t="b">
        <f t="shared" si="20"/>
        <v>0</v>
      </c>
      <c r="BG30" s="779" t="b">
        <f t="shared" si="38"/>
        <v>1</v>
      </c>
      <c r="BH30" s="779">
        <f t="shared" si="32"/>
        <v>1</v>
      </c>
      <c r="BI30" s="779">
        <f t="shared" si="22"/>
        <v>2</v>
      </c>
      <c r="BJ30" s="779" t="str">
        <f t="shared" si="23"/>
        <v>2*</v>
      </c>
      <c r="BK30" s="779">
        <f t="shared" si="24"/>
        <v>3</v>
      </c>
      <c r="BL30" s="780">
        <f t="shared" si="33"/>
        <v>1</v>
      </c>
      <c r="BM30" s="779">
        <f t="shared" si="25"/>
        <v>2</v>
      </c>
      <c r="BN30" s="779">
        <f t="shared" si="26"/>
        <v>3</v>
      </c>
      <c r="BO30" s="1141"/>
      <c r="BP30" s="791" t="s">
        <v>367</v>
      </c>
      <c r="BQ30" s="803">
        <f t="shared" si="36"/>
        <v>0</v>
      </c>
      <c r="BR30" s="804">
        <f t="shared" si="36"/>
        <v>0.3</v>
      </c>
      <c r="BS30" s="804">
        <f t="shared" si="36"/>
        <v>0.6</v>
      </c>
      <c r="BT30" s="804">
        <f t="shared" si="36"/>
        <v>0.9</v>
      </c>
      <c r="BU30" s="805">
        <f t="shared" si="36"/>
        <v>1</v>
      </c>
    </row>
    <row r="31" spans="2:75" s="731" customFormat="1" ht="12.95" customHeight="1" x14ac:dyDescent="0.25">
      <c r="B31" s="783">
        <f>IF(ISNA(Z31),"",IF(OR(Z31=1,Z31=2),"    ",MAX($B$9:B30)+1))</f>
        <v>18</v>
      </c>
      <c r="C31" s="1116" t="str">
        <f t="shared" si="0"/>
        <v xml:space="preserve">      - Profess. Tone &amp; Word Choice (4.2%)</v>
      </c>
      <c r="D31" s="1116"/>
      <c r="E31" s="1116"/>
      <c r="F31" s="1117"/>
      <c r="G31" s="763">
        <f t="shared" si="1"/>
        <v>1</v>
      </c>
      <c r="H31" s="764" t="str">
        <f t="shared" si="2"/>
        <v>2*</v>
      </c>
      <c r="I31" s="784">
        <f t="shared" si="2"/>
        <v>3</v>
      </c>
      <c r="J31" s="789"/>
      <c r="K31" s="786"/>
      <c r="L31" s="1134"/>
      <c r="M31" s="1135"/>
      <c r="N31" s="1135"/>
      <c r="O31" s="1135"/>
      <c r="P31" s="1135"/>
      <c r="Q31" s="1135"/>
      <c r="R31" s="1136"/>
      <c r="T31" s="727">
        <v>23</v>
      </c>
      <c r="U31" s="716" t="s">
        <v>991</v>
      </c>
      <c r="V31" s="768">
        <v>1</v>
      </c>
      <c r="W31" s="768">
        <v>0.5</v>
      </c>
      <c r="X31" s="768" t="s">
        <v>340</v>
      </c>
      <c r="Y31" s="768" t="s">
        <v>340</v>
      </c>
      <c r="Z31" s="777" t="s">
        <v>340</v>
      </c>
      <c r="AA31" s="777">
        <v>2</v>
      </c>
      <c r="AB31" s="777">
        <v>1</v>
      </c>
      <c r="AC31" s="768">
        <v>3</v>
      </c>
      <c r="AD31" s="768">
        <v>2</v>
      </c>
      <c r="AE31" s="768">
        <v>1</v>
      </c>
      <c r="AF31" s="768" t="b">
        <v>1</v>
      </c>
      <c r="AG31" s="768">
        <f t="shared" si="3"/>
        <v>2</v>
      </c>
      <c r="AH31" s="768">
        <f t="shared" si="4"/>
        <v>1</v>
      </c>
      <c r="AI31" s="769">
        <f>IF(NOT(OR(Z31=1,Z31=2)),IF(AQ31&gt;0,$AR$45*AQ31/SUMIF($AQ$9:$AQ$40,"&gt;0"),IF(AU31&gt;0,$AV$45*AU31/SUMIF($AU$9:$AU$40,"&gt;0"),IF(AS31&gt;0,$AT$45*AS31/SUMIF($AS$9:$AS$40,"&gt;0"),""))),IF(SUMIF(AJ32:$AJ$40,"=" &amp; AJ31,AI32:$AI$40)=0,"",SUMIF(AJ32:$AJ$40,"=" &amp; AJ31,AI32:$AI$40)))</f>
        <v>4.1875345471600142E-2</v>
      </c>
      <c r="AJ31" s="770">
        <f t="shared" si="34"/>
        <v>4</v>
      </c>
      <c r="AK31" s="768">
        <f t="shared" si="27"/>
        <v>2</v>
      </c>
      <c r="AL31" s="777" t="str">
        <f t="shared" si="28"/>
        <v/>
      </c>
      <c r="AM31" s="777" t="str">
        <f t="shared" si="35"/>
        <v/>
      </c>
      <c r="AN31" s="777" t="str">
        <f t="shared" si="5"/>
        <v/>
      </c>
      <c r="AO31" s="777" t="str">
        <f t="shared" si="6"/>
        <v/>
      </c>
      <c r="AP31" s="768" t="b">
        <f t="shared" si="7"/>
        <v>1</v>
      </c>
      <c r="AQ31" s="771">
        <f t="shared" si="29"/>
        <v>0.5</v>
      </c>
      <c r="AR31" s="772" t="str">
        <f t="shared" si="8"/>
        <v/>
      </c>
      <c r="AS31" s="773">
        <f t="shared" si="30"/>
        <v>0</v>
      </c>
      <c r="AT31" s="772" t="str">
        <f t="shared" si="9"/>
        <v/>
      </c>
      <c r="AU31" s="774">
        <f t="shared" si="10"/>
        <v>0</v>
      </c>
      <c r="AV31" s="775" t="str">
        <f t="shared" si="11"/>
        <v/>
      </c>
      <c r="AW31" s="774" t="b">
        <f t="shared" si="12"/>
        <v>0</v>
      </c>
      <c r="AX31" s="776" t="b">
        <f t="shared" si="13"/>
        <v>1</v>
      </c>
      <c r="AY31" s="774" t="b">
        <f t="shared" si="14"/>
        <v>0</v>
      </c>
      <c r="AZ31" s="776" t="b">
        <f t="shared" si="15"/>
        <v>0</v>
      </c>
      <c r="BA31" s="768" t="b">
        <f t="shared" si="16"/>
        <v>0</v>
      </c>
      <c r="BB31" s="768" t="b">
        <f t="shared" si="17"/>
        <v>0</v>
      </c>
      <c r="BC31" s="774" t="b">
        <f t="shared" si="18"/>
        <v>0</v>
      </c>
      <c r="BD31" s="777" t="b">
        <f t="shared" si="31"/>
        <v>0</v>
      </c>
      <c r="BE31" s="776" t="b">
        <f t="shared" si="37"/>
        <v>0</v>
      </c>
      <c r="BF31" s="778" t="b">
        <f t="shared" si="20"/>
        <v>0</v>
      </c>
      <c r="BG31" s="779" t="b">
        <f t="shared" si="38"/>
        <v>1</v>
      </c>
      <c r="BH31" s="779">
        <f t="shared" si="32"/>
        <v>1</v>
      </c>
      <c r="BI31" s="779">
        <f t="shared" si="22"/>
        <v>2</v>
      </c>
      <c r="BJ31" s="779" t="str">
        <f t="shared" si="23"/>
        <v>2*</v>
      </c>
      <c r="BK31" s="779">
        <f t="shared" si="24"/>
        <v>3</v>
      </c>
      <c r="BL31" s="780">
        <f t="shared" si="33"/>
        <v>1</v>
      </c>
      <c r="BM31" s="779">
        <f t="shared" si="25"/>
        <v>2</v>
      </c>
      <c r="BN31" s="779">
        <f t="shared" si="26"/>
        <v>3</v>
      </c>
      <c r="BO31" s="719"/>
    </row>
    <row r="32" spans="2:75" s="731" customFormat="1" ht="12.95" customHeight="1" x14ac:dyDescent="0.25">
      <c r="B32" s="783" t="str">
        <f>IF(ISNA(Z32),"",IF(OR(Z32=1,Z32=2),"    ",MAX($B$9:B31)+1))</f>
        <v xml:space="preserve">    </v>
      </c>
      <c r="C32" s="1116" t="str">
        <f t="shared" si="0"/>
        <v>Visual Eng &amp; Data Presentation (11.5%)</v>
      </c>
      <c r="D32" s="1116"/>
      <c r="E32" s="1116"/>
      <c r="F32" s="1117"/>
      <c r="G32" s="763" t="str">
        <f t="shared" si="1"/>
        <v/>
      </c>
      <c r="H32" s="764" t="str">
        <f t="shared" si="2"/>
        <v/>
      </c>
      <c r="I32" s="784" t="str">
        <f t="shared" si="2"/>
        <v/>
      </c>
      <c r="J32" s="793"/>
      <c r="K32" s="794"/>
      <c r="L32" s="1134"/>
      <c r="M32" s="1135"/>
      <c r="N32" s="1135"/>
      <c r="O32" s="1135"/>
      <c r="P32" s="1135"/>
      <c r="Q32" s="1135"/>
      <c r="R32" s="1136"/>
      <c r="T32" s="727">
        <v>24</v>
      </c>
      <c r="U32" s="716" t="s">
        <v>974</v>
      </c>
      <c r="V32" s="768" t="s">
        <v>340</v>
      </c>
      <c r="W32" s="768" t="s">
        <v>340</v>
      </c>
      <c r="X32" s="768" t="s">
        <v>340</v>
      </c>
      <c r="Y32" s="768" t="s">
        <v>340</v>
      </c>
      <c r="Z32" s="777">
        <v>2</v>
      </c>
      <c r="AA32" s="777">
        <v>1</v>
      </c>
      <c r="AB32" s="777">
        <v>1</v>
      </c>
      <c r="AC32" s="768" t="s">
        <v>340</v>
      </c>
      <c r="AD32" s="768" t="s">
        <v>340</v>
      </c>
      <c r="AE32" s="768" t="s">
        <v>340</v>
      </c>
      <c r="AF32" s="768" t="s">
        <v>340</v>
      </c>
      <c r="AG32" s="768" t="str">
        <f t="shared" si="3"/>
        <v/>
      </c>
      <c r="AH32" s="768" t="str">
        <f t="shared" si="4"/>
        <v/>
      </c>
      <c r="AI32" s="769">
        <f>IF(NOT(OR(Z32=1,Z32=2)),IF(AQ32&gt;0,$AR$45*AQ32/SUMIF($AQ$9:$AQ$40,"&gt;0"),IF(AU32&gt;0,$AV$45*AU32/SUMIF($AU$9:$AU$40,"&gt;0"),IF(AS32&gt;0,$AT$45*AS32/SUMIF($AS$9:$AS$40,"&gt;0"),""))),IF(SUMIF(AJ33:$AJ$40,"=" &amp; AJ32,AI33:$AI$40)=0,"",SUMIF(AJ33:$AJ$40,"=" &amp; AJ32,AI33:$AI$40)))</f>
        <v>0.1151572000469004</v>
      </c>
      <c r="AJ32" s="770">
        <f t="shared" si="34"/>
        <v>5</v>
      </c>
      <c r="AK32" s="768" t="str">
        <f t="shared" si="27"/>
        <v/>
      </c>
      <c r="AL32" s="777" t="str">
        <f t="shared" si="28"/>
        <v/>
      </c>
      <c r="AM32" s="777" t="str">
        <f t="shared" si="35"/>
        <v/>
      </c>
      <c r="AN32" s="777" t="str">
        <f t="shared" si="5"/>
        <v/>
      </c>
      <c r="AO32" s="777" t="str">
        <f t="shared" si="6"/>
        <v/>
      </c>
      <c r="AP32" s="768" t="str">
        <f t="shared" si="7"/>
        <v/>
      </c>
      <c r="AQ32" s="771">
        <f t="shared" si="29"/>
        <v>0</v>
      </c>
      <c r="AR32" s="772" t="str">
        <f t="shared" si="8"/>
        <v/>
      </c>
      <c r="AS32" s="773">
        <f t="shared" si="30"/>
        <v>0</v>
      </c>
      <c r="AT32" s="772" t="str">
        <f t="shared" si="9"/>
        <v/>
      </c>
      <c r="AU32" s="774">
        <f t="shared" si="10"/>
        <v>0</v>
      </c>
      <c r="AV32" s="775" t="str">
        <f t="shared" si="11"/>
        <v/>
      </c>
      <c r="AW32" s="774" t="b">
        <f t="shared" si="12"/>
        <v>0</v>
      </c>
      <c r="AX32" s="776" t="b">
        <f t="shared" si="13"/>
        <v>0</v>
      </c>
      <c r="AY32" s="774" t="b">
        <f t="shared" si="14"/>
        <v>0</v>
      </c>
      <c r="AZ32" s="776" t="b">
        <f t="shared" si="15"/>
        <v>0</v>
      </c>
      <c r="BA32" s="768" t="b">
        <f t="shared" si="16"/>
        <v>0</v>
      </c>
      <c r="BB32" s="768" t="b">
        <f t="shared" si="17"/>
        <v>0</v>
      </c>
      <c r="BC32" s="774" t="b">
        <f t="shared" si="18"/>
        <v>0</v>
      </c>
      <c r="BD32" s="777" t="b">
        <f>IF(OR(ISNA($Z32),ISNUMBER($Z32),NOT(ISNUMBER(K32))),FALSE,OR(NOT(ISNUMBER(J32)),J32=0,AND(J32=0,K32&lt;&gt;0)))</f>
        <v>0</v>
      </c>
      <c r="BE32" s="776" t="b">
        <f t="shared" si="37"/>
        <v>0</v>
      </c>
      <c r="BF32" s="778" t="b">
        <f>IF(OR(ISNA($Z32),H32&lt;&gt;"NG"),FALSE,IF(AND(J32="NA",K32&lt;&gt;""),TRUE,FALSE))</f>
        <v>0</v>
      </c>
      <c r="BG32" s="779" t="b">
        <f t="shared" si="38"/>
        <v>0</v>
      </c>
      <c r="BH32" s="779" t="str">
        <f t="shared" si="32"/>
        <v/>
      </c>
      <c r="BI32" s="779" t="str">
        <f t="shared" si="22"/>
        <v/>
      </c>
      <c r="BJ32" s="779" t="str">
        <f t="shared" si="23"/>
        <v/>
      </c>
      <c r="BK32" s="779" t="str">
        <f t="shared" si="24"/>
        <v/>
      </c>
      <c r="BL32" s="780" t="str">
        <f t="shared" si="33"/>
        <v/>
      </c>
      <c r="BM32" s="779" t="str">
        <f t="shared" si="25"/>
        <v/>
      </c>
      <c r="BN32" s="779" t="str">
        <f t="shared" si="26"/>
        <v/>
      </c>
      <c r="BO32" s="787" t="s">
        <v>368</v>
      </c>
      <c r="BP32" s="792" t="s">
        <v>369</v>
      </c>
    </row>
    <row r="33" spans="2:73 1271:1271" s="731" customFormat="1" ht="12.95" customHeight="1" x14ac:dyDescent="0.25">
      <c r="B33" s="783">
        <f>IF(ISNA(Z33),"",IF(OR(Z33=1,Z33=2),"    ",MAX($B$9:B32)+1))</f>
        <v>19</v>
      </c>
      <c r="C33" s="1116" t="str">
        <f t="shared" si="0"/>
        <v xml:space="preserve">      - Anatomy of a Valid Plot/Table (3.1%)</v>
      </c>
      <c r="D33" s="1116"/>
      <c r="E33" s="1116"/>
      <c r="F33" s="1117"/>
      <c r="G33" s="763">
        <f t="shared" si="1"/>
        <v>1</v>
      </c>
      <c r="H33" s="764" t="str">
        <f t="shared" si="2"/>
        <v>2*</v>
      </c>
      <c r="I33" s="784">
        <f t="shared" si="2"/>
        <v>3</v>
      </c>
      <c r="J33" s="789"/>
      <c r="K33" s="786"/>
      <c r="L33" s="1134"/>
      <c r="M33" s="1135"/>
      <c r="N33" s="1135"/>
      <c r="O33" s="1135"/>
      <c r="P33" s="1135"/>
      <c r="Q33" s="1135"/>
      <c r="R33" s="1136"/>
      <c r="T33" s="727">
        <v>25</v>
      </c>
      <c r="U33" s="716" t="s">
        <v>975</v>
      </c>
      <c r="V33" s="768">
        <v>1</v>
      </c>
      <c r="W33" s="768">
        <v>0.375</v>
      </c>
      <c r="X33" s="768" t="s">
        <v>340</v>
      </c>
      <c r="Y33" s="768" t="s">
        <v>340</v>
      </c>
      <c r="Z33" s="777" t="s">
        <v>340</v>
      </c>
      <c r="AA33" s="777">
        <v>2</v>
      </c>
      <c r="AB33" s="777">
        <v>1</v>
      </c>
      <c r="AC33" s="768">
        <v>3</v>
      </c>
      <c r="AD33" s="768">
        <v>2</v>
      </c>
      <c r="AE33" s="768">
        <v>1</v>
      </c>
      <c r="AF33" s="768" t="b">
        <v>1</v>
      </c>
      <c r="AG33" s="768">
        <f t="shared" si="3"/>
        <v>2</v>
      </c>
      <c r="AH33" s="768">
        <f t="shared" si="4"/>
        <v>1</v>
      </c>
      <c r="AI33" s="769">
        <f>IF(NOT(OR(Z33=1,Z33=2)),IF(AQ33&gt;0,$AR$45*AQ33/SUMIF($AQ$9:$AQ$40,"&gt;0"),IF(AU33&gt;0,$AV$45*AU33/SUMIF($AU$9:$AU$40,"&gt;0"),IF(AS33&gt;0,$AT$45*AS33/SUMIF($AS$9:$AS$40,"&gt;0"),""))),IF(SUMIF(AJ34:$AJ$40,"=" &amp; AJ33,AI34:$AI$40)=0,"",SUMIF(AJ34:$AJ$40,"=" &amp; AJ33,AI34:$AI$40)))</f>
        <v>3.140650910370011E-2</v>
      </c>
      <c r="AJ33" s="770">
        <f t="shared" si="34"/>
        <v>5</v>
      </c>
      <c r="AK33" s="768">
        <f t="shared" si="27"/>
        <v>2</v>
      </c>
      <c r="AL33" s="777" t="str">
        <f t="shared" si="28"/>
        <v/>
      </c>
      <c r="AM33" s="777" t="str">
        <f t="shared" si="35"/>
        <v/>
      </c>
      <c r="AN33" s="777" t="str">
        <f t="shared" si="5"/>
        <v/>
      </c>
      <c r="AO33" s="777" t="str">
        <f t="shared" si="6"/>
        <v/>
      </c>
      <c r="AP33" s="768" t="b">
        <f t="shared" si="7"/>
        <v>1</v>
      </c>
      <c r="AQ33" s="771">
        <f t="shared" si="29"/>
        <v>0.375</v>
      </c>
      <c r="AR33" s="772" t="str">
        <f t="shared" si="8"/>
        <v/>
      </c>
      <c r="AS33" s="773">
        <f t="shared" si="30"/>
        <v>0</v>
      </c>
      <c r="AT33" s="772" t="str">
        <f t="shared" si="9"/>
        <v/>
      </c>
      <c r="AU33" s="774">
        <f t="shared" si="10"/>
        <v>0</v>
      </c>
      <c r="AV33" s="775" t="str">
        <f t="shared" si="11"/>
        <v/>
      </c>
      <c r="AW33" s="774" t="b">
        <f t="shared" si="12"/>
        <v>0</v>
      </c>
      <c r="AX33" s="776" t="b">
        <f t="shared" si="13"/>
        <v>1</v>
      </c>
      <c r="AY33" s="774" t="b">
        <f t="shared" si="14"/>
        <v>0</v>
      </c>
      <c r="AZ33" s="776" t="b">
        <f t="shared" si="15"/>
        <v>0</v>
      </c>
      <c r="BA33" s="768" t="b">
        <f t="shared" si="16"/>
        <v>0</v>
      </c>
      <c r="BB33" s="768" t="b">
        <f t="shared" si="17"/>
        <v>0</v>
      </c>
      <c r="BC33" s="774" t="b">
        <f t="shared" si="18"/>
        <v>0</v>
      </c>
      <c r="BD33" s="777" t="b">
        <f t="shared" si="31"/>
        <v>0</v>
      </c>
      <c r="BE33" s="776" t="b">
        <f t="shared" si="37"/>
        <v>0</v>
      </c>
      <c r="BF33" s="778" t="b">
        <f t="shared" ref="BF33:BF40" si="39">IF(OR(ISNA($Z33),H33&lt;&gt;"NG"),FALSE,IF(AND(J33="NA",K33&lt;&gt;""),TRUE,FALSE))</f>
        <v>0</v>
      </c>
      <c r="BG33" s="779" t="b">
        <f t="shared" si="38"/>
        <v>1</v>
      </c>
      <c r="BH33" s="779">
        <f t="shared" si="32"/>
        <v>1</v>
      </c>
      <c r="BI33" s="779">
        <f t="shared" si="22"/>
        <v>2</v>
      </c>
      <c r="BJ33" s="779" t="str">
        <f t="shared" si="23"/>
        <v>2*</v>
      </c>
      <c r="BK33" s="779">
        <f t="shared" si="24"/>
        <v>3</v>
      </c>
      <c r="BL33" s="780">
        <f t="shared" si="33"/>
        <v>1</v>
      </c>
      <c r="BM33" s="779">
        <f t="shared" si="25"/>
        <v>2</v>
      </c>
      <c r="BN33" s="779">
        <f t="shared" si="26"/>
        <v>3</v>
      </c>
      <c r="BO33" s="787" t="s">
        <v>370</v>
      </c>
      <c r="BP33" s="792" t="s">
        <v>371</v>
      </c>
    </row>
    <row r="34" spans="2:73 1271:1271" s="731" customFormat="1" ht="12.95" customHeight="1" x14ac:dyDescent="0.25">
      <c r="B34" s="783">
        <f>IF(ISNA(Z34),"",IF(OR(Z34=1,Z34=2),"    ",MAX($B$9:B33)+1))</f>
        <v>20</v>
      </c>
      <c r="C34" s="1116" t="str">
        <f t="shared" si="0"/>
        <v xml:space="preserve">      - Data-Ink Ratio &amp; Clarity (4.2%)</v>
      </c>
      <c r="D34" s="1116"/>
      <c r="E34" s="1116"/>
      <c r="F34" s="1117"/>
      <c r="G34" s="763">
        <f t="shared" si="1"/>
        <v>1</v>
      </c>
      <c r="H34" s="764" t="str">
        <f t="shared" si="2"/>
        <v>2*</v>
      </c>
      <c r="I34" s="784">
        <f t="shared" si="2"/>
        <v>3</v>
      </c>
      <c r="J34" s="789"/>
      <c r="K34" s="786"/>
      <c r="L34" s="1134"/>
      <c r="M34" s="1135"/>
      <c r="N34" s="1135"/>
      <c r="O34" s="1135"/>
      <c r="P34" s="1135"/>
      <c r="Q34" s="1135"/>
      <c r="R34" s="1136"/>
      <c r="T34" s="727">
        <v>26</v>
      </c>
      <c r="U34" s="716" t="s">
        <v>976</v>
      </c>
      <c r="V34" s="768">
        <v>1</v>
      </c>
      <c r="W34" s="768">
        <v>0.5</v>
      </c>
      <c r="X34" s="768" t="s">
        <v>340</v>
      </c>
      <c r="Y34" s="768" t="s">
        <v>340</v>
      </c>
      <c r="Z34" s="777" t="s">
        <v>340</v>
      </c>
      <c r="AA34" s="777">
        <v>2</v>
      </c>
      <c r="AB34" s="777">
        <v>1</v>
      </c>
      <c r="AC34" s="768">
        <v>3</v>
      </c>
      <c r="AD34" s="768">
        <v>2</v>
      </c>
      <c r="AE34" s="768">
        <v>1</v>
      </c>
      <c r="AF34" s="768" t="b">
        <v>1</v>
      </c>
      <c r="AG34" s="768">
        <f t="shared" si="3"/>
        <v>2</v>
      </c>
      <c r="AH34" s="768">
        <f t="shared" si="4"/>
        <v>1</v>
      </c>
      <c r="AI34" s="769">
        <f>IF(NOT(OR(Z34=1,Z34=2)),IF(AQ34&gt;0,$AR$45*AQ34/SUMIF($AQ$9:$AQ$40,"&gt;0"),IF(AU34&gt;0,$AV$45*AU34/SUMIF($AU$9:$AU$40,"&gt;0"),IF(AS34&gt;0,$AT$45*AS34/SUMIF($AS$9:$AS$40,"&gt;0"),""))),IF(SUMIF(AJ35:$AJ$40,"=" &amp; AJ34,AI35:$AI$40)=0,"",SUMIF(AJ35:$AJ$40,"=" &amp; AJ34,AI35:$AI$40)))</f>
        <v>4.1875345471600142E-2</v>
      </c>
      <c r="AJ34" s="770">
        <f t="shared" si="34"/>
        <v>5</v>
      </c>
      <c r="AK34" s="768">
        <f t="shared" si="27"/>
        <v>2</v>
      </c>
      <c r="AL34" s="777" t="str">
        <f t="shared" si="28"/>
        <v/>
      </c>
      <c r="AM34" s="777" t="str">
        <f t="shared" si="35"/>
        <v/>
      </c>
      <c r="AN34" s="777" t="str">
        <f t="shared" si="5"/>
        <v/>
      </c>
      <c r="AO34" s="777" t="str">
        <f t="shared" si="6"/>
        <v/>
      </c>
      <c r="AP34" s="768" t="b">
        <f t="shared" si="7"/>
        <v>1</v>
      </c>
      <c r="AQ34" s="771">
        <f t="shared" si="29"/>
        <v>0.5</v>
      </c>
      <c r="AR34" s="772" t="str">
        <f t="shared" si="8"/>
        <v/>
      </c>
      <c r="AS34" s="773">
        <f t="shared" si="30"/>
        <v>0</v>
      </c>
      <c r="AT34" s="772" t="str">
        <f t="shared" si="9"/>
        <v/>
      </c>
      <c r="AU34" s="774">
        <f t="shared" si="10"/>
        <v>0</v>
      </c>
      <c r="AV34" s="775" t="str">
        <f t="shared" si="11"/>
        <v/>
      </c>
      <c r="AW34" s="774" t="b">
        <f t="shared" si="12"/>
        <v>0</v>
      </c>
      <c r="AX34" s="776" t="b">
        <f t="shared" si="13"/>
        <v>1</v>
      </c>
      <c r="AY34" s="774" t="b">
        <f t="shared" si="14"/>
        <v>0</v>
      </c>
      <c r="AZ34" s="776" t="b">
        <f t="shared" si="15"/>
        <v>0</v>
      </c>
      <c r="BA34" s="768" t="b">
        <f t="shared" si="16"/>
        <v>0</v>
      </c>
      <c r="BB34" s="768" t="b">
        <f t="shared" si="17"/>
        <v>0</v>
      </c>
      <c r="BC34" s="774" t="b">
        <f t="shared" si="18"/>
        <v>0</v>
      </c>
      <c r="BD34" s="777" t="b">
        <f t="shared" si="31"/>
        <v>0</v>
      </c>
      <c r="BE34" s="776" t="b">
        <f t="shared" si="37"/>
        <v>0</v>
      </c>
      <c r="BF34" s="778" t="b">
        <f t="shared" si="39"/>
        <v>0</v>
      </c>
      <c r="BG34" s="779" t="b">
        <f t="shared" si="38"/>
        <v>1</v>
      </c>
      <c r="BH34" s="779">
        <f t="shared" si="32"/>
        <v>1</v>
      </c>
      <c r="BI34" s="779">
        <f t="shared" si="22"/>
        <v>2</v>
      </c>
      <c r="BJ34" s="779" t="str">
        <f t="shared" si="23"/>
        <v>2*</v>
      </c>
      <c r="BK34" s="779">
        <f t="shared" si="24"/>
        <v>3</v>
      </c>
      <c r="BL34" s="780">
        <f t="shared" si="33"/>
        <v>1</v>
      </c>
      <c r="BM34" s="779">
        <f t="shared" si="25"/>
        <v>2</v>
      </c>
      <c r="BN34" s="779">
        <f t="shared" si="26"/>
        <v>3</v>
      </c>
      <c r="BO34" s="782" t="s">
        <v>372</v>
      </c>
      <c r="BP34" s="792"/>
      <c r="BQ34" s="792"/>
      <c r="BR34" s="792"/>
      <c r="BS34" s="792"/>
      <c r="BT34" s="792"/>
      <c r="BU34" s="792"/>
    </row>
    <row r="35" spans="2:73 1271:1271" s="731" customFormat="1" ht="12.95" customHeight="1" x14ac:dyDescent="0.25">
      <c r="B35" s="783">
        <f>IF(ISNA(Z35),"",IF(OR(Z35=1,Z35=2),"    ",MAX($B$9:B34)+1))</f>
        <v>21</v>
      </c>
      <c r="C35" s="1116" t="str">
        <f t="shared" si="0"/>
        <v xml:space="preserve">      - Data Honesty &amp; Context (4.2%)</v>
      </c>
      <c r="D35" s="1116"/>
      <c r="E35" s="1116"/>
      <c r="F35" s="1117"/>
      <c r="G35" s="763">
        <f t="shared" si="1"/>
        <v>1</v>
      </c>
      <c r="H35" s="764" t="str">
        <f t="shared" si="2"/>
        <v>2*</v>
      </c>
      <c r="I35" s="784">
        <f t="shared" si="2"/>
        <v>3</v>
      </c>
      <c r="J35" s="789"/>
      <c r="K35" s="786"/>
      <c r="L35" s="1134"/>
      <c r="M35" s="1135"/>
      <c r="N35" s="1135"/>
      <c r="O35" s="1135"/>
      <c r="P35" s="1135"/>
      <c r="Q35" s="1135"/>
      <c r="R35" s="1136"/>
      <c r="T35" s="727">
        <v>27</v>
      </c>
      <c r="U35" s="716" t="s">
        <v>992</v>
      </c>
      <c r="V35" s="768">
        <v>1</v>
      </c>
      <c r="W35" s="768">
        <v>0.5</v>
      </c>
      <c r="X35" s="768" t="s">
        <v>340</v>
      </c>
      <c r="Y35" s="768" t="s">
        <v>340</v>
      </c>
      <c r="Z35" s="777" t="s">
        <v>340</v>
      </c>
      <c r="AA35" s="777">
        <v>2</v>
      </c>
      <c r="AB35" s="777">
        <v>1</v>
      </c>
      <c r="AC35" s="768">
        <v>3</v>
      </c>
      <c r="AD35" s="768">
        <v>2</v>
      </c>
      <c r="AE35" s="768">
        <v>1</v>
      </c>
      <c r="AF35" s="768" t="b">
        <v>1</v>
      </c>
      <c r="AG35" s="768">
        <f t="shared" si="3"/>
        <v>2</v>
      </c>
      <c r="AH35" s="768">
        <f t="shared" si="4"/>
        <v>1</v>
      </c>
      <c r="AI35" s="769">
        <f>IF(NOT(OR(Z35=1,Z35=2)),IF(AQ35&gt;0,$AR$45*AQ35/SUMIF($AQ$9:$AQ$40,"&gt;0"),IF(AU35&gt;0,$AV$45*AU35/SUMIF($AU$9:$AU$40,"&gt;0"),IF(AS35&gt;0,$AT$45*AS35/SUMIF($AS$9:$AS$40,"&gt;0"),""))),IF(SUMIF(AJ36:$AJ$40,"=" &amp; AJ35,AI36:$AI$40)=0,"",SUMIF(AJ36:$AJ$40,"=" &amp; AJ35,AI36:$AI$40)))</f>
        <v>4.1875345471600142E-2</v>
      </c>
      <c r="AJ35" s="770">
        <f t="shared" si="34"/>
        <v>5</v>
      </c>
      <c r="AK35" s="768">
        <f t="shared" si="27"/>
        <v>2</v>
      </c>
      <c r="AL35" s="777" t="str">
        <f t="shared" si="28"/>
        <v/>
      </c>
      <c r="AM35" s="777" t="str">
        <f t="shared" si="35"/>
        <v/>
      </c>
      <c r="AN35" s="777" t="str">
        <f t="shared" si="5"/>
        <v/>
      </c>
      <c r="AO35" s="777" t="str">
        <f t="shared" si="6"/>
        <v/>
      </c>
      <c r="AP35" s="768" t="b">
        <f t="shared" si="7"/>
        <v>1</v>
      </c>
      <c r="AQ35" s="771">
        <f t="shared" si="29"/>
        <v>0.5</v>
      </c>
      <c r="AR35" s="772" t="str">
        <f t="shared" si="8"/>
        <v/>
      </c>
      <c r="AS35" s="773">
        <f t="shared" si="30"/>
        <v>0</v>
      </c>
      <c r="AT35" s="772" t="str">
        <f t="shared" si="9"/>
        <v/>
      </c>
      <c r="AU35" s="774">
        <f t="shared" si="10"/>
        <v>0</v>
      </c>
      <c r="AV35" s="775" t="str">
        <f t="shared" si="11"/>
        <v/>
      </c>
      <c r="AW35" s="774" t="b">
        <f t="shared" si="12"/>
        <v>0</v>
      </c>
      <c r="AX35" s="776" t="b">
        <f t="shared" si="13"/>
        <v>1</v>
      </c>
      <c r="AY35" s="774" t="b">
        <f t="shared" si="14"/>
        <v>0</v>
      </c>
      <c r="AZ35" s="776" t="b">
        <f t="shared" si="15"/>
        <v>0</v>
      </c>
      <c r="BA35" s="768" t="b">
        <f t="shared" si="16"/>
        <v>0</v>
      </c>
      <c r="BB35" s="768" t="b">
        <f t="shared" si="17"/>
        <v>0</v>
      </c>
      <c r="BC35" s="774" t="b">
        <f t="shared" si="18"/>
        <v>0</v>
      </c>
      <c r="BD35" s="777" t="b">
        <f t="shared" si="31"/>
        <v>0</v>
      </c>
      <c r="BE35" s="776" t="b">
        <f t="shared" si="37"/>
        <v>0</v>
      </c>
      <c r="BF35" s="778" t="b">
        <f t="shared" si="39"/>
        <v>0</v>
      </c>
      <c r="BG35" s="779" t="b">
        <f t="shared" si="38"/>
        <v>1</v>
      </c>
      <c r="BH35" s="779">
        <f t="shared" si="32"/>
        <v>1</v>
      </c>
      <c r="BI35" s="779">
        <f t="shared" si="22"/>
        <v>2</v>
      </c>
      <c r="BJ35" s="779" t="str">
        <f t="shared" si="23"/>
        <v>2*</v>
      </c>
      <c r="BK35" s="779">
        <f t="shared" si="24"/>
        <v>3</v>
      </c>
      <c r="BL35" s="780">
        <f t="shared" si="33"/>
        <v>1</v>
      </c>
      <c r="BM35" s="779">
        <f t="shared" si="25"/>
        <v>2</v>
      </c>
      <c r="BN35" s="779">
        <f t="shared" si="26"/>
        <v>3</v>
      </c>
      <c r="BO35" s="1142"/>
      <c r="BP35" s="1143"/>
      <c r="BQ35" s="1143"/>
      <c r="BR35" s="1143"/>
      <c r="BS35" s="1143"/>
      <c r="BT35" s="1143"/>
      <c r="BU35" s="1144"/>
    </row>
    <row r="36" spans="2:73 1271:1271" s="731" customFormat="1" ht="12.95" customHeight="1" x14ac:dyDescent="0.25">
      <c r="B36" s="783" t="str">
        <f>IF(ISNA(Z36),"",IF(OR(Z36=1,Z36=2),"    ",MAX($B$9:B35)+1))</f>
        <v/>
      </c>
      <c r="C36" s="1116" t="str">
        <f t="shared" si="0"/>
        <v/>
      </c>
      <c r="D36" s="1116"/>
      <c r="E36" s="1116"/>
      <c r="F36" s="1117"/>
      <c r="G36" s="763" t="str">
        <f t="shared" si="1"/>
        <v/>
      </c>
      <c r="H36" s="764" t="str">
        <f t="shared" si="2"/>
        <v/>
      </c>
      <c r="I36" s="784" t="str">
        <f t="shared" si="2"/>
        <v/>
      </c>
      <c r="J36" s="793"/>
      <c r="K36" s="794"/>
      <c r="L36" s="1134"/>
      <c r="M36" s="1135"/>
      <c r="N36" s="1135"/>
      <c r="O36" s="1135"/>
      <c r="P36" s="1135"/>
      <c r="Q36" s="1135"/>
      <c r="R36" s="1136"/>
      <c r="T36" s="727">
        <v>28</v>
      </c>
      <c r="U36" s="716" t="e">
        <v>#N/A</v>
      </c>
      <c r="V36" s="768" t="e">
        <v>#N/A</v>
      </c>
      <c r="W36" s="768" t="e">
        <v>#N/A</v>
      </c>
      <c r="X36" s="768" t="e">
        <v>#N/A</v>
      </c>
      <c r="Y36" s="768" t="e">
        <v>#N/A</v>
      </c>
      <c r="Z36" s="777" t="e">
        <v>#N/A</v>
      </c>
      <c r="AA36" s="777" t="e">
        <v>#N/A</v>
      </c>
      <c r="AB36" s="777" t="e">
        <v>#N/A</v>
      </c>
      <c r="AC36" s="768" t="e">
        <v>#N/A</v>
      </c>
      <c r="AD36" s="768" t="e">
        <v>#N/A</v>
      </c>
      <c r="AE36" s="768" t="e">
        <v>#N/A</v>
      </c>
      <c r="AF36" s="768" t="e">
        <v>#N/A</v>
      </c>
      <c r="AG36" s="768" t="e">
        <f t="shared" si="3"/>
        <v>#N/A</v>
      </c>
      <c r="AH36" s="768" t="str">
        <f t="shared" si="4"/>
        <v/>
      </c>
      <c r="AI36" s="769" t="e">
        <f>IF(NOT(OR(Z36=1,Z36=2)),IF(AQ36&gt;0,$AR$45*AQ36/SUMIF($AQ$9:$AQ$40,"&gt;0"),IF(AU36&gt;0,$AV$45*AU36/SUMIF($AU$9:$AU$40,"&gt;0"),IF(AS36&gt;0,$AT$45*AS36/SUMIF($AS$9:$AS$40,"&gt;0"),""))),IF(SUMIF(AJ37:$AJ$40,"=" &amp; AJ36,AI37:$AI$40)=0,"",SUMIF(AJ37:$AJ$40,"=" &amp; AJ36,AI37:$AI$40)))</f>
        <v>#N/A</v>
      </c>
      <c r="AJ36" s="770" t="e">
        <f t="shared" si="34"/>
        <v>#N/A</v>
      </c>
      <c r="AK36" s="768" t="str">
        <f t="shared" si="27"/>
        <v/>
      </c>
      <c r="AL36" s="777" t="str">
        <f t="shared" si="28"/>
        <v/>
      </c>
      <c r="AM36" s="777" t="str">
        <f t="shared" si="35"/>
        <v/>
      </c>
      <c r="AN36" s="777" t="str">
        <f t="shared" si="5"/>
        <v/>
      </c>
      <c r="AO36" s="777" t="e">
        <f t="shared" si="6"/>
        <v>#N/A</v>
      </c>
      <c r="AP36" s="768" t="str">
        <f t="shared" si="7"/>
        <v/>
      </c>
      <c r="AQ36" s="771">
        <f t="shared" si="29"/>
        <v>0</v>
      </c>
      <c r="AR36" s="772" t="str">
        <f t="shared" si="8"/>
        <v/>
      </c>
      <c r="AS36" s="773">
        <f t="shared" si="30"/>
        <v>0</v>
      </c>
      <c r="AT36" s="772" t="str">
        <f t="shared" si="9"/>
        <v/>
      </c>
      <c r="AU36" s="774">
        <f t="shared" si="10"/>
        <v>0</v>
      </c>
      <c r="AV36" s="775" t="str">
        <f t="shared" si="11"/>
        <v/>
      </c>
      <c r="AW36" s="774" t="b">
        <f t="shared" si="12"/>
        <v>0</v>
      </c>
      <c r="AX36" s="776" t="b">
        <f t="shared" si="13"/>
        <v>0</v>
      </c>
      <c r="AY36" s="774" t="b">
        <f t="shared" si="14"/>
        <v>0</v>
      </c>
      <c r="AZ36" s="776" t="b">
        <f t="shared" si="15"/>
        <v>0</v>
      </c>
      <c r="BA36" s="768" t="b">
        <f t="shared" si="16"/>
        <v>0</v>
      </c>
      <c r="BB36" s="768" t="b">
        <f t="shared" si="17"/>
        <v>0</v>
      </c>
      <c r="BC36" s="774" t="b">
        <f t="shared" si="18"/>
        <v>0</v>
      </c>
      <c r="BD36" s="777" t="b">
        <f t="shared" si="31"/>
        <v>0</v>
      </c>
      <c r="BE36" s="776" t="b">
        <f t="shared" si="37"/>
        <v>0</v>
      </c>
      <c r="BF36" s="778" t="b">
        <f t="shared" si="39"/>
        <v>0</v>
      </c>
      <c r="BG36" s="779" t="str">
        <f t="shared" si="38"/>
        <v>NA</v>
      </c>
      <c r="BH36" s="779" t="str">
        <f t="shared" si="32"/>
        <v/>
      </c>
      <c r="BI36" s="779" t="str">
        <f t="shared" si="22"/>
        <v/>
      </c>
      <c r="BJ36" s="779" t="str">
        <f t="shared" si="23"/>
        <v/>
      </c>
      <c r="BK36" s="779" t="str">
        <f t="shared" si="24"/>
        <v/>
      </c>
      <c r="BL36" s="780" t="str">
        <f t="shared" si="33"/>
        <v/>
      </c>
      <c r="BM36" s="779" t="str">
        <f t="shared" si="25"/>
        <v/>
      </c>
      <c r="BN36" s="779" t="str">
        <f t="shared" si="26"/>
        <v/>
      </c>
      <c r="BO36" s="1145"/>
      <c r="BP36" s="1146"/>
      <c r="BQ36" s="1146"/>
      <c r="BR36" s="1146"/>
      <c r="BS36" s="1146"/>
      <c r="BT36" s="1146"/>
      <c r="BU36" s="1147"/>
    </row>
    <row r="37" spans="2:73 1271:1271" s="731" customFormat="1" ht="12.95" customHeight="1" x14ac:dyDescent="0.25">
      <c r="B37" s="783" t="str">
        <f>IF(ISNA(Z37),"",IF(OR(Z37=1,Z37=2),"    ",MAX($B$9:B36)+1))</f>
        <v/>
      </c>
      <c r="C37" s="1116" t="str">
        <f t="shared" si="0"/>
        <v/>
      </c>
      <c r="D37" s="1116"/>
      <c r="E37" s="1116"/>
      <c r="F37" s="1117"/>
      <c r="G37" s="763" t="str">
        <f t="shared" si="1"/>
        <v/>
      </c>
      <c r="H37" s="764" t="str">
        <f t="shared" si="2"/>
        <v/>
      </c>
      <c r="I37" s="784" t="str">
        <f t="shared" si="2"/>
        <v/>
      </c>
      <c r="J37" s="793"/>
      <c r="K37" s="794"/>
      <c r="L37" s="1134"/>
      <c r="M37" s="1135"/>
      <c r="N37" s="1135"/>
      <c r="O37" s="1135"/>
      <c r="P37" s="1135"/>
      <c r="Q37" s="1135"/>
      <c r="R37" s="1136"/>
      <c r="T37" s="727">
        <v>29</v>
      </c>
      <c r="U37" s="716" t="e">
        <v>#N/A</v>
      </c>
      <c r="V37" s="768" t="e">
        <v>#N/A</v>
      </c>
      <c r="W37" s="768" t="e">
        <v>#N/A</v>
      </c>
      <c r="X37" s="768" t="e">
        <v>#N/A</v>
      </c>
      <c r="Y37" s="768" t="e">
        <v>#N/A</v>
      </c>
      <c r="Z37" s="777" t="e">
        <v>#N/A</v>
      </c>
      <c r="AA37" s="777" t="e">
        <v>#N/A</v>
      </c>
      <c r="AB37" s="777" t="e">
        <v>#N/A</v>
      </c>
      <c r="AC37" s="768" t="e">
        <v>#N/A</v>
      </c>
      <c r="AD37" s="768" t="e">
        <v>#N/A</v>
      </c>
      <c r="AE37" s="768" t="e">
        <v>#N/A</v>
      </c>
      <c r="AF37" s="768" t="e">
        <v>#N/A</v>
      </c>
      <c r="AG37" s="768" t="e">
        <f t="shared" si="3"/>
        <v>#N/A</v>
      </c>
      <c r="AH37" s="768" t="str">
        <f t="shared" si="4"/>
        <v/>
      </c>
      <c r="AI37" s="769" t="e">
        <f>IF(NOT(OR(Z37=1,Z37=2)),IF(AQ37&gt;0,$AR$45*AQ37/SUMIF($AQ$9:$AQ$40,"&gt;0"),IF(AU37&gt;0,$AV$45*AU37/SUMIF($AU$9:$AU$40,"&gt;0"),IF(AS37&gt;0,$AT$45*AS37/SUMIF($AS$9:$AS$40,"&gt;0"),""))),IF(SUMIF(AJ38:$AJ$40,"=" &amp; AJ37,AI38:$AI$40)=0,"",SUMIF(AJ38:$AJ$40,"=" &amp; AJ37,AI38:$AI$40)))</f>
        <v>#N/A</v>
      </c>
      <c r="AJ37" s="770" t="e">
        <f t="shared" si="34"/>
        <v>#N/A</v>
      </c>
      <c r="AK37" s="768" t="str">
        <f t="shared" si="27"/>
        <v/>
      </c>
      <c r="AL37" s="777" t="str">
        <f t="shared" si="28"/>
        <v/>
      </c>
      <c r="AM37" s="777" t="str">
        <f t="shared" si="35"/>
        <v/>
      </c>
      <c r="AN37" s="777" t="str">
        <f t="shared" si="5"/>
        <v/>
      </c>
      <c r="AO37" s="777" t="e">
        <f t="shared" si="6"/>
        <v>#N/A</v>
      </c>
      <c r="AP37" s="768" t="str">
        <f t="shared" si="7"/>
        <v/>
      </c>
      <c r="AQ37" s="771">
        <f t="shared" si="29"/>
        <v>0</v>
      </c>
      <c r="AR37" s="772" t="str">
        <f t="shared" si="8"/>
        <v/>
      </c>
      <c r="AS37" s="773">
        <f t="shared" si="30"/>
        <v>0</v>
      </c>
      <c r="AT37" s="772" t="str">
        <f t="shared" si="9"/>
        <v/>
      </c>
      <c r="AU37" s="774">
        <f t="shared" si="10"/>
        <v>0</v>
      </c>
      <c r="AV37" s="775" t="str">
        <f t="shared" si="11"/>
        <v/>
      </c>
      <c r="AW37" s="774" t="b">
        <f t="shared" si="12"/>
        <v>0</v>
      </c>
      <c r="AX37" s="776" t="b">
        <f t="shared" si="13"/>
        <v>0</v>
      </c>
      <c r="AY37" s="774" t="b">
        <f t="shared" si="14"/>
        <v>0</v>
      </c>
      <c r="AZ37" s="776" t="b">
        <f t="shared" si="15"/>
        <v>0</v>
      </c>
      <c r="BA37" s="768" t="b">
        <f t="shared" si="16"/>
        <v>0</v>
      </c>
      <c r="BB37" s="768" t="b">
        <f t="shared" si="17"/>
        <v>0</v>
      </c>
      <c r="BC37" s="774" t="b">
        <f t="shared" si="18"/>
        <v>0</v>
      </c>
      <c r="BD37" s="777" t="b">
        <f t="shared" si="31"/>
        <v>0</v>
      </c>
      <c r="BE37" s="776" t="b">
        <f t="shared" si="37"/>
        <v>0</v>
      </c>
      <c r="BF37" s="778" t="b">
        <f t="shared" si="39"/>
        <v>0</v>
      </c>
      <c r="BG37" s="779" t="str">
        <f t="shared" si="38"/>
        <v>NA</v>
      </c>
      <c r="BH37" s="779" t="str">
        <f t="shared" si="32"/>
        <v/>
      </c>
      <c r="BI37" s="779" t="str">
        <f t="shared" si="22"/>
        <v/>
      </c>
      <c r="BJ37" s="779" t="str">
        <f t="shared" si="23"/>
        <v/>
      </c>
      <c r="BK37" s="779" t="str">
        <f t="shared" si="24"/>
        <v/>
      </c>
      <c r="BL37" s="780" t="str">
        <f t="shared" si="33"/>
        <v/>
      </c>
      <c r="BM37" s="779" t="str">
        <f t="shared" si="25"/>
        <v/>
      </c>
      <c r="BN37" s="779" t="str">
        <f t="shared" si="26"/>
        <v/>
      </c>
      <c r="BO37" s="1145"/>
      <c r="BP37" s="1146"/>
      <c r="BQ37" s="1146"/>
      <c r="BR37" s="1146"/>
      <c r="BS37" s="1146"/>
      <c r="BT37" s="1146"/>
      <c r="BU37" s="1147"/>
    </row>
    <row r="38" spans="2:73 1271:1271" s="731" customFormat="1" ht="12.95" customHeight="1" x14ac:dyDescent="0.25">
      <c r="B38" s="783" t="str">
        <f>IF(ISNA(Z38),"",IF(OR(Z38=1,Z38=2),"    ",MAX($B$9:B37)+1))</f>
        <v/>
      </c>
      <c r="C38" s="1116" t="str">
        <f>IF(ISNA(Z38),"",CONCATENATE($U38,IF(ISNUMBER(AI38),TEXT(ROUND($AI38,3)," (0.0%)"),""),IF(AU38&gt;0," Bonus","")))</f>
        <v/>
      </c>
      <c r="D38" s="1116"/>
      <c r="E38" s="1116"/>
      <c r="F38" s="1117"/>
      <c r="G38" s="763" t="str">
        <f t="shared" si="1"/>
        <v/>
      </c>
      <c r="H38" s="764" t="str">
        <f t="shared" si="2"/>
        <v/>
      </c>
      <c r="I38" s="784" t="str">
        <f t="shared" si="2"/>
        <v/>
      </c>
      <c r="J38" s="793"/>
      <c r="K38" s="794"/>
      <c r="L38" s="1134"/>
      <c r="M38" s="1135"/>
      <c r="N38" s="1135"/>
      <c r="O38" s="1135"/>
      <c r="P38" s="1135"/>
      <c r="Q38" s="1135"/>
      <c r="R38" s="1136"/>
      <c r="T38" s="727">
        <v>30</v>
      </c>
      <c r="U38" s="716" t="e">
        <v>#N/A</v>
      </c>
      <c r="V38" s="768" t="e">
        <v>#N/A</v>
      </c>
      <c r="W38" s="768" t="e">
        <v>#N/A</v>
      </c>
      <c r="X38" s="768" t="e">
        <v>#N/A</v>
      </c>
      <c r="Y38" s="768" t="e">
        <v>#N/A</v>
      </c>
      <c r="Z38" s="777" t="e">
        <v>#N/A</v>
      </c>
      <c r="AA38" s="777" t="e">
        <v>#N/A</v>
      </c>
      <c r="AB38" s="777" t="e">
        <v>#N/A</v>
      </c>
      <c r="AC38" s="768" t="e">
        <v>#N/A</v>
      </c>
      <c r="AD38" s="768" t="e">
        <v>#N/A</v>
      </c>
      <c r="AE38" s="768" t="e">
        <v>#N/A</v>
      </c>
      <c r="AF38" s="768" t="e">
        <v>#N/A</v>
      </c>
      <c r="AG38" s="768" t="e">
        <f t="shared" si="3"/>
        <v>#N/A</v>
      </c>
      <c r="AH38" s="768" t="str">
        <f t="shared" si="4"/>
        <v/>
      </c>
      <c r="AI38" s="769" t="e">
        <f>IF(NOT(OR(Z38=1,Z38=2)),IF(AQ38&gt;0,$AR$45*AQ38/SUMIF($AQ$9:$AQ$40,"&gt;0"),IF(AU38&gt;0,$AV$45*AU38/SUMIF($AU$9:$AU$40,"&gt;0"),IF(AS38&gt;0,$AT$45*AS38/SUMIF($AS$9:$AS$40,"&gt;0"),""))),IF(SUMIF(AJ39:$AJ$40,"=" &amp; AJ38,AI39:$AI$40)=0,"",SUMIF(AJ39:$AJ$40,"=" &amp; AJ38,AI39:$AI$40)))</f>
        <v>#N/A</v>
      </c>
      <c r="AJ38" s="770" t="e">
        <f t="shared" si="34"/>
        <v>#N/A</v>
      </c>
      <c r="AK38" s="768" t="str">
        <f t="shared" si="27"/>
        <v/>
      </c>
      <c r="AL38" s="777" t="str">
        <f t="shared" si="28"/>
        <v/>
      </c>
      <c r="AM38" s="777" t="str">
        <f t="shared" si="35"/>
        <v/>
      </c>
      <c r="AN38" s="777" t="str">
        <f>IF(ISNUMBER(AH38),IF(AND(AB38=0,ISNUMBER(AC38),ISNUMBER(AL38)),1,""),"")</f>
        <v/>
      </c>
      <c r="AO38" s="777" t="e">
        <f t="shared" si="6"/>
        <v>#N/A</v>
      </c>
      <c r="AP38" s="768" t="str">
        <f t="shared" si="7"/>
        <v/>
      </c>
      <c r="AQ38" s="771">
        <f t="shared" si="29"/>
        <v>0</v>
      </c>
      <c r="AR38" s="772" t="str">
        <f t="shared" si="8"/>
        <v/>
      </c>
      <c r="AS38" s="773">
        <f t="shared" si="30"/>
        <v>0</v>
      </c>
      <c r="AT38" s="772" t="str">
        <f t="shared" si="9"/>
        <v/>
      </c>
      <c r="AU38" s="774">
        <f t="shared" si="10"/>
        <v>0</v>
      </c>
      <c r="AV38" s="775" t="str">
        <f t="shared" si="11"/>
        <v/>
      </c>
      <c r="AW38" s="774" t="b">
        <f t="shared" si="12"/>
        <v>0</v>
      </c>
      <c r="AX38" s="776" t="b">
        <f t="shared" si="13"/>
        <v>0</v>
      </c>
      <c r="AY38" s="774" t="b">
        <f t="shared" si="14"/>
        <v>0</v>
      </c>
      <c r="AZ38" s="776" t="b">
        <f t="shared" si="15"/>
        <v>0</v>
      </c>
      <c r="BA38" s="768" t="b">
        <f t="shared" si="16"/>
        <v>0</v>
      </c>
      <c r="BB38" s="768" t="b">
        <f t="shared" si="17"/>
        <v>0</v>
      </c>
      <c r="BC38" s="774" t="b">
        <f t="shared" si="18"/>
        <v>0</v>
      </c>
      <c r="BD38" s="777" t="b">
        <f t="shared" si="31"/>
        <v>0</v>
      </c>
      <c r="BE38" s="776" t="b">
        <f t="shared" si="37"/>
        <v>0</v>
      </c>
      <c r="BF38" s="778" t="b">
        <f t="shared" si="39"/>
        <v>0</v>
      </c>
      <c r="BG38" s="779" t="str">
        <f t="shared" si="38"/>
        <v>NA</v>
      </c>
      <c r="BH38" s="779" t="str">
        <f t="shared" si="32"/>
        <v/>
      </c>
      <c r="BI38" s="779" t="str">
        <f t="shared" si="22"/>
        <v/>
      </c>
      <c r="BJ38" s="779" t="str">
        <f t="shared" si="23"/>
        <v/>
      </c>
      <c r="BK38" s="779" t="str">
        <f t="shared" si="24"/>
        <v/>
      </c>
      <c r="BL38" s="780" t="str">
        <f t="shared" si="33"/>
        <v/>
      </c>
      <c r="BM38" s="779" t="str">
        <f t="shared" si="25"/>
        <v/>
      </c>
      <c r="BN38" s="779" t="str">
        <f t="shared" si="26"/>
        <v/>
      </c>
      <c r="BO38" s="1148"/>
      <c r="BP38" s="1149"/>
      <c r="BQ38" s="1149"/>
      <c r="BR38" s="1149"/>
      <c r="BS38" s="1149"/>
      <c r="BT38" s="1149"/>
      <c r="BU38" s="1150"/>
    </row>
    <row r="39" spans="2:73 1271:1271" s="731" customFormat="1" ht="12.95" customHeight="1" x14ac:dyDescent="0.25">
      <c r="B39" s="783" t="str">
        <f>IF(ISNA(Z39),"",IF(OR(Z39=1,Z39=2),"    ",MAX($B$9:B38)+1))</f>
        <v/>
      </c>
      <c r="C39" s="1116" t="str">
        <f t="shared" ref="C39:C40" si="40">IF(ISNA(Z39),"",CONCATENATE($U39,IF(ISNUMBER(AI39),TEXT(ROUND($AI39,3)," (0.0%)"),""),IF(AU39&gt;0," Bonus","")))</f>
        <v/>
      </c>
      <c r="D39" s="1116"/>
      <c r="E39" s="1116"/>
      <c r="F39" s="1117"/>
      <c r="G39" s="763" t="str">
        <f t="shared" si="1"/>
        <v/>
      </c>
      <c r="H39" s="764" t="str">
        <f t="shared" si="2"/>
        <v/>
      </c>
      <c r="I39" s="784" t="str">
        <f t="shared" si="2"/>
        <v/>
      </c>
      <c r="J39" s="793"/>
      <c r="K39" s="794"/>
      <c r="L39" s="1134"/>
      <c r="M39" s="1135"/>
      <c r="N39" s="1135"/>
      <c r="O39" s="1135"/>
      <c r="P39" s="1135"/>
      <c r="Q39" s="1135"/>
      <c r="R39" s="1136"/>
      <c r="T39" s="727">
        <v>31</v>
      </c>
      <c r="U39" s="716" t="e">
        <v>#N/A</v>
      </c>
      <c r="V39" s="768" t="e">
        <v>#N/A</v>
      </c>
      <c r="W39" s="768" t="e">
        <v>#N/A</v>
      </c>
      <c r="X39" s="768" t="e">
        <v>#N/A</v>
      </c>
      <c r="Y39" s="768" t="e">
        <v>#N/A</v>
      </c>
      <c r="Z39" s="777" t="e">
        <v>#N/A</v>
      </c>
      <c r="AA39" s="777" t="e">
        <v>#N/A</v>
      </c>
      <c r="AB39" s="777" t="e">
        <v>#N/A</v>
      </c>
      <c r="AC39" s="768" t="e">
        <v>#N/A</v>
      </c>
      <c r="AD39" s="768" t="e">
        <v>#N/A</v>
      </c>
      <c r="AE39" s="768" t="e">
        <v>#N/A</v>
      </c>
      <c r="AF39" s="768" t="e">
        <v>#N/A</v>
      </c>
      <c r="AG39" s="768" t="e">
        <f t="shared" si="3"/>
        <v>#N/A</v>
      </c>
      <c r="AH39" s="768" t="str">
        <f t="shared" si="4"/>
        <v/>
      </c>
      <c r="AI39" s="769" t="e">
        <f>IF(NOT(OR(Z39=1,Z39=2)),IF(AQ39&gt;0,$AR$45*AQ39/SUMIF($AQ$9:$AQ$40,"&gt;0"),IF(AU39&gt;0,$AV$45*AU39/SUMIF($AU$9:$AU$40,"&gt;0"),IF(AS39&gt;0,$AT$45*AS39/SUMIF($AS$9:$AS$40,"&gt;0"),""))),IF(SUMIF(AJ40:$AJ$40,"=" &amp; AJ39,AI40:$AI$40)=0,"",SUMIF(AJ40:$AJ$40,"=" &amp; AJ39,AI40:$AI$40)))</f>
        <v>#N/A</v>
      </c>
      <c r="AJ39" s="770" t="e">
        <f t="shared" si="34"/>
        <v>#N/A</v>
      </c>
      <c r="AK39" s="768" t="str">
        <f t="shared" si="27"/>
        <v/>
      </c>
      <c r="AL39" s="777" t="str">
        <f t="shared" si="28"/>
        <v/>
      </c>
      <c r="AM39" s="777" t="str">
        <f t="shared" si="35"/>
        <v/>
      </c>
      <c r="AN39" s="777" t="str">
        <f>IF(ISNUMBER(AH39),IF(AND(AB39=0,ISNUMBER(AC39),ISNUMBER(AL39)),1,""),"")</f>
        <v/>
      </c>
      <c r="AO39" s="777" t="e">
        <f t="shared" si="6"/>
        <v>#N/A</v>
      </c>
      <c r="AP39" s="768" t="str">
        <f t="shared" si="7"/>
        <v/>
      </c>
      <c r="AQ39" s="771">
        <f t="shared" si="29"/>
        <v>0</v>
      </c>
      <c r="AR39" s="772" t="str">
        <f t="shared" si="8"/>
        <v/>
      </c>
      <c r="AS39" s="773">
        <f t="shared" si="30"/>
        <v>0</v>
      </c>
      <c r="AT39" s="772" t="str">
        <f t="shared" si="9"/>
        <v/>
      </c>
      <c r="AU39" s="774">
        <f t="shared" si="10"/>
        <v>0</v>
      </c>
      <c r="AV39" s="775" t="str">
        <f t="shared" si="11"/>
        <v/>
      </c>
      <c r="AW39" s="774" t="b">
        <f t="shared" si="12"/>
        <v>0</v>
      </c>
      <c r="AX39" s="776" t="b">
        <f t="shared" si="13"/>
        <v>0</v>
      </c>
      <c r="AY39" s="774" t="b">
        <f t="shared" si="14"/>
        <v>0</v>
      </c>
      <c r="AZ39" s="776" t="b">
        <f t="shared" si="15"/>
        <v>0</v>
      </c>
      <c r="BA39" s="768" t="b">
        <f t="shared" si="16"/>
        <v>0</v>
      </c>
      <c r="BB39" s="768" t="b">
        <f t="shared" si="17"/>
        <v>0</v>
      </c>
      <c r="BC39" s="774" t="b">
        <f t="shared" si="18"/>
        <v>0</v>
      </c>
      <c r="BD39" s="777" t="b">
        <f t="shared" si="31"/>
        <v>0</v>
      </c>
      <c r="BE39" s="776" t="b">
        <f t="shared" si="37"/>
        <v>0</v>
      </c>
      <c r="BF39" s="778" t="b">
        <f t="shared" si="39"/>
        <v>0</v>
      </c>
      <c r="BG39" s="779" t="str">
        <f t="shared" si="38"/>
        <v>NA</v>
      </c>
      <c r="BH39" s="779" t="str">
        <f t="shared" si="32"/>
        <v/>
      </c>
      <c r="BI39" s="779" t="str">
        <f t="shared" si="22"/>
        <v/>
      </c>
      <c r="BJ39" s="779" t="str">
        <f t="shared" si="23"/>
        <v/>
      </c>
      <c r="BK39" s="779" t="str">
        <f t="shared" si="24"/>
        <v/>
      </c>
      <c r="BL39" s="780" t="str">
        <f t="shared" si="33"/>
        <v/>
      </c>
      <c r="BM39" s="779" t="str">
        <f t="shared" si="25"/>
        <v/>
      </c>
      <c r="BN39" s="779" t="str">
        <f t="shared" si="26"/>
        <v/>
      </c>
      <c r="BO39" s="782" t="s">
        <v>373</v>
      </c>
      <c r="BP39" s="782"/>
      <c r="BQ39" s="782"/>
      <c r="BR39" s="782"/>
      <c r="BS39" s="782"/>
      <c r="BT39" s="782"/>
      <c r="BU39" s="782"/>
    </row>
    <row r="40" spans="2:73 1271:1271" s="731" customFormat="1" ht="12.95" customHeight="1" thickBot="1" x14ac:dyDescent="0.3">
      <c r="B40" s="783" t="str">
        <f>IF(ISNA(Z40),"",IF(OR(Z40=1,Z40=2),"    ",MAX($B$9:B39)+1))</f>
        <v/>
      </c>
      <c r="C40" s="1116" t="str">
        <f t="shared" si="40"/>
        <v/>
      </c>
      <c r="D40" s="1116"/>
      <c r="E40" s="1116"/>
      <c r="F40" s="1117"/>
      <c r="G40" s="808" t="str">
        <f t="shared" si="1"/>
        <v/>
      </c>
      <c r="H40" s="764" t="str">
        <f t="shared" si="2"/>
        <v/>
      </c>
      <c r="I40" s="809" t="str">
        <f t="shared" si="2"/>
        <v/>
      </c>
      <c r="J40" s="810"/>
      <c r="K40" s="811"/>
      <c r="L40" s="1137"/>
      <c r="M40" s="1138"/>
      <c r="N40" s="1138"/>
      <c r="O40" s="1138"/>
      <c r="P40" s="1138"/>
      <c r="Q40" s="1138"/>
      <c r="R40" s="1139"/>
      <c r="T40" s="727">
        <v>32</v>
      </c>
      <c r="U40" s="716" t="e">
        <v>#N/A</v>
      </c>
      <c r="V40" s="768" t="e">
        <v>#N/A</v>
      </c>
      <c r="W40" s="768" t="e">
        <v>#N/A</v>
      </c>
      <c r="X40" s="768" t="e">
        <v>#N/A</v>
      </c>
      <c r="Y40" s="768" t="e">
        <v>#N/A</v>
      </c>
      <c r="Z40" s="777" t="e">
        <v>#N/A</v>
      </c>
      <c r="AA40" s="777" t="e">
        <v>#N/A</v>
      </c>
      <c r="AB40" s="777" t="e">
        <v>#N/A</v>
      </c>
      <c r="AC40" s="768" t="e">
        <v>#N/A</v>
      </c>
      <c r="AD40" s="768" t="e">
        <v>#N/A</v>
      </c>
      <c r="AE40" s="768" t="e">
        <v>#N/A</v>
      </c>
      <c r="AF40" s="768" t="e">
        <v>#N/A</v>
      </c>
      <c r="AG40" s="768" t="e">
        <f t="shared" si="3"/>
        <v>#N/A</v>
      </c>
      <c r="AH40" s="768" t="str">
        <f t="shared" si="4"/>
        <v/>
      </c>
      <c r="AI40" s="769" t="e">
        <f>IF(NOT(OR(Z40=1,Z40=2)),IF(AQ40&gt;0,$AR$45*AQ40/SUMIF($AQ$9:$AQ$40,"&gt;0"),IF(AU40&gt;0,$AV$45*AU40/SUMIF($AU$9:$AU$40,"&gt;0"),IF(AS40&gt;0,$AT$45*AS40/SUMIF($AS$9:$AS$40,"&gt;0"),""))),IF(SUMIF(AJ$40:$AJ41,"=" &amp; AJ40,AI$40:$AI41)=0,"",SUMIF(AJ$40:$AJ41,"=" &amp; AJ40,AI$40:$AI41)))</f>
        <v>#N/A</v>
      </c>
      <c r="AJ40" s="770" t="e">
        <f t="shared" si="34"/>
        <v>#N/A</v>
      </c>
      <c r="AK40" s="768" t="str">
        <f t="shared" si="27"/>
        <v/>
      </c>
      <c r="AL40" s="777" t="str">
        <f t="shared" si="28"/>
        <v/>
      </c>
      <c r="AM40" s="777" t="str">
        <f t="shared" si="35"/>
        <v/>
      </c>
      <c r="AN40" s="777" t="str">
        <f>IF(ISNUMBER(AH40),IF(AND(AB40=0,ISNUMBER(AC40),ISNUMBER(AL40)),1,""),"")</f>
        <v/>
      </c>
      <c r="AO40" s="777" t="e">
        <f t="shared" si="6"/>
        <v>#N/A</v>
      </c>
      <c r="AP40" s="768" t="str">
        <f t="shared" si="7"/>
        <v/>
      </c>
      <c r="AQ40" s="771">
        <f t="shared" si="29"/>
        <v>0</v>
      </c>
      <c r="AR40" s="772" t="str">
        <f t="shared" si="8"/>
        <v/>
      </c>
      <c r="AS40" s="773">
        <f t="shared" si="30"/>
        <v>0</v>
      </c>
      <c r="AT40" s="772" t="str">
        <f t="shared" si="9"/>
        <v/>
      </c>
      <c r="AU40" s="774">
        <f t="shared" si="10"/>
        <v>0</v>
      </c>
      <c r="AV40" s="775" t="str">
        <f t="shared" si="11"/>
        <v/>
      </c>
      <c r="AW40" s="774" t="b">
        <f t="shared" si="12"/>
        <v>0</v>
      </c>
      <c r="AX40" s="776" t="b">
        <f t="shared" si="13"/>
        <v>0</v>
      </c>
      <c r="AY40" s="774" t="b">
        <f t="shared" si="14"/>
        <v>0</v>
      </c>
      <c r="AZ40" s="776" t="b">
        <f t="shared" si="15"/>
        <v>0</v>
      </c>
      <c r="BA40" s="768" t="b">
        <f t="shared" si="16"/>
        <v>0</v>
      </c>
      <c r="BB40" s="768" t="b">
        <f t="shared" si="17"/>
        <v>0</v>
      </c>
      <c r="BC40" s="774" t="b">
        <f t="shared" si="18"/>
        <v>0</v>
      </c>
      <c r="BD40" s="777" t="b">
        <f t="shared" si="31"/>
        <v>0</v>
      </c>
      <c r="BE40" s="776" t="b">
        <f t="shared" si="37"/>
        <v>0</v>
      </c>
      <c r="BF40" s="778" t="b">
        <f t="shared" si="39"/>
        <v>0</v>
      </c>
      <c r="BG40" s="779" t="str">
        <f t="shared" si="38"/>
        <v>NA</v>
      </c>
      <c r="BH40" s="779" t="str">
        <f t="shared" si="32"/>
        <v/>
      </c>
      <c r="BI40" s="779" t="str">
        <f t="shared" si="22"/>
        <v/>
      </c>
      <c r="BJ40" s="779" t="str">
        <f t="shared" si="23"/>
        <v/>
      </c>
      <c r="BK40" s="779" t="str">
        <f t="shared" si="24"/>
        <v/>
      </c>
      <c r="BL40" s="779" t="str">
        <f t="shared" si="33"/>
        <v/>
      </c>
      <c r="BM40" s="779" t="str">
        <f t="shared" si="25"/>
        <v/>
      </c>
      <c r="BN40" s="779" t="str">
        <f t="shared" si="26"/>
        <v/>
      </c>
      <c r="BO40" s="1142"/>
      <c r="BP40" s="1143"/>
      <c r="BQ40" s="1143"/>
      <c r="BR40" s="1143"/>
      <c r="BS40" s="1143"/>
      <c r="BT40" s="1143"/>
      <c r="BU40" s="1144"/>
    </row>
    <row r="41" spans="2:73 1271:1271" s="720" customFormat="1" ht="8.25" customHeight="1" x14ac:dyDescent="0.25">
      <c r="B41" s="1151" t="s">
        <v>374</v>
      </c>
      <c r="C41" s="1152"/>
      <c r="D41" s="1153"/>
      <c r="E41" s="812" t="s">
        <v>375</v>
      </c>
      <c r="F41" s="1154" t="s">
        <v>376</v>
      </c>
      <c r="G41" s="1155"/>
      <c r="H41" s="1155" t="s">
        <v>377</v>
      </c>
      <c r="I41" s="1155"/>
      <c r="J41" s="1156" t="s">
        <v>378</v>
      </c>
      <c r="K41" s="1157"/>
      <c r="L41" s="813" t="s">
        <v>379</v>
      </c>
      <c r="M41" s="1158" t="s">
        <v>380</v>
      </c>
      <c r="N41" s="1158"/>
      <c r="O41" s="1159" t="str">
        <f>IF(U45,"DO REVIEW","DO REV N/A")</f>
        <v>DO REV N/A</v>
      </c>
      <c r="P41" s="1160"/>
      <c r="Q41" s="814" t="str">
        <f>IF(U46,"ED REVIEW","ED REV N/A")</f>
        <v>ED REVIEW</v>
      </c>
      <c r="R41" s="815"/>
      <c r="S41" s="816">
        <v>0</v>
      </c>
      <c r="AI41" s="817"/>
      <c r="AJ41" s="721"/>
      <c r="AK41" s="721"/>
      <c r="AL41" s="721"/>
      <c r="AM41" s="721"/>
      <c r="AN41" s="721"/>
      <c r="AO41" s="718"/>
      <c r="AP41" s="721"/>
      <c r="AQ41" s="818"/>
      <c r="AR41" s="721"/>
      <c r="AS41" s="818"/>
      <c r="AT41" s="721"/>
      <c r="AU41" s="818"/>
      <c r="AV41" s="819"/>
      <c r="AW41" s="721"/>
      <c r="AX41" s="721"/>
      <c r="AY41" s="721"/>
      <c r="AZ41" s="721"/>
      <c r="BA41" s="721"/>
      <c r="BB41" s="721"/>
      <c r="BC41" s="721"/>
      <c r="BD41" s="721"/>
      <c r="BE41" s="721"/>
      <c r="BF41" s="721"/>
      <c r="BG41" s="721"/>
      <c r="BH41" s="718"/>
      <c r="BI41" s="718"/>
      <c r="BJ41" s="718"/>
      <c r="BK41" s="718"/>
      <c r="BL41" s="718"/>
      <c r="BM41" s="718"/>
      <c r="BN41" s="718"/>
      <c r="BO41" s="1145"/>
      <c r="BP41" s="1146"/>
      <c r="BQ41" s="1146"/>
      <c r="BR41" s="1146"/>
      <c r="BS41" s="1146"/>
      <c r="BT41" s="1146"/>
      <c r="BU41" s="1147"/>
    </row>
    <row r="42" spans="2:73 1271:1271" ht="18.75" customHeight="1" thickBot="1" x14ac:dyDescent="0.3">
      <c r="B42" s="1161" t="str">
        <f>IF(ISERROR(AR47),"",TEXT(AR46,"0.0%"))</f>
        <v>0.0%</v>
      </c>
      <c r="C42" s="1162"/>
      <c r="D42" s="1163"/>
      <c r="E42" s="820" t="str">
        <f>IF(AU42=0,"N/A",CONCATENATE(TEXT(AV46,"0.0%")," of ",TEXT(AV45,"0.0%")))</f>
        <v>N/A</v>
      </c>
      <c r="F42" s="1165" t="str">
        <f>IF((graded_aca_events+graded_amn_events)&lt;1,"---",IF(AND(AW5,AX5),"INCOMPLETE",IF(AND(NOT(AW5),AX5),"ACA INC",IF(AND(AW5,NOT(AX5)),"AMN INC","COMPLETE"))))</f>
        <v>---</v>
      </c>
      <c r="G42" s="1165"/>
      <c r="H42" s="1165" t="str">
        <f>IF(AU5,IF(OR(AY5="UNK",NOT(AN7)),"---",IF(AY5,"UNSAT",IF(AVERAGEIFS(AT9:AT40,AS9:AS40,"&gt;0")&lt;0.9,"MARG","SAT"))),"N/A")</f>
        <v>N/A</v>
      </c>
      <c r="I42" s="1165"/>
      <c r="J42" s="1166" t="str">
        <f>IF(OR(AZ5="UNK",NOT(AM7)),"---",IF(OR(AZ5,AR46&lt;0.7),"FAIL","PASS"))</f>
        <v>---</v>
      </c>
      <c r="K42" s="1167"/>
      <c r="L42" s="821"/>
      <c r="M42" s="1168"/>
      <c r="N42" s="1168"/>
      <c r="O42" s="1306" t="s">
        <v>265</v>
      </c>
      <c r="P42" s="1306"/>
      <c r="Q42" s="1306" t="s">
        <v>265</v>
      </c>
      <c r="R42" s="1307"/>
      <c r="S42" s="802"/>
      <c r="T42" s="727" t="s">
        <v>381</v>
      </c>
      <c r="U42" s="777" t="s">
        <v>382</v>
      </c>
      <c r="V42" s="822"/>
      <c r="W42" s="822"/>
      <c r="X42" s="822"/>
      <c r="Y42" s="822"/>
      <c r="Z42" s="822"/>
      <c r="AA42" s="822"/>
      <c r="AB42" s="822"/>
      <c r="AC42" s="822"/>
      <c r="AD42" s="822"/>
      <c r="AE42" s="822"/>
      <c r="AF42" s="822"/>
      <c r="AG42" s="822"/>
      <c r="AH42" s="822"/>
      <c r="AI42" s="713"/>
      <c r="AJ42" s="712"/>
      <c r="AK42" s="822"/>
      <c r="AL42" s="822"/>
      <c r="AM42" s="822">
        <f>SUM(AM9:AM40)</f>
        <v>0</v>
      </c>
      <c r="AN42" s="822">
        <f>SUM(AN9:AN40)</f>
        <v>0</v>
      </c>
      <c r="AO42" s="727"/>
      <c r="AP42" s="712"/>
      <c r="AQ42" s="823">
        <f>SUMIF(AQ9:AQ40,"&gt;0")</f>
        <v>11.940199999999999</v>
      </c>
      <c r="AR42" s="824">
        <f>IF(AQ42=0,0,SUMPRODUCT($AQ$9:$AQ$40,AR9:AR40)/SUM($AQ$9:$AQ$40))</f>
        <v>0</v>
      </c>
      <c r="AS42" s="825">
        <f>SUMIF(AS9:AS40,"&gt;0")</f>
        <v>0</v>
      </c>
      <c r="AT42" s="824">
        <f>IF(AS42=0,0,SUMPRODUCT($AS$9:$AS$40,AT9:AT40)/SUM($AS$9:$AS$40))</f>
        <v>0</v>
      </c>
      <c r="AU42" s="825">
        <f>SUM(AU10:AU40)</f>
        <v>0</v>
      </c>
      <c r="AV42" s="824">
        <f>IF(AU42=0,0,SUMPRODUCT($AU$9:$AU$40,AV9:AV40)/SUM($AU$9:$AU$40))</f>
        <v>0</v>
      </c>
      <c r="AW42" s="826"/>
      <c r="AX42" s="826"/>
      <c r="AY42" s="826"/>
      <c r="AZ42" s="826"/>
      <c r="BA42" s="826"/>
      <c r="BB42" s="826"/>
      <c r="BC42" s="716" t="s">
        <v>383</v>
      </c>
      <c r="BD42" s="716" t="s">
        <v>384</v>
      </c>
      <c r="BE42" s="716" t="s">
        <v>385</v>
      </c>
      <c r="BF42" s="716"/>
      <c r="BG42" s="718"/>
      <c r="BO42" s="1145"/>
      <c r="BP42" s="1146"/>
      <c r="BQ42" s="1146"/>
      <c r="BR42" s="1146"/>
      <c r="BS42" s="1146"/>
      <c r="BT42" s="1146"/>
      <c r="BU42" s="1147"/>
      <c r="AVW42" s="827"/>
    </row>
    <row r="43" spans="2:73 1271:1271" ht="7.5" customHeight="1" thickTop="1" x14ac:dyDescent="0.25">
      <c r="L43" s="1164" t="s">
        <v>889</v>
      </c>
      <c r="M43" s="1164"/>
      <c r="N43" s="1164"/>
      <c r="O43" s="1164"/>
      <c r="P43" s="1164"/>
      <c r="Q43" s="1164"/>
      <c r="R43" s="1164"/>
      <c r="AP43" s="822"/>
      <c r="AQ43" s="712"/>
      <c r="AR43" s="712"/>
      <c r="AT43" s="824"/>
      <c r="AU43" s="824"/>
      <c r="AV43" s="824"/>
      <c r="AW43" s="712"/>
      <c r="AX43" s="824"/>
      <c r="BE43" s="716"/>
      <c r="BF43" s="716"/>
      <c r="BO43" s="1148"/>
      <c r="BP43" s="1149"/>
      <c r="BQ43" s="1149"/>
      <c r="BR43" s="1149"/>
      <c r="BS43" s="1149"/>
      <c r="BT43" s="1149"/>
      <c r="BU43" s="1150"/>
    </row>
    <row r="44" spans="2:73 1271:1271" ht="30.75" customHeight="1" x14ac:dyDescent="0.25">
      <c r="T44" s="828" t="s">
        <v>386</v>
      </c>
      <c r="U44" s="777" t="b">
        <v>0</v>
      </c>
      <c r="AI44" s="717">
        <f ca="1">SUMIF(AJ9:$AJ$40,"=" &amp; AJ9,AI10:$AI$40)</f>
        <v>0.33418200700155776</v>
      </c>
      <c r="AK44" s="718"/>
      <c r="AL44" s="718"/>
      <c r="AM44" s="718"/>
      <c r="AN44" s="718"/>
      <c r="AO44" s="829"/>
      <c r="AQ44" s="718"/>
      <c r="AR44" s="718"/>
      <c r="AS44" s="748" t="s">
        <v>387</v>
      </c>
      <c r="AT44" s="830">
        <f>SUMIF(X9:X40,"&gt;0")/SUMIF(W9:W40,"&gt;0")</f>
        <v>0</v>
      </c>
      <c r="AU44" s="748" t="s">
        <v>388</v>
      </c>
      <c r="AV44" s="831">
        <f>SUMIF(AU9:AU40,"&gt;0")/SUMIF(AQ9:AQ40,"&gt;0")</f>
        <v>0</v>
      </c>
      <c r="AW44" s="832"/>
      <c r="AY44" s="718"/>
      <c r="AZ44" s="718"/>
      <c r="BE44" s="716" t="b">
        <f>AND(ISBLANK($K31),J31&gt;0)</f>
        <v>0</v>
      </c>
      <c r="BF44" s="716"/>
      <c r="BH44" s="716"/>
      <c r="BO44" s="718"/>
      <c r="BP44" s="718"/>
      <c r="BQ44" s="719"/>
    </row>
    <row r="45" spans="2:73 1271:1271" ht="30.75" customHeight="1" x14ac:dyDescent="0.25">
      <c r="J45" s="833"/>
      <c r="T45" s="834" t="s">
        <v>389</v>
      </c>
      <c r="U45" s="716" t="b">
        <f>IF(AND(Flight?,OR(AW5,AY5,BA5,AZ5,AR46&lt;0.7,H42="MARG")),TRUE,FALSE)</f>
        <v>0</v>
      </c>
      <c r="AK45" s="718"/>
      <c r="AL45" s="718"/>
      <c r="AM45" s="718"/>
      <c r="AN45" s="718"/>
      <c r="AO45" s="835"/>
      <c r="AP45" s="718"/>
      <c r="AQ45" s="748" t="s">
        <v>390</v>
      </c>
      <c r="AR45" s="836">
        <f>1-AT45</f>
        <v>1</v>
      </c>
      <c r="AS45" s="748" t="s">
        <v>391</v>
      </c>
      <c r="AT45" s="830">
        <f>MIN(AT44,AT7)</f>
        <v>0</v>
      </c>
      <c r="AU45" s="748" t="s">
        <v>392</v>
      </c>
      <c r="AV45" s="837">
        <f>MIN(AV44,AV7)</f>
        <v>0</v>
      </c>
      <c r="AZ45" s="718"/>
      <c r="BE45" s="716"/>
      <c r="BF45" s="716"/>
      <c r="BH45" s="716"/>
      <c r="BO45" s="718"/>
      <c r="BP45" s="718"/>
      <c r="BQ45" s="719"/>
    </row>
    <row r="46" spans="2:73 1271:1271" ht="26.25" x14ac:dyDescent="0.25">
      <c r="T46" s="834" t="s">
        <v>393</v>
      </c>
      <c r="U46" s="716" t="b">
        <f>IF(OR(AX5,AY5,AZ5,BB5,AR46&lt;0.7),TRUE,FALSE)</f>
        <v>1</v>
      </c>
      <c r="AK46" s="718"/>
      <c r="AL46" s="718"/>
      <c r="AM46" s="718"/>
      <c r="AN46" s="718"/>
      <c r="AO46" s="838"/>
      <c r="AP46" s="718"/>
      <c r="AQ46" s="748" t="s">
        <v>394</v>
      </c>
      <c r="AR46" s="717">
        <f>AR42*(1-AT45)+(AT42*AT45)</f>
        <v>0</v>
      </c>
      <c r="AU46" s="718" t="s">
        <v>324</v>
      </c>
      <c r="AV46" s="837">
        <f>AV42*AV45</f>
        <v>0</v>
      </c>
      <c r="AY46" s="718"/>
      <c r="AZ46" s="718"/>
      <c r="BE46" s="716"/>
      <c r="BF46" s="716"/>
      <c r="BH46" s="716"/>
      <c r="BO46" s="718"/>
      <c r="BP46" s="718"/>
      <c r="BQ46" s="719"/>
    </row>
    <row r="47" spans="2:73 1271:1271" ht="26.25" x14ac:dyDescent="0.25">
      <c r="T47" s="834" t="s">
        <v>395</v>
      </c>
      <c r="U47" s="716" t="b">
        <v>0</v>
      </c>
      <c r="AK47" s="718"/>
      <c r="AL47" s="718"/>
      <c r="AM47" s="718"/>
      <c r="AN47" s="718"/>
      <c r="AO47" s="838"/>
      <c r="AP47" s="718"/>
      <c r="AQ47" s="748" t="s">
        <v>396</v>
      </c>
      <c r="AR47" s="837">
        <f>MIN(1,IF(NOT(OR(AY5,AZ5)),AR46+AV46,MIN(0.69,AR46+AV46)))</f>
        <v>0</v>
      </c>
      <c r="AY47" s="718"/>
      <c r="BE47" s="716"/>
      <c r="BF47" s="716"/>
      <c r="BI47" s="716"/>
      <c r="BO47" s="718"/>
      <c r="BP47" s="718"/>
      <c r="BQ47" s="719"/>
    </row>
    <row r="48" spans="2:73 1271:1271" x14ac:dyDescent="0.25">
      <c r="T48" s="834" t="s">
        <v>397</v>
      </c>
      <c r="U48" s="716" t="b">
        <f>IF(NOT(Flight?),TRUE,NOT(OR(ISBLANK(comments),ISBLANK(hdr_class),ISBLANK(hdr_date),ISBLANK(hdr_stud),ISBLANK(hdr_instr),ISBLANK(hdr_acft),ISBLANK(hdr_time),F42="---")))</f>
        <v>1</v>
      </c>
      <c r="AK48" s="718"/>
      <c r="AL48" s="718"/>
      <c r="AM48" s="718"/>
      <c r="AN48" s="718"/>
      <c r="AO48" s="838"/>
      <c r="AP48" s="718"/>
      <c r="AQ48" s="718"/>
      <c r="AR48" s="839"/>
      <c r="AS48" s="837"/>
      <c r="AU48" s="718"/>
      <c r="AV48" s="718"/>
      <c r="AW48" s="718"/>
    </row>
    <row r="49" spans="20:56" x14ac:dyDescent="0.25">
      <c r="T49" s="834" t="s">
        <v>398</v>
      </c>
      <c r="U49" s="716" t="b">
        <f>IF(Flight?,TRUE,NOT(OR(ISBLANK(comments),ISBLANK(hdr_class),ISBLANK(hdr_date),ISBLANK(hdr_stud),ISBLANK(hdr_instr),F42="---")))</f>
        <v>0</v>
      </c>
      <c r="AK49" s="718"/>
      <c r="AL49" s="718"/>
      <c r="AM49" s="718"/>
      <c r="AN49" s="718"/>
      <c r="AO49" s="835"/>
      <c r="AP49" s="712" t="s">
        <v>399</v>
      </c>
      <c r="AQ49" s="712"/>
      <c r="AR49" s="712"/>
      <c r="AS49" s="712"/>
      <c r="AT49" s="712"/>
      <c r="AU49" s="718"/>
      <c r="AV49" s="718"/>
      <c r="AW49" s="718"/>
    </row>
    <row r="50" spans="20:56" x14ac:dyDescent="0.25">
      <c r="T50" s="834" t="s">
        <v>400</v>
      </c>
      <c r="U50" s="716" t="b">
        <f>AND(U48:U49)</f>
        <v>0</v>
      </c>
      <c r="AK50" s="718"/>
      <c r="AL50" s="718"/>
      <c r="AM50" s="718"/>
      <c r="AN50" s="718"/>
      <c r="AO50" s="835"/>
      <c r="AP50" s="712"/>
      <c r="AQ50" s="712"/>
      <c r="AR50" s="712">
        <v>0</v>
      </c>
      <c r="AS50" s="712">
        <v>1</v>
      </c>
      <c r="AT50" s="712">
        <v>2</v>
      </c>
      <c r="AU50" s="712">
        <v>3</v>
      </c>
      <c r="AV50" s="712">
        <v>4</v>
      </c>
      <c r="AW50" s="718"/>
    </row>
    <row r="51" spans="20:56" x14ac:dyDescent="0.25">
      <c r="AK51" s="718"/>
      <c r="AL51" s="718"/>
      <c r="AM51" s="718"/>
      <c r="AN51" s="718"/>
      <c r="AO51" s="835"/>
      <c r="AP51" s="712" t="s">
        <v>359</v>
      </c>
      <c r="AQ51" s="712">
        <v>1</v>
      </c>
      <c r="AR51" s="840">
        <v>0.7</v>
      </c>
      <c r="AS51" s="840">
        <v>0.9</v>
      </c>
      <c r="AT51" s="840">
        <v>0.93330000000000002</v>
      </c>
      <c r="AU51" s="840">
        <v>0.9667</v>
      </c>
      <c r="AV51" s="840">
        <v>1</v>
      </c>
      <c r="AW51" s="718"/>
    </row>
    <row r="52" spans="20:56" x14ac:dyDescent="0.25">
      <c r="AK52" s="718"/>
      <c r="AL52" s="718"/>
      <c r="AM52" s="718"/>
      <c r="AN52" s="718"/>
      <c r="AO52" s="835"/>
      <c r="AP52" s="712" t="s">
        <v>360</v>
      </c>
      <c r="AQ52" s="712">
        <v>2</v>
      </c>
      <c r="AR52" s="840">
        <v>0.7</v>
      </c>
      <c r="AS52" s="840">
        <v>0.8</v>
      </c>
      <c r="AT52" s="840">
        <v>0.9</v>
      </c>
      <c r="AU52" s="840">
        <v>0.95</v>
      </c>
      <c r="AV52" s="840">
        <v>1</v>
      </c>
      <c r="AW52" s="718"/>
    </row>
    <row r="53" spans="20:56" x14ac:dyDescent="0.25">
      <c r="AK53" s="718"/>
      <c r="AL53" s="718"/>
      <c r="AM53" s="718"/>
      <c r="AN53" s="718"/>
      <c r="AO53" s="835"/>
      <c r="AP53" s="712" t="s">
        <v>361</v>
      </c>
      <c r="AQ53" s="712">
        <v>3</v>
      </c>
      <c r="AR53" s="840">
        <v>0.7</v>
      </c>
      <c r="AS53" s="840">
        <v>0.76670000000000005</v>
      </c>
      <c r="AT53" s="840">
        <v>0.83330000000000004</v>
      </c>
      <c r="AU53" s="840">
        <v>0.9</v>
      </c>
      <c r="AV53" s="840">
        <v>1</v>
      </c>
      <c r="AW53" s="718"/>
    </row>
    <row r="54" spans="20:56" x14ac:dyDescent="0.25">
      <c r="AP54" s="841" t="s">
        <v>362</v>
      </c>
      <c r="AQ54" s="712">
        <v>11</v>
      </c>
      <c r="AR54" s="840">
        <v>0.6</v>
      </c>
      <c r="AS54" s="840">
        <v>0.9</v>
      </c>
      <c r="AT54" s="840">
        <v>0.93330000000000002</v>
      </c>
      <c r="AU54" s="840">
        <v>0.9667</v>
      </c>
      <c r="AV54" s="840">
        <v>1</v>
      </c>
      <c r="AW54" s="718"/>
    </row>
    <row r="55" spans="20:56" x14ac:dyDescent="0.25">
      <c r="AP55" s="841" t="s">
        <v>363</v>
      </c>
      <c r="AQ55" s="712">
        <v>12</v>
      </c>
      <c r="AR55" s="840">
        <v>0.6</v>
      </c>
      <c r="AS55" s="840">
        <v>0.7</v>
      </c>
      <c r="AT55" s="840">
        <v>0.9</v>
      </c>
      <c r="AU55" s="840">
        <v>0.95</v>
      </c>
      <c r="AV55" s="840">
        <v>1</v>
      </c>
      <c r="AW55" s="718"/>
    </row>
    <row r="56" spans="20:56" x14ac:dyDescent="0.25">
      <c r="AP56" s="841" t="s">
        <v>364</v>
      </c>
      <c r="AQ56" s="712">
        <v>13</v>
      </c>
      <c r="AR56" s="840">
        <v>0.6</v>
      </c>
      <c r="AS56" s="840">
        <v>0.7</v>
      </c>
      <c r="AT56" s="840">
        <v>0.8</v>
      </c>
      <c r="AU56" s="840">
        <v>0.9</v>
      </c>
      <c r="AV56" s="840">
        <v>1</v>
      </c>
      <c r="AW56" s="718"/>
    </row>
    <row r="57" spans="20:56" x14ac:dyDescent="0.25">
      <c r="AP57" s="841" t="s">
        <v>365</v>
      </c>
      <c r="AQ57" s="712">
        <v>22</v>
      </c>
      <c r="AR57" s="840">
        <v>0.3</v>
      </c>
      <c r="AS57" s="840">
        <v>0.6</v>
      </c>
      <c r="AT57" s="840">
        <v>0.9</v>
      </c>
      <c r="AU57" s="840">
        <v>0.95</v>
      </c>
      <c r="AV57" s="840">
        <v>1</v>
      </c>
      <c r="AW57" s="718"/>
    </row>
    <row r="58" spans="20:56" x14ac:dyDescent="0.25">
      <c r="AP58" s="841" t="s">
        <v>366</v>
      </c>
      <c r="AQ58" s="712">
        <v>23</v>
      </c>
      <c r="AR58" s="840">
        <v>0.3</v>
      </c>
      <c r="AS58" s="840">
        <v>0.6</v>
      </c>
      <c r="AT58" s="840">
        <v>0.7</v>
      </c>
      <c r="AU58" s="840">
        <v>0.9</v>
      </c>
      <c r="AV58" s="840">
        <v>1</v>
      </c>
      <c r="AW58" s="718"/>
    </row>
    <row r="59" spans="20:56" x14ac:dyDescent="0.25">
      <c r="AP59" s="841" t="s">
        <v>367</v>
      </c>
      <c r="AQ59" s="712">
        <v>33</v>
      </c>
      <c r="AR59" s="840">
        <v>0</v>
      </c>
      <c r="AS59" s="840">
        <v>0.3</v>
      </c>
      <c r="AT59" s="840">
        <v>0.6</v>
      </c>
      <c r="AU59" s="840">
        <v>0.9</v>
      </c>
      <c r="AV59" s="840">
        <v>1</v>
      </c>
      <c r="AW59" s="85"/>
      <c r="AX59" s="88"/>
      <c r="BC59" s="88"/>
      <c r="BD59" s="88"/>
    </row>
    <row r="60" spans="20:56" x14ac:dyDescent="0.25">
      <c r="AP60" s="718"/>
      <c r="AQ60" s="718"/>
      <c r="AR60" s="718"/>
      <c r="AS60" s="718"/>
      <c r="AT60" s="718"/>
      <c r="AU60" s="718"/>
      <c r="AV60" s="718"/>
      <c r="AW60" s="88"/>
      <c r="AX60" s="88"/>
      <c r="BC60" s="88"/>
      <c r="BD60" s="88"/>
    </row>
    <row r="61" spans="20:56" x14ac:dyDescent="0.25">
      <c r="AP61" s="88"/>
      <c r="AQ61" s="85"/>
      <c r="AR61" s="88"/>
      <c r="AS61" s="88"/>
      <c r="AT61" s="88"/>
      <c r="AU61" s="88"/>
      <c r="AV61" s="88"/>
      <c r="AW61" s="85"/>
      <c r="AX61" s="85"/>
      <c r="BC61" s="88"/>
      <c r="BD61" s="88"/>
    </row>
    <row r="62" spans="20:56" x14ac:dyDescent="0.25">
      <c r="AP62" s="200"/>
      <c r="AQ62" s="85"/>
      <c r="AR62" s="88"/>
      <c r="AS62" s="88"/>
      <c r="AT62" s="88"/>
      <c r="AU62" s="88"/>
      <c r="AV62" s="88"/>
      <c r="AW62" s="85"/>
      <c r="AX62" s="85"/>
      <c r="BC62" s="88"/>
      <c r="BD62" s="88"/>
    </row>
    <row r="63" spans="20:56" x14ac:dyDescent="0.25">
      <c r="AP63" s="85"/>
      <c r="AQ63" s="85"/>
      <c r="AR63" s="88"/>
      <c r="AS63" s="88"/>
      <c r="AT63" s="88"/>
      <c r="AU63" s="88"/>
      <c r="AV63" s="88"/>
      <c r="AW63" s="85"/>
      <c r="AX63" s="85"/>
      <c r="BC63" s="88"/>
      <c r="BD63" s="88"/>
    </row>
    <row r="64" spans="20:56" x14ac:dyDescent="0.25">
      <c r="AP64" s="85"/>
      <c r="AQ64" s="85"/>
      <c r="AR64" s="88"/>
      <c r="AS64" s="88"/>
      <c r="AT64" s="88"/>
      <c r="AU64" s="88"/>
      <c r="AV64" s="88"/>
      <c r="AW64" s="85"/>
      <c r="AX64" s="88"/>
      <c r="BC64" s="88"/>
      <c r="BD64" s="88"/>
    </row>
    <row r="65" spans="42:56" x14ac:dyDescent="0.25">
      <c r="AP65" s="85"/>
      <c r="AQ65" s="85"/>
      <c r="AR65" s="88"/>
      <c r="AS65" s="88"/>
      <c r="AT65" s="88"/>
      <c r="AU65" s="88"/>
      <c r="AV65" s="88"/>
      <c r="AW65" s="85"/>
      <c r="AX65" s="88"/>
      <c r="BC65" s="88"/>
      <c r="BD65" s="88"/>
    </row>
    <row r="66" spans="42:56" x14ac:dyDescent="0.25">
      <c r="AP66" s="85"/>
      <c r="AQ66" s="85"/>
      <c r="AR66" s="88"/>
      <c r="AS66" s="88"/>
      <c r="AT66" s="88"/>
      <c r="AU66" s="88"/>
      <c r="AV66" s="88"/>
    </row>
    <row r="67" spans="42:56" x14ac:dyDescent="0.25">
      <c r="AP67" s="85"/>
      <c r="AQ67" s="85"/>
      <c r="AR67" s="88"/>
      <c r="AS67" s="88"/>
      <c r="AT67" s="88"/>
      <c r="AU67" s="88"/>
      <c r="AV67" s="88"/>
    </row>
  </sheetData>
  <sheetProtection algorithmName="SHA-512" hashValue="3lGtQjgraP/hIfIGv2RYxFMpg6MeuTwQ3ltQMM1JTcvaO9zt4aLsIRAEdc5zSnOVnqw4n/3TqCHk2btVsoaToA==" saltValue="LOfA0vIJk93rS0fyMoHMkg==" spinCount="100000" sheet="1"/>
  <mergeCells count="76">
    <mergeCell ref="C40:F40"/>
    <mergeCell ref="BO40:BU43"/>
    <mergeCell ref="B41:D41"/>
    <mergeCell ref="F41:G41"/>
    <mergeCell ref="H41:I41"/>
    <mergeCell ref="J41:K41"/>
    <mergeCell ref="M41:N41"/>
    <mergeCell ref="O41:P41"/>
    <mergeCell ref="B42:D42"/>
    <mergeCell ref="L43:R43"/>
    <mergeCell ref="F42:G42"/>
    <mergeCell ref="H42:I42"/>
    <mergeCell ref="J42:K42"/>
    <mergeCell ref="M42:N42"/>
    <mergeCell ref="O42:P42"/>
    <mergeCell ref="Q42:R42"/>
    <mergeCell ref="BO35:BU38"/>
    <mergeCell ref="C36:F36"/>
    <mergeCell ref="C37:F37"/>
    <mergeCell ref="C38:F38"/>
    <mergeCell ref="C39:F39"/>
    <mergeCell ref="BQ20:BU20"/>
    <mergeCell ref="C21:F21"/>
    <mergeCell ref="C22:F22"/>
    <mergeCell ref="BO22:BO30"/>
    <mergeCell ref="C23:F23"/>
    <mergeCell ref="C24:F24"/>
    <mergeCell ref="C25:F25"/>
    <mergeCell ref="C26:F26"/>
    <mergeCell ref="C27:F27"/>
    <mergeCell ref="C28:F28"/>
    <mergeCell ref="C29:F29"/>
    <mergeCell ref="C30:F30"/>
    <mergeCell ref="C33:F33"/>
    <mergeCell ref="C34:F34"/>
    <mergeCell ref="C35:F35"/>
    <mergeCell ref="C14:F14"/>
    <mergeCell ref="C15:F15"/>
    <mergeCell ref="C16:F16"/>
    <mergeCell ref="C17:F17"/>
    <mergeCell ref="C32:F32"/>
    <mergeCell ref="C19:F19"/>
    <mergeCell ref="C20:F20"/>
    <mergeCell ref="C31:F31"/>
    <mergeCell ref="Q6:R6"/>
    <mergeCell ref="B7:E7"/>
    <mergeCell ref="F7:G7"/>
    <mergeCell ref="H7:L7"/>
    <mergeCell ref="C18:F18"/>
    <mergeCell ref="M7:N7"/>
    <mergeCell ref="O7:P7"/>
    <mergeCell ref="Q7:R7"/>
    <mergeCell ref="B8:F8"/>
    <mergeCell ref="L8:R8"/>
    <mergeCell ref="C9:F9"/>
    <mergeCell ref="L9:R40"/>
    <mergeCell ref="C10:F10"/>
    <mergeCell ref="C11:F11"/>
    <mergeCell ref="C12:F12"/>
    <mergeCell ref="C13:F13"/>
    <mergeCell ref="B4:G4"/>
    <mergeCell ref="H4:N4"/>
    <mergeCell ref="O4:P4"/>
    <mergeCell ref="Q4:R4"/>
    <mergeCell ref="BP4:BU5"/>
    <mergeCell ref="B5:G5"/>
    <mergeCell ref="H5:N5"/>
    <mergeCell ref="O5:P5"/>
    <mergeCell ref="Q5:R5"/>
    <mergeCell ref="BH5:BK7"/>
    <mergeCell ref="BL5:BN7"/>
    <mergeCell ref="B6:E6"/>
    <mergeCell ref="F6:G6"/>
    <mergeCell ref="H6:L6"/>
    <mergeCell ref="M6:N6"/>
    <mergeCell ref="O6:P6"/>
  </mergeCells>
  <conditionalFormatting sqref="B9:F40">
    <cfRule type="expression" dxfId="159" priority="9" stopIfTrue="1">
      <formula>IF($Z9=1,TRUE,FALSE)</formula>
    </cfRule>
    <cfRule type="expression" dxfId="158" priority="10">
      <formula>IF($Z9=2,TRUE,FALSE)</formula>
    </cfRule>
  </conditionalFormatting>
  <conditionalFormatting sqref="C9:F40">
    <cfRule type="expression" dxfId="157" priority="2" stopIfTrue="1">
      <formula>IF($AF9=FALSE,TRUE,FALSE)</formula>
    </cfRule>
  </conditionalFormatting>
  <conditionalFormatting sqref="F6:G7 M6:P7">
    <cfRule type="expression" dxfId="156" priority="5" stopIfTrue="1">
      <formula>NOT($AU$5)</formula>
    </cfRule>
  </conditionalFormatting>
  <conditionalFormatting sqref="F7:G7">
    <cfRule type="cellIs" dxfId="155" priority="4" operator="equal">
      <formula>""</formula>
    </cfRule>
  </conditionalFormatting>
  <conditionalFormatting sqref="G9:K40">
    <cfRule type="expression" dxfId="154" priority="7" stopIfTrue="1">
      <formula>IF($Z9=1,TRUE,FALSE)</formula>
    </cfRule>
    <cfRule type="expression" dxfId="153" priority="8" stopIfTrue="1">
      <formula>IF($Z9=2,TRUE,FALSE)</formula>
    </cfRule>
  </conditionalFormatting>
  <conditionalFormatting sqref="H9:H40">
    <cfRule type="expression" dxfId="152" priority="11" stopIfTrue="1">
      <formula>IF($AB9=0,TRUE,FALSE)</formula>
    </cfRule>
  </conditionalFormatting>
  <conditionalFormatting sqref="H41:I42">
    <cfRule type="expression" dxfId="151" priority="3" stopIfTrue="1">
      <formula>IF($H$42="N/A",TRUE,FALSE)</formula>
    </cfRule>
  </conditionalFormatting>
  <conditionalFormatting sqref="H7:P7 O5:R5 B7 L9">
    <cfRule type="containsBlanks" dxfId="150" priority="6">
      <formula>LEN(TRIM(B5))=0</formula>
    </cfRule>
  </conditionalFormatting>
  <conditionalFormatting sqref="J9:J40">
    <cfRule type="expression" dxfId="149" priority="15">
      <formula>IF($Z9=1,FALSE,OR($BE9,$BD9))</formula>
    </cfRule>
  </conditionalFormatting>
  <conditionalFormatting sqref="J9:K40 C9:F40">
    <cfRule type="expression" dxfId="148" priority="14">
      <formula>IF($Z9=1,FALSE,OR($AW9,$AX9,$AY9,$AZ9))</formula>
    </cfRule>
  </conditionalFormatting>
  <conditionalFormatting sqref="J9:K40">
    <cfRule type="expression" dxfId="147" priority="12" stopIfTrue="1">
      <formula>IF(ISNA($Z9),TRUE,FALSE)</formula>
    </cfRule>
  </conditionalFormatting>
  <conditionalFormatting sqref="K9:K40">
    <cfRule type="expression" dxfId="146" priority="13">
      <formula>IF(OR($Z9=1,$Z9=2),FALSE,OR($BC9,$BE9,$BF9))</formula>
    </cfRule>
  </conditionalFormatting>
  <conditionalFormatting sqref="L42">
    <cfRule type="expression" dxfId="145" priority="1">
      <formula>NOT($U$50)</formula>
    </cfRule>
  </conditionalFormatting>
  <dataValidations count="6">
    <dataValidation type="list" allowBlank="1" showInputMessage="1" showErrorMessage="1" sqref="F7:G7" xr:uid="{67B9C450-DA29-4C36-A743-D3B8F773D33E}">
      <formula1>"No,Yes"</formula1>
    </dataValidation>
    <dataValidation type="list" allowBlank="1" showInputMessage="1" showErrorMessage="1" sqref="J9:J40" xr:uid="{BB039595-3EC6-407D-90FD-97C74BD7E9AF}">
      <formula1>"NA,0,1,2,3,4,5,6,7,8,9,10,11,12,13,14,15"</formula1>
    </dataValidation>
    <dataValidation type="list" allowBlank="1" showInputMessage="1" showErrorMessage="1" sqref="K9:K40" xr:uid="{68E3EF4C-AB78-4BA6-8A97-9F83AFA0D1FF}">
      <formula1>"D,0,1,2,3,4"</formula1>
    </dataValidation>
    <dataValidation showInputMessage="1" showErrorMessage="1" sqref="O42:R42" xr:uid="{6495A94D-347A-420C-9097-D08069253F1D}"/>
    <dataValidation type="decimal" allowBlank="1" showInputMessage="1" showErrorMessage="1" sqref="O7:P7" xr:uid="{B48A98E8-35C6-4ADB-BFEA-EF7780ACDBDC}">
      <formula1>0</formula1>
      <formula2>10</formula2>
    </dataValidation>
    <dataValidation type="date" allowBlank="1" showInputMessage="1" showErrorMessage="1" sqref="Q5:R5" xr:uid="{E7A0D8FB-BCF3-4E05-A190-DEF3BDBD55F1}">
      <formula1>41151</formula1>
      <formula2>77433</formula2>
    </dataValidation>
  </dataValidations>
  <hyperlinks>
    <hyperlink ref="BP4" location="PF!A1" display="PF phase Summary Page" xr:uid="{FC7A08D9-FD62-4D5D-9305-24C9D4ECA629}"/>
    <hyperlink ref="BP4:BU5" location="SY!A1" display="SY Summary Page" xr:uid="{14E8B5AB-2E89-445F-8FE7-EE12BFF2C14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8226" r:id="rId3" name="IP_Signature">
              <controlPr defaultSize="0" print="0" autoFill="0" autoPict="0" macro="[0]!IP_signature">
                <anchor moveWithCells="1" sizeWithCells="1">
                  <from>
                    <xdr:col>11</xdr:col>
                    <xdr:colOff>0</xdr:colOff>
                    <xdr:row>41</xdr:row>
                    <xdr:rowOff>0</xdr:rowOff>
                  </from>
                  <to>
                    <xdr:col>12</xdr:col>
                    <xdr:colOff>0</xdr:colOff>
                    <xdr:row>42</xdr:row>
                    <xdr:rowOff>0</xdr:rowOff>
                  </to>
                </anchor>
              </controlPr>
            </control>
          </mc:Choice>
        </mc:AlternateContent>
        <mc:AlternateContent xmlns:mc="http://schemas.openxmlformats.org/markup-compatibility/2006">
          <mc:Choice Requires="x14">
            <control shapeId="308227" r:id="rId4" name="CCG_Click">
              <controlPr defaultSize="0" print="0" autoFill="0" autoPict="0" macro="[0]!CCG_Click">
                <anchor moveWithCells="1" sizeWithCells="1">
                  <from>
                    <xdr:col>4</xdr:col>
                    <xdr:colOff>0</xdr:colOff>
                    <xdr:row>42</xdr:row>
                    <xdr:rowOff>38100</xdr:rowOff>
                  </from>
                  <to>
                    <xdr:col>6</xdr:col>
                    <xdr:colOff>123825</xdr:colOff>
                    <xdr:row>43</xdr:row>
                    <xdr:rowOff>190500</xdr:rowOff>
                  </to>
                </anchor>
              </controlPr>
            </control>
          </mc:Choice>
        </mc:AlternateContent>
        <mc:AlternateContent xmlns:mc="http://schemas.openxmlformats.org/markup-compatibility/2006">
          <mc:Choice Requires="x14">
            <control shapeId="308228" r:id="rId5" name="MCG_Click">
              <controlPr defaultSize="0" print="0" autoFill="0" autoPict="0" macro="[0]!MCG_Click">
                <anchor moveWithCells="1" sizeWithCells="1">
                  <from>
                    <xdr:col>6</xdr:col>
                    <xdr:colOff>190500</xdr:colOff>
                    <xdr:row>42</xdr:row>
                    <xdr:rowOff>38100</xdr:rowOff>
                  </from>
                  <to>
                    <xdr:col>11</xdr:col>
                    <xdr:colOff>66675</xdr:colOff>
                    <xdr:row>43</xdr:row>
                    <xdr:rowOff>190500</xdr:rowOff>
                  </to>
                </anchor>
              </controlPr>
            </control>
          </mc:Choice>
        </mc:AlternateContent>
        <mc:AlternateContent xmlns:mc="http://schemas.openxmlformats.org/markup-compatibility/2006">
          <mc:Choice Requires="x14">
            <control shapeId="308229" r:id="rId6" name="DCG_Click">
              <controlPr defaultSize="0" print="0" autoFill="0" autoPict="0" macro="[0]!DCG_Click">
                <anchor moveWithCells="1" sizeWithCells="1">
                  <from>
                    <xdr:col>11</xdr:col>
                    <xdr:colOff>123825</xdr:colOff>
                    <xdr:row>42</xdr:row>
                    <xdr:rowOff>38100</xdr:rowOff>
                  </from>
                  <to>
                    <xdr:col>12</xdr:col>
                    <xdr:colOff>276225</xdr:colOff>
                    <xdr:row>43</xdr:row>
                    <xdr:rowOff>190500</xdr:rowOff>
                  </to>
                </anchor>
              </controlPr>
            </control>
          </mc:Choice>
        </mc:AlternateContent>
        <mc:AlternateContent xmlns:mc="http://schemas.openxmlformats.org/markup-compatibility/2006">
          <mc:Choice Requires="x14">
            <control shapeId="308230" r:id="rId7" name="PMC_Click">
              <controlPr defaultSize="0" print="0" autoFill="0" autoPict="0" macro="[0]!PMC_Click">
                <anchor moveWithCells="1" sizeWithCells="1">
                  <from>
                    <xdr:col>12</xdr:col>
                    <xdr:colOff>342900</xdr:colOff>
                    <xdr:row>42</xdr:row>
                    <xdr:rowOff>38100</xdr:rowOff>
                  </from>
                  <to>
                    <xdr:col>17</xdr:col>
                    <xdr:colOff>257175</xdr:colOff>
                    <xdr:row>43</xdr:row>
                    <xdr:rowOff>190500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86234-88D6-473A-80E8-A1155DAC7536}">
  <sheetPr codeName="Sheet161">
    <tabColor rgb="FFFF0000"/>
    <pageSetUpPr autoPageBreaks="0"/>
  </sheetPr>
  <dimension ref="B1:BU66"/>
  <sheetViews>
    <sheetView showGridLines="0" showRowColHeaders="0" topLeftCell="A2" zoomScaleNormal="100" zoomScaleSheetLayoutView="100" workbookViewId="0">
      <selection activeCell="BP3" sqref="BP3:BU4"/>
    </sheetView>
  </sheetViews>
  <sheetFormatPr defaultColWidth="9.140625" defaultRowHeight="12.75" x14ac:dyDescent="0.2"/>
  <cols>
    <col min="1" max="1" width="1.5703125" style="87" customWidth="1"/>
    <col min="2" max="2" width="3.5703125" style="87" customWidth="1"/>
    <col min="3" max="3" width="5.5703125" style="87" customWidth="1"/>
    <col min="4" max="4" width="9.140625" style="87" customWidth="1"/>
    <col min="5" max="5" width="14" style="87" customWidth="1"/>
    <col min="6" max="6" width="7.85546875" style="87" customWidth="1"/>
    <col min="7" max="11" width="5.140625" style="87" customWidth="1"/>
    <col min="12" max="12" width="21.5703125" style="87" customWidth="1"/>
    <col min="13" max="13" width="6.5703125" style="87" customWidth="1"/>
    <col min="14" max="14" width="12.5703125" style="87" customWidth="1"/>
    <col min="15" max="15" width="7.85546875" style="87" customWidth="1"/>
    <col min="16" max="16" width="2.7109375" style="87" customWidth="1"/>
    <col min="17" max="17" width="4.85546875" style="87" customWidth="1"/>
    <col min="18" max="18" width="7.28515625" style="87" customWidth="1"/>
    <col min="19" max="19" width="1.7109375" style="87" customWidth="1"/>
    <col min="20" max="20" width="19.140625" style="88" hidden="1" customWidth="1"/>
    <col min="21" max="21" width="31.140625" style="88" hidden="1" customWidth="1"/>
    <col min="22" max="22" width="5.140625" style="88" hidden="1" customWidth="1"/>
    <col min="23" max="24" width="6.28515625" style="88" hidden="1" customWidth="1"/>
    <col min="25" max="25" width="8.42578125" style="88" hidden="1" customWidth="1"/>
    <col min="26" max="26" width="7.85546875" style="88" hidden="1" customWidth="1"/>
    <col min="27" max="27" width="10.7109375" style="88" hidden="1" customWidth="1"/>
    <col min="28" max="28" width="8" style="88" hidden="1" customWidth="1"/>
    <col min="29" max="31" width="5.140625" style="88" hidden="1" customWidth="1"/>
    <col min="32" max="34" width="5.85546875" style="88" hidden="1" customWidth="1"/>
    <col min="35" max="35" width="8.5703125" style="89" hidden="1" customWidth="1"/>
    <col min="36" max="36" width="7" style="88" hidden="1" customWidth="1"/>
    <col min="37" max="38" width="5.28515625" style="88" hidden="1" customWidth="1"/>
    <col min="39" max="40" width="7" style="88" hidden="1" customWidth="1"/>
    <col min="41" max="41" width="5.140625" style="88" hidden="1" customWidth="1"/>
    <col min="42" max="42" width="11.28515625" style="88" hidden="1" customWidth="1"/>
    <col min="43" max="43" width="6.42578125" style="88" hidden="1" customWidth="1"/>
    <col min="44" max="44" width="8.28515625" style="88" hidden="1" customWidth="1"/>
    <col min="45" max="45" width="8.85546875" style="88" hidden="1" customWidth="1"/>
    <col min="46" max="46" width="10.7109375" style="88" hidden="1" customWidth="1"/>
    <col min="47" max="47" width="8.85546875" style="88" hidden="1" customWidth="1"/>
    <col min="48" max="48" width="6.28515625" style="88" hidden="1" customWidth="1"/>
    <col min="49" max="49" width="10" style="88" hidden="1" customWidth="1"/>
    <col min="50" max="50" width="7.5703125" style="88" hidden="1" customWidth="1"/>
    <col min="51" max="51" width="7" style="88" hidden="1" customWidth="1"/>
    <col min="52" max="52" width="8.140625" style="88" hidden="1" customWidth="1"/>
    <col min="53" max="53" width="12.5703125" style="88" hidden="1" customWidth="1"/>
    <col min="54" max="54" width="7.7109375" style="88" hidden="1" customWidth="1"/>
    <col min="55" max="55" width="12.7109375" style="88" hidden="1" customWidth="1"/>
    <col min="56" max="56" width="7" style="88" hidden="1" customWidth="1"/>
    <col min="57" max="57" width="15.5703125" style="88" hidden="1" customWidth="1"/>
    <col min="58" max="58" width="9.140625" style="88" hidden="1" customWidth="1"/>
    <col min="59" max="59" width="10" style="88" hidden="1" customWidth="1"/>
    <col min="60" max="60" width="5.28515625" style="88" hidden="1" customWidth="1"/>
    <col min="61" max="61" width="4" style="88" hidden="1" customWidth="1"/>
    <col min="62" max="62" width="4.7109375" style="88" hidden="1" customWidth="1"/>
    <col min="63" max="63" width="5.5703125" style="88" hidden="1" customWidth="1"/>
    <col min="64" max="64" width="5.28515625" style="88" hidden="1" customWidth="1"/>
    <col min="65" max="65" width="4" style="88" hidden="1" customWidth="1"/>
    <col min="66" max="66" width="5.5703125" style="88" hidden="1" customWidth="1"/>
    <col min="67" max="67" width="5.140625" style="90" customWidth="1"/>
    <col min="68" max="73" width="5.140625" style="87" customWidth="1"/>
    <col min="74" max="16384" width="9.140625" style="87"/>
  </cols>
  <sheetData>
    <row r="1" spans="2:73" s="84" customFormat="1" ht="12" hidden="1" x14ac:dyDescent="0.2">
      <c r="T1" s="85"/>
      <c r="U1" s="85"/>
      <c r="V1" s="85"/>
      <c r="W1" s="85"/>
      <c r="X1" s="85"/>
      <c r="Y1" s="85"/>
      <c r="Z1" s="85"/>
      <c r="AA1" s="85"/>
      <c r="AB1" s="85"/>
      <c r="AC1" s="85"/>
      <c r="AD1" s="85"/>
      <c r="AE1" s="85"/>
      <c r="AF1" s="85"/>
      <c r="AG1" s="85"/>
      <c r="AH1" s="85"/>
      <c r="AI1" s="86"/>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row>
    <row r="2" spans="2:73" ht="13.5" thickBot="1" x14ac:dyDescent="0.25"/>
    <row r="3" spans="2:73" ht="13.5" customHeight="1" thickTop="1" x14ac:dyDescent="0.2">
      <c r="B3" s="967" t="s">
        <v>267</v>
      </c>
      <c r="C3" s="968"/>
      <c r="D3" s="968"/>
      <c r="E3" s="968"/>
      <c r="F3" s="968"/>
      <c r="G3" s="969"/>
      <c r="H3" s="970" t="s">
        <v>709</v>
      </c>
      <c r="I3" s="971"/>
      <c r="J3" s="971"/>
      <c r="K3" s="971"/>
      <c r="L3" s="971"/>
      <c r="M3" s="971"/>
      <c r="N3" s="972"/>
      <c r="O3" s="973" t="s">
        <v>269</v>
      </c>
      <c r="P3" s="974"/>
      <c r="Q3" s="973" t="s">
        <v>270</v>
      </c>
      <c r="R3" s="975"/>
      <c r="S3" s="91"/>
      <c r="T3" s="92"/>
      <c r="U3" s="92"/>
      <c r="V3" s="92"/>
      <c r="W3" s="92"/>
      <c r="X3" s="92"/>
      <c r="Y3" s="92"/>
      <c r="Z3" s="92"/>
      <c r="AA3" s="92"/>
      <c r="AB3" s="92"/>
      <c r="AC3" s="92"/>
      <c r="AD3" s="92"/>
      <c r="AE3" s="92"/>
      <c r="AF3" s="92"/>
      <c r="AG3" s="92"/>
      <c r="AH3" s="92"/>
      <c r="AI3" s="93"/>
      <c r="AJ3" s="92"/>
      <c r="AK3" s="92"/>
      <c r="AL3" s="92"/>
      <c r="AM3" s="92"/>
      <c r="AN3" s="92"/>
      <c r="AO3" s="92"/>
      <c r="AP3" s="92"/>
      <c r="AQ3" s="85"/>
      <c r="AR3" s="85"/>
      <c r="AW3" s="88" t="s">
        <v>271</v>
      </c>
      <c r="AX3" s="88" t="s">
        <v>272</v>
      </c>
      <c r="AY3" s="88" t="s">
        <v>273</v>
      </c>
      <c r="AZ3" s="88" t="s">
        <v>274</v>
      </c>
      <c r="BA3" s="88" t="s">
        <v>275</v>
      </c>
      <c r="BB3" s="88" t="s">
        <v>276</v>
      </c>
      <c r="BP3" s="1032" t="s">
        <v>844</v>
      </c>
      <c r="BQ3" s="1032"/>
      <c r="BR3" s="1032"/>
      <c r="BS3" s="1032"/>
      <c r="BT3" s="1032"/>
      <c r="BU3" s="1032"/>
    </row>
    <row r="4" spans="2:73" s="94" customFormat="1" ht="15.75" customHeight="1" x14ac:dyDescent="0.2">
      <c r="B4" s="994" t="s">
        <v>277</v>
      </c>
      <c r="C4" s="995"/>
      <c r="D4" s="995"/>
      <c r="E4" s="995"/>
      <c r="F4" s="995"/>
      <c r="G4" s="996"/>
      <c r="H4" s="937" t="s">
        <v>762</v>
      </c>
      <c r="I4" s="938"/>
      <c r="J4" s="938"/>
      <c r="K4" s="938"/>
      <c r="L4" s="938"/>
      <c r="M4" s="938"/>
      <c r="N4" s="939"/>
      <c r="O4" s="997"/>
      <c r="P4" s="998"/>
      <c r="Q4" s="999"/>
      <c r="R4" s="1000"/>
      <c r="S4" s="95"/>
      <c r="T4" s="96"/>
      <c r="U4" s="96"/>
      <c r="V4" s="96"/>
      <c r="W4" s="96"/>
      <c r="X4" s="96"/>
      <c r="Y4" s="96"/>
      <c r="Z4" s="96"/>
      <c r="AA4" s="96"/>
      <c r="AB4" s="96"/>
      <c r="AC4" s="96"/>
      <c r="AD4" s="96"/>
      <c r="AE4" s="96"/>
      <c r="AF4" s="96"/>
      <c r="AG4" s="96"/>
      <c r="AH4" s="96"/>
      <c r="AI4" s="97"/>
      <c r="AJ4" s="96"/>
      <c r="AK4" s="96"/>
      <c r="AL4" s="96"/>
      <c r="AM4" s="96"/>
      <c r="AN4" s="96"/>
      <c r="AO4" s="96"/>
      <c r="AP4" s="96"/>
      <c r="AQ4" s="98"/>
      <c r="AR4" s="98"/>
      <c r="AS4" s="99"/>
      <c r="AT4" s="100" t="s">
        <v>278</v>
      </c>
      <c r="AU4" s="101" t="b">
        <v>1</v>
      </c>
      <c r="AV4" s="99">
        <v>5</v>
      </c>
      <c r="AW4" s="99" t="b">
        <f>IF(ISERR(OR(AW8:AW39)),"UNK",IF(AND(graded_aca_events&gt;=1,input_test),FALSE,OR(AW8:AW39)))</f>
        <v>1</v>
      </c>
      <c r="AX4" s="99" t="b">
        <f>IF(ISERR(OR(AX8:AX39)),"UNK",IF(AND(graded_aca_events&gt;=1,input_test),FALSE,OR(AX8:AX39)))</f>
        <v>1</v>
      </c>
      <c r="AY4" s="99" t="b">
        <f>IF(ISERR(OR(AY8:AY39)),"UNK",OR(AY8:AY39))</f>
        <v>0</v>
      </c>
      <c r="AZ4" s="99" t="b">
        <f>IF(ISERR(OR(AZ8:AZ39)),"UNK",OR(AZ8:AZ39))</f>
        <v>0</v>
      </c>
      <c r="BA4" s="99" t="b">
        <f>IF(ISERR(OR(BA8:BA39)),"UNK",OR(BA8:BA39))</f>
        <v>0</v>
      </c>
      <c r="BB4" s="99" t="b">
        <f>IF(ISERR(OR(BB8:BB39)),"UNK",OR(BB8:BB39))</f>
        <v>0</v>
      </c>
      <c r="BC4" s="102" t="b">
        <f>OR(BC8:BC39)</f>
        <v>0</v>
      </c>
      <c r="BD4" s="102" t="b">
        <f>OR(BD8:BD39)</f>
        <v>0</v>
      </c>
      <c r="BE4" s="102" t="b">
        <f>OR(BE8:BE39)</f>
        <v>0</v>
      </c>
      <c r="BF4" s="102"/>
      <c r="BG4" s="99"/>
      <c r="BH4" s="944" t="s">
        <v>279</v>
      </c>
      <c r="BI4" s="944"/>
      <c r="BJ4" s="944"/>
      <c r="BK4" s="944"/>
      <c r="BL4" s="977" t="s">
        <v>280</v>
      </c>
      <c r="BM4" s="977"/>
      <c r="BN4" s="977"/>
      <c r="BO4" s="90"/>
      <c r="BP4" s="1032"/>
      <c r="BQ4" s="1032"/>
      <c r="BR4" s="1032"/>
      <c r="BS4" s="1032"/>
      <c r="BT4" s="1032"/>
      <c r="BU4" s="1032"/>
    </row>
    <row r="5" spans="2:73" s="91" customFormat="1" ht="7.5" customHeight="1" x14ac:dyDescent="0.25">
      <c r="B5" s="978" t="s">
        <v>281</v>
      </c>
      <c r="C5" s="979"/>
      <c r="D5" s="979"/>
      <c r="E5" s="980"/>
      <c r="F5" s="981" t="s">
        <v>282</v>
      </c>
      <c r="G5" s="980"/>
      <c r="H5" s="981" t="s">
        <v>283</v>
      </c>
      <c r="I5" s="979"/>
      <c r="J5" s="979"/>
      <c r="K5" s="979"/>
      <c r="L5" s="980"/>
      <c r="M5" s="982" t="s">
        <v>284</v>
      </c>
      <c r="N5" s="983"/>
      <c r="O5" s="984" t="s">
        <v>285</v>
      </c>
      <c r="P5" s="985"/>
      <c r="Q5" s="981" t="str">
        <f>IF(AU41=0,"GRADE","GRADE (inc. bonus)")</f>
        <v>GRADE</v>
      </c>
      <c r="R5" s="986"/>
      <c r="T5" s="92"/>
      <c r="U5" s="92"/>
      <c r="V5" s="92"/>
      <c r="W5" s="92"/>
      <c r="X5" s="92"/>
      <c r="Y5" s="92"/>
      <c r="Z5" s="92"/>
      <c r="AA5" s="92"/>
      <c r="AB5" s="92"/>
      <c r="AC5" s="92"/>
      <c r="AD5" s="92"/>
      <c r="AE5" s="92"/>
      <c r="AF5" s="92"/>
      <c r="AG5" s="92"/>
      <c r="AH5" s="92"/>
      <c r="AI5" s="93"/>
      <c r="AJ5" s="92"/>
      <c r="AK5" s="92"/>
      <c r="AL5" s="92"/>
      <c r="AM5" s="92"/>
      <c r="AN5" s="92"/>
      <c r="AO5" s="92"/>
      <c r="AP5" s="92"/>
      <c r="AQ5" s="92"/>
      <c r="AR5" s="92"/>
      <c r="AS5" s="92"/>
      <c r="AT5" s="92"/>
      <c r="AU5" s="92"/>
      <c r="AV5" s="92"/>
      <c r="AW5" s="92"/>
      <c r="AX5" s="92"/>
      <c r="AY5" s="92"/>
      <c r="AZ5" s="92"/>
      <c r="BA5" s="92"/>
      <c r="BB5" s="92"/>
      <c r="BC5" s="92"/>
      <c r="BD5" s="92"/>
      <c r="BE5" s="92"/>
      <c r="BF5" s="92"/>
      <c r="BG5" s="92"/>
      <c r="BH5" s="944"/>
      <c r="BI5" s="944"/>
      <c r="BJ5" s="944"/>
      <c r="BK5" s="944"/>
      <c r="BL5" s="977"/>
      <c r="BM5" s="977"/>
      <c r="BN5" s="977"/>
      <c r="BO5" s="103"/>
    </row>
    <row r="6" spans="2:73" s="94" customFormat="1" ht="15.75" customHeight="1" thickBot="1" x14ac:dyDescent="0.25">
      <c r="B6" s="1001"/>
      <c r="C6" s="1002"/>
      <c r="D6" s="1002"/>
      <c r="E6" s="1003"/>
      <c r="F6" s="1004" t="s">
        <v>457</v>
      </c>
      <c r="G6" s="1005"/>
      <c r="H6" s="1006"/>
      <c r="I6" s="1007"/>
      <c r="J6" s="1007"/>
      <c r="K6" s="1007"/>
      <c r="L6" s="1005"/>
      <c r="M6" s="1008"/>
      <c r="N6" s="1009"/>
      <c r="O6" s="1010"/>
      <c r="P6" s="1011"/>
      <c r="Q6" s="949" t="str">
        <f>IF((graded_aca_events+graded_amn_events)&lt;1,"0",IF(ISERROR(AR46),"",IF(F41&lt;&gt;"COMPLETE","INCOMPLETE",AR46)))</f>
        <v>0</v>
      </c>
      <c r="R6" s="950"/>
      <c r="S6" s="87"/>
      <c r="T6" s="99"/>
      <c r="U6" s="99">
        <v>2</v>
      </c>
      <c r="V6" s="99">
        <v>3</v>
      </c>
      <c r="W6" s="99">
        <v>6</v>
      </c>
      <c r="X6" s="99">
        <v>7</v>
      </c>
      <c r="Y6" s="99">
        <v>11</v>
      </c>
      <c r="Z6" s="99">
        <v>8</v>
      </c>
      <c r="AA6" s="99">
        <v>9</v>
      </c>
      <c r="AB6" s="99">
        <v>10</v>
      </c>
      <c r="AC6" s="99">
        <v>5</v>
      </c>
      <c r="AD6" s="99">
        <v>4</v>
      </c>
      <c r="AE6" s="99">
        <v>12</v>
      </c>
      <c r="AF6" s="99">
        <v>13</v>
      </c>
      <c r="AG6" s="99"/>
      <c r="AH6" s="99"/>
      <c r="AI6" s="104"/>
      <c r="AJ6" s="105"/>
      <c r="AK6" s="105"/>
      <c r="AL6" s="105"/>
      <c r="AM6" s="105" t="b">
        <f>IF(COUNT(AM8:AM39)&gt;0,TRUE,FALSE)</f>
        <v>0</v>
      </c>
      <c r="AN6" s="105" t="b">
        <f>IF(COUNT(AN8:AN39)&gt;0,TRUE,FALSE)</f>
        <v>0</v>
      </c>
      <c r="AO6" s="99"/>
      <c r="AP6" s="99"/>
      <c r="AQ6" s="98"/>
      <c r="AR6" s="98"/>
      <c r="AS6" s="99"/>
      <c r="AT6" s="106">
        <v>0.16</v>
      </c>
      <c r="AU6" s="99"/>
      <c r="AV6" s="107">
        <f>0.01*input_maxb</f>
        <v>0.05</v>
      </c>
      <c r="AW6" s="108" t="s">
        <v>287</v>
      </c>
      <c r="AX6" s="109"/>
      <c r="AY6" s="108" t="s">
        <v>288</v>
      </c>
      <c r="AZ6" s="109"/>
      <c r="BA6" s="110" t="s">
        <v>289</v>
      </c>
      <c r="BB6" s="110"/>
      <c r="BC6" s="108" t="s">
        <v>290</v>
      </c>
      <c r="BD6" s="110"/>
      <c r="BE6" s="111"/>
      <c r="BF6" s="112"/>
      <c r="BG6" s="99" t="s">
        <v>291</v>
      </c>
      <c r="BH6" s="944"/>
      <c r="BI6" s="944"/>
      <c r="BJ6" s="944"/>
      <c r="BK6" s="944"/>
      <c r="BL6" s="977"/>
      <c r="BM6" s="977"/>
      <c r="BN6" s="977"/>
      <c r="BO6" s="90"/>
    </row>
    <row r="7" spans="2:73" ht="27" customHeight="1" thickBot="1" x14ac:dyDescent="0.25">
      <c r="B7" s="951" t="s">
        <v>292</v>
      </c>
      <c r="C7" s="952"/>
      <c r="D7" s="952"/>
      <c r="E7" s="952"/>
      <c r="F7" s="953"/>
      <c r="G7" s="113" t="s">
        <v>293</v>
      </c>
      <c r="H7" s="114" t="s">
        <v>294</v>
      </c>
      <c r="I7" s="115" t="s">
        <v>295</v>
      </c>
      <c r="J7" s="116" t="s">
        <v>296</v>
      </c>
      <c r="K7" s="117" t="s">
        <v>297</v>
      </c>
      <c r="L7" s="954" t="s">
        <v>298</v>
      </c>
      <c r="M7" s="952"/>
      <c r="N7" s="952"/>
      <c r="O7" s="952"/>
      <c r="P7" s="952"/>
      <c r="Q7" s="952"/>
      <c r="R7" s="955"/>
      <c r="T7" s="118" t="s">
        <v>299</v>
      </c>
      <c r="U7" s="118"/>
      <c r="V7" s="118" t="s">
        <v>300</v>
      </c>
      <c r="W7" s="118" t="s">
        <v>301</v>
      </c>
      <c r="X7" s="118" t="s">
        <v>302</v>
      </c>
      <c r="Y7" s="118" t="s">
        <v>303</v>
      </c>
      <c r="Z7" s="118" t="s">
        <v>304</v>
      </c>
      <c r="AA7" s="118" t="s">
        <v>305</v>
      </c>
      <c r="AB7" s="118" t="s">
        <v>306</v>
      </c>
      <c r="AC7" s="118" t="s">
        <v>307</v>
      </c>
      <c r="AD7" s="118" t="s">
        <v>308</v>
      </c>
      <c r="AE7" s="118" t="s">
        <v>309</v>
      </c>
      <c r="AF7" s="118" t="s">
        <v>310</v>
      </c>
      <c r="AG7" s="118" t="s">
        <v>311</v>
      </c>
      <c r="AH7" s="118" t="s">
        <v>312</v>
      </c>
      <c r="AI7" s="119" t="s">
        <v>313</v>
      </c>
      <c r="AJ7" s="120" t="s">
        <v>314</v>
      </c>
      <c r="AK7" s="121" t="s">
        <v>315</v>
      </c>
      <c r="AL7" s="121" t="s">
        <v>316</v>
      </c>
      <c r="AM7" s="121" t="s">
        <v>317</v>
      </c>
      <c r="AN7" s="121" t="s">
        <v>318</v>
      </c>
      <c r="AO7" s="120" t="s">
        <v>319</v>
      </c>
      <c r="AP7" s="120" t="s">
        <v>320</v>
      </c>
      <c r="AQ7" s="122" t="s">
        <v>321</v>
      </c>
      <c r="AR7" s="123" t="s">
        <v>1</v>
      </c>
      <c r="AS7" s="122" t="s">
        <v>322</v>
      </c>
      <c r="AT7" s="123" t="s">
        <v>1</v>
      </c>
      <c r="AU7" s="122" t="s">
        <v>323</v>
      </c>
      <c r="AV7" s="124" t="s">
        <v>324</v>
      </c>
      <c r="AW7" s="125" t="s">
        <v>325</v>
      </c>
      <c r="AX7" s="126" t="s">
        <v>326</v>
      </c>
      <c r="AY7" s="125" t="s">
        <v>327</v>
      </c>
      <c r="AZ7" s="126" t="s">
        <v>328</v>
      </c>
      <c r="BA7" s="127" t="s">
        <v>329</v>
      </c>
      <c r="BB7" s="127" t="s">
        <v>330</v>
      </c>
      <c r="BC7" s="128" t="s">
        <v>331</v>
      </c>
      <c r="BD7" s="129" t="s">
        <v>332</v>
      </c>
      <c r="BE7" s="130" t="s">
        <v>333</v>
      </c>
      <c r="BF7" s="131" t="s">
        <v>334</v>
      </c>
      <c r="BH7" s="88" t="s">
        <v>335</v>
      </c>
      <c r="BI7" s="88" t="s">
        <v>336</v>
      </c>
      <c r="BJ7" s="118" t="s">
        <v>337</v>
      </c>
      <c r="BK7" s="88" t="s">
        <v>338</v>
      </c>
      <c r="BL7" s="88" t="s">
        <v>335</v>
      </c>
      <c r="BM7" s="88" t="s">
        <v>336</v>
      </c>
      <c r="BN7" s="88" t="s">
        <v>338</v>
      </c>
    </row>
    <row r="8" spans="2:73" ht="12.95" customHeight="1" x14ac:dyDescent="0.2">
      <c r="B8" s="132" t="str">
        <f>IF(ISNA(Z8),"",IF(OR(Z8=1,Z8=2),"",1))</f>
        <v/>
      </c>
      <c r="C8" s="956" t="str">
        <f t="shared" ref="C8:C36" si="0">IF(ISNA(Z8),"",CONCATENATE($U8,IF(ISNUMBER(AI8),TEXT(ROUND($AI8,3)," (0.0%)"),""),IF(AU8&gt;0," Bonus","")))</f>
        <v>Airmanship Tasks (16.0%)</v>
      </c>
      <c r="D8" s="956"/>
      <c r="E8" s="956"/>
      <c r="F8" s="957"/>
      <c r="G8" s="133" t="str">
        <f t="shared" ref="G8:G39" si="1">BH8</f>
        <v/>
      </c>
      <c r="H8" s="134" t="str">
        <f t="shared" ref="H8:I39" si="2">BJ8</f>
        <v/>
      </c>
      <c r="I8" s="135" t="str">
        <f t="shared" si="2"/>
        <v/>
      </c>
      <c r="J8" s="136"/>
      <c r="K8" s="137"/>
      <c r="L8" s="1012"/>
      <c r="M8" s="1013"/>
      <c r="N8" s="1013"/>
      <c r="O8" s="1013"/>
      <c r="P8" s="1013"/>
      <c r="Q8" s="1013"/>
      <c r="R8" s="1014"/>
      <c r="T8" s="88">
        <v>1</v>
      </c>
      <c r="U8" s="88" t="s">
        <v>339</v>
      </c>
      <c r="V8" s="453" t="s">
        <v>340</v>
      </c>
      <c r="W8" s="453" t="s">
        <v>340</v>
      </c>
      <c r="X8" s="453" t="s">
        <v>340</v>
      </c>
      <c r="Y8" s="453" t="s">
        <v>340</v>
      </c>
      <c r="Z8" s="453">
        <v>1</v>
      </c>
      <c r="AA8" s="453">
        <v>0</v>
      </c>
      <c r="AB8" s="453">
        <v>0</v>
      </c>
      <c r="AC8" s="453" t="s">
        <v>340</v>
      </c>
      <c r="AD8" s="453" t="s">
        <v>340</v>
      </c>
      <c r="AE8" s="453">
        <v>0</v>
      </c>
      <c r="AF8" s="453" t="s">
        <v>340</v>
      </c>
      <c r="AG8" s="453" t="str">
        <f t="shared" ref="AG8:AG39" si="3">IF(CrewSoloQual="Yes",$AC8,$AD8)</f>
        <v/>
      </c>
      <c r="AH8" s="453" t="str">
        <f t="shared" ref="AH8:AH39" si="4">IF(ISNUMBER(AC8),IF(CrewSoloQual="Yes",$AC8-1,$AD8-1),"")</f>
        <v/>
      </c>
      <c r="AI8" s="138">
        <f>IF(NOT(OR(Z8=1,Z8=2)),IF(AQ8&gt;0,$AR$44*AQ8/SUMIF($AQ$8:$AQ$39,"&gt;0"),IF(AU8&gt;0,$AV$44*AU8/SUMIF($AU$8:$AU$39,"&gt;0"),IF(AS8&gt;0,$AT$44*AS8/SUMIF($AS$8:$AS$39,"&gt;0"),""))),IF(SUMIF(AJ9:$AJ$39,"=" &amp; AJ8,AI9:$AI$39)=0,"",SUMIF(AJ9:$AJ$39,"=" &amp; AJ8,AI9:$AI$39)))</f>
        <v>0.16</v>
      </c>
      <c r="AJ8" s="139">
        <f>0</f>
        <v>0</v>
      </c>
      <c r="AK8" s="453" t="str">
        <f>BI8</f>
        <v/>
      </c>
      <c r="AL8" s="453" t="str">
        <f>IF(ISBLANK(K8),"",K8)</f>
        <v/>
      </c>
      <c r="AM8" s="453" t="str">
        <f>IF(ISNUMBER(AK8),IF(ISNUMBER(AL8),1,""),"")</f>
        <v/>
      </c>
      <c r="AN8" s="453" t="str">
        <f t="shared" ref="AN8:AN36" si="5">IF(ISNUMBER(AH8),IF(AND(AB8=0,ISNUMBER(AC8),ISNUMBER(AL8)),1,""),"")</f>
        <v/>
      </c>
      <c r="AO8" s="453" t="str">
        <f t="shared" ref="AO8:AO39" si="6">IF(AB8=0,IF(CrewSoloQual="No",BI8,BK8),"")</f>
        <v/>
      </c>
      <c r="AP8" s="453" t="str">
        <f t="shared" ref="AP8:AP39" si="7">IF(ISNA(Z8),"",IF(AND(ISNUMBER(B8),G8&gt;=1,H8&lt;&gt;"NG"),IF(K8&lt;BK8,TRUE,FALSE),IF(AND(G8&gt;=1,J8="NA"),TRUE,IF(AND(AM8=1,G8=0,AL8&lt;BI8),TRUE,""))))</f>
        <v/>
      </c>
      <c r="AQ8" s="140">
        <f>IF(ISNA(Z8),0,IF(OR(J8="NA",W8="",AB8=0),0,W8))</f>
        <v>0</v>
      </c>
      <c r="AR8" s="141" t="str">
        <f t="shared" ref="AR8:AR39" si="8">IF(ISNA(Z8),"",IF(AND(NOT(OR(Z8=1,Z8=2,AK8="NG",AB8=0)),IF(ISNUMBER(AL8),AL8&gt;=0,FALSE)),VLOOKUP((10*AD8+AC8),$AQ$50:$AV$58,2+AL8,FALSE),IF(AND(input_test=TRUE,ISNUMBER(AD8),V8&lt;&gt;0),VLOOKUP((10*AD8+AC8),$AQ$50:$AV$58,2,FALSE),"")))</f>
        <v/>
      </c>
      <c r="AS8" s="142">
        <f>IF(ISNA(Z8),0,IF(OR(J8="NA",X8="",AB8=1),0,X8))</f>
        <v>0</v>
      </c>
      <c r="AT8" s="141" t="str">
        <f t="shared" ref="AT8:AT39" si="9">IF(ISNA(Z8),"",IF(AND(NOT(OR(Z8=1,Z8=2,AK8="NG",AB8=1)),IF(ISNUMBER(AL8),AL8&gt;=0,FALSE)),VLOOKUP((10*AH8+AG8),$AQ$50:$AV$58,2+AL8,FALSE),IF(AND(input_test=TRUE,ISNUMBER(AD8),V8&lt;&gt;0),VLOOKUP((10*AH8+AG8),$AQ$50:$AV$58,2,FALSE),"")))</f>
        <v/>
      </c>
      <c r="AU8" s="143">
        <f t="shared" ref="AU8:AU39" si="10">IF(ISNA(Z8),0,IF(OR(J8="NA",Y8=""),0,Y8))</f>
        <v>0</v>
      </c>
      <c r="AV8" s="144" t="str">
        <f t="shared" ref="AV8:AV39" si="11">AR8</f>
        <v/>
      </c>
      <c r="AW8" s="143" t="b">
        <f t="shared" ref="AW8:AW39" si="12">IF(ISNA(Z8),FALSE,IF(OR(AB8=1,G8=0,Z8=1,Z8=2),FALSE,IF(OR(J8="NA",J8&gt;=G8),FALSE,TRUE)))</f>
        <v>0</v>
      </c>
      <c r="AX8" s="145" t="b">
        <f t="shared" ref="AX8:AX39" si="13">IF(ISNA(Z8),FALSE,IF(OR(AB8=0,G8=0,Z8=1,Z8=2,J8="NA"),FALSE,IF(AK8="NG",IF(NOT(ISBLANK(K8)),FALSE,TRUE),IF(J8&gt;=G8,FALSE,TRUE))))</f>
        <v>0</v>
      </c>
      <c r="AY8" s="143" t="b">
        <f t="shared" ref="AY8:AY39" si="14">IF(ISNA(Z8),FALSE,IF(OR(AB8=1,G8&lt;1,Z8=1,Z8=2,AE8=0,ISBLANK(K8)),FALSE,IF(OR(J8="NA",K8&gt;=BI8),FALSE,TRUE)))</f>
        <v>0</v>
      </c>
      <c r="AZ8" s="145" t="b">
        <f t="shared" ref="AZ8:AZ39" si="15">IF(ISNA(Z8),FALSE,IF(OR(AB8=0,G8=0,Z8=1,Z8=2,AE8=0,BI8="NG",K8="",ISBLANK(K8)),FALSE,IF(OR(J8="NA",K8&gt;=AK8),FALSE,TRUE)))</f>
        <v>0</v>
      </c>
      <c r="BA8" s="453" t="b">
        <f t="shared" ref="BA8:BA39" si="16">IF(ISNA(Z8),FALSE,IF(OR(AB8=1,G8&lt;1,Z8=1,Z8=2,AE8=0),FALSE,IF(J8="NA",TRUE,FALSE)))</f>
        <v>0</v>
      </c>
      <c r="BB8" s="453" t="b">
        <f t="shared" ref="BB8:BB39" si="17">IF(ISNA(Z8),FALSE,IF(OR(AB8=0,G8=0,Z8=1,Z8=2),FALSE,IF(J8="NA",TRUE,FALSE)))</f>
        <v>0</v>
      </c>
      <c r="BC8" s="143" t="b">
        <f t="shared" ref="BC8:BC39" si="18">IF(OR(ISNA($Z8),ISNUMBER($Z8),NOT(ISNUMBER($J8)),K8="D"),FALSE,IF(AND(NOT(ISNUMBER($K8)),J8&gt;0),TRUE,FALSE))</f>
        <v>0</v>
      </c>
      <c r="BD8" s="146" t="b">
        <f>IF(OR(ISNA($Z8),ISNUMBER($Z8),NOT(ISNUMBER(K8))),FALSE,OR(NOT(ISNUMBER(J8)),J8=0,AND(J8=0,K8&lt;&gt;0)))</f>
        <v>0</v>
      </c>
      <c r="BE8" s="145" t="b">
        <f t="shared" ref="BE8:BE21" si="19">IF(OR(ISNA($Z8),K8&lt;&gt;"D"),FALSE,IF(OR(AND(H8="NG",J8=0),AND(H8&lt;&gt;"NG",NOT(OR(J8="NA",J8=0)))),TRUE,FALSE))</f>
        <v>0</v>
      </c>
      <c r="BF8" s="147" t="b">
        <f t="shared" ref="BF8:BF30" si="20">IF(OR(ISNA($Z8),H8&lt;&gt;"NG"),FALSE,IF(AND(J8="NA",K8&lt;&gt;""),TRUE,FALSE))</f>
        <v>0</v>
      </c>
      <c r="BG8" s="453" t="b">
        <f t="shared" ref="BG8:BG21" si="21">IF(ISNA($Z8),"NA",IF(OR(AZ8,AY8,AX8,AW8,AP8,BA8,BB8),TRUE,FALSE))</f>
        <v>0</v>
      </c>
      <c r="BH8" s="148" t="str">
        <f>IF(ISNA($Z8),"",IF(OR($Z8=1,$Z8=2),"",$V8))</f>
        <v/>
      </c>
      <c r="BI8" s="453" t="str">
        <f t="shared" ref="BI8:BI39" si="22">IF(ISNA($Z8),"",IF(OR($Z8=1,$Z8=2,$G8=""),"",IF(AB8=0,AH8,$AD8)))</f>
        <v/>
      </c>
      <c r="BJ8" s="453" t="str">
        <f t="shared" ref="BJ8:BJ39" si="23">IF(ISNA(AE8),"",IF(OR(Z8=1,Z8=2),"",IF(OR(AE8=0,AD8="NG"),TEXT(BI8,"0"),CONCATENATE(TEXT(BI8,"0"),"*"))))</f>
        <v/>
      </c>
      <c r="BK8" s="453" t="str">
        <f t="shared" ref="BK8:BK39" si="24">IF(ISNA($Z8),"",IF(OR($Z8=1,$Z8=2,$G8=""),"",IF(AB8=0,AG8,$AC8)))</f>
        <v/>
      </c>
      <c r="BL8" s="148" t="str">
        <f>IF(ISBLANK(BH8),"",IF(BH8=0,"",BH8))</f>
        <v/>
      </c>
      <c r="BM8" s="453" t="str">
        <f t="shared" ref="BM8:BM39" si="25">IF($BH8=0,"",IF($BI8="NG","D",$BI8))</f>
        <v/>
      </c>
      <c r="BN8" s="453" t="str">
        <f t="shared" ref="BN8:BN39" si="26">IF(ISNA(U8),"",IF($BH8=0,"",IF($BI8="NG","D",BK8)))</f>
        <v/>
      </c>
      <c r="BO8" s="149" t="s">
        <v>341</v>
      </c>
      <c r="BP8" s="150"/>
    </row>
    <row r="9" spans="2:73" s="94" customFormat="1" ht="12.95" customHeight="1" x14ac:dyDescent="0.2">
      <c r="B9" s="151">
        <f>IF(ISNA(Z9),"",IF(OR(Z9=1,Z9=2),"    ",MAX($B$8:B8)+1))</f>
        <v>1</v>
      </c>
      <c r="C9" s="904" t="str">
        <f t="shared" si="0"/>
        <v>Basic Aircraft Procedures (3.2%)</v>
      </c>
      <c r="D9" s="904"/>
      <c r="E9" s="904"/>
      <c r="F9" s="905"/>
      <c r="G9" s="133">
        <f t="shared" si="1"/>
        <v>1</v>
      </c>
      <c r="H9" s="134" t="str">
        <f t="shared" si="2"/>
        <v>1*</v>
      </c>
      <c r="I9" s="152">
        <f t="shared" si="2"/>
        <v>2</v>
      </c>
      <c r="J9" s="153"/>
      <c r="K9" s="154"/>
      <c r="L9" s="1015"/>
      <c r="M9" s="1016"/>
      <c r="N9" s="1016"/>
      <c r="O9" s="1016"/>
      <c r="P9" s="1016"/>
      <c r="Q9" s="1016"/>
      <c r="R9" s="1017"/>
      <c r="T9" s="99">
        <v>2</v>
      </c>
      <c r="U9" s="88" t="s">
        <v>342</v>
      </c>
      <c r="V9" s="453">
        <v>1</v>
      </c>
      <c r="W9" s="453" t="s">
        <v>340</v>
      </c>
      <c r="X9" s="453">
        <v>3</v>
      </c>
      <c r="Y9" s="453" t="s">
        <v>340</v>
      </c>
      <c r="Z9" s="146" t="s">
        <v>340</v>
      </c>
      <c r="AA9" s="146">
        <v>1</v>
      </c>
      <c r="AB9" s="146">
        <v>0</v>
      </c>
      <c r="AC9" s="453">
        <v>3</v>
      </c>
      <c r="AD9" s="453">
        <v>2</v>
      </c>
      <c r="AE9" s="453">
        <v>1</v>
      </c>
      <c r="AF9" s="453" t="b">
        <v>1</v>
      </c>
      <c r="AG9" s="453">
        <f t="shared" si="3"/>
        <v>2</v>
      </c>
      <c r="AH9" s="453">
        <f t="shared" si="4"/>
        <v>1</v>
      </c>
      <c r="AI9" s="138">
        <f>IF(NOT(OR(Z9=1,Z9=2)),IF(AQ9&gt;0,$AR$44*AQ9/SUMIF($AQ$8:$AQ$39,"&gt;0"),IF(AU9&gt;0,$AV$44*AU9/SUMIF($AU$8:$AU$39,"&gt;0"),IF(AS9&gt;0,$AT$44*AS9/SUMIF($AS$8:$AS$39,"&gt;0"),""))),IF(SUMIF(AJ10:$AJ$39,"=" &amp; AJ9,AI10:$AI$39)=0,"",SUMIF(AJ10:$AJ$39,"=" &amp; AJ9,AI10:$AI$39)))</f>
        <v>3.2000000000000001E-2</v>
      </c>
      <c r="AJ9" s="139">
        <f>IF(OR(Z9=1,Z9=2,AA9&lt;AA8),AJ8+1,AJ8)</f>
        <v>0</v>
      </c>
      <c r="AK9" s="453">
        <f t="shared" ref="AK9:AK39" si="27">BI9</f>
        <v>1</v>
      </c>
      <c r="AL9" s="146" t="str">
        <f t="shared" ref="AL9:AL39" si="28">IF(ISBLANK(K9),"",K9)</f>
        <v/>
      </c>
      <c r="AM9" s="146" t="str">
        <f>IF(ISNUMBER(AK9),IF(ISNUMBER(AL9),1,""),"")</f>
        <v/>
      </c>
      <c r="AN9" s="146" t="str">
        <f t="shared" si="5"/>
        <v/>
      </c>
      <c r="AO9" s="146">
        <f t="shared" si="6"/>
        <v>1</v>
      </c>
      <c r="AP9" s="453" t="b">
        <f>IF(ISNA(Z9),"",IF(AND(ISNUMBER(B9),G9&gt;=1,H9&lt;&gt;"NG"),IF(K9&lt;BK9,TRUE,FALSE),IF(AND(G9&gt;=1,J9="NA"),TRUE,IF(AND(AM9=1,G9=0,AL9&lt;BI9),TRUE,""))))</f>
        <v>1</v>
      </c>
      <c r="AQ9" s="140">
        <f t="shared" ref="AQ9:AQ39" si="29">IF(ISNA(Z9),0,IF(OR(J9="NA",W9="",AB9=0),0,W9))</f>
        <v>0</v>
      </c>
      <c r="AR9" s="141" t="str">
        <f>IF(ISNA(Z9),"",IF(AND(NOT(OR(Z9=1,Z9=2,AK9="NG",AB9=0)),IF(ISNUMBER(AL9),AL9&gt;=0,FALSE)),VLOOKUP((10*AD9+AC9),$AQ$50:$AV$58,2+AL9,FALSE),IF(AND(input_test=TRUE,ISNUMBER(AD9),V9&lt;&gt;0),VLOOKUP((10*AD9+AC9),$AQ$50:$AV$58,2,FALSE),"")))</f>
        <v/>
      </c>
      <c r="AS9" s="142">
        <f t="shared" ref="AS9:AS39" si="30">IF(ISNA(Z9),0,IF(OR(J9="NA",X9="",AB9=1),0,X9))</f>
        <v>3</v>
      </c>
      <c r="AT9" s="141" t="str">
        <f>IF(ISNA(Z9),"",IF(AND(NOT(OR(Z9=1,Z9=2,AK9="NG",AB9=1)),IF(ISNUMBER(AL9),AL9&gt;=0,FALSE)),VLOOKUP((10*AH9+AG9),$AQ$50:$AV$58,2+AL9,FALSE),IF(AND(input_test=TRUE,ISNUMBER(AD9),V9&lt;&gt;0),VLOOKUP((10*AH9+AG9),$AQ$50:$AV$58,2,FALSE),"")))</f>
        <v/>
      </c>
      <c r="AU9" s="143">
        <f t="shared" si="10"/>
        <v>0</v>
      </c>
      <c r="AV9" s="144" t="str">
        <f t="shared" si="11"/>
        <v/>
      </c>
      <c r="AW9" s="143" t="b">
        <f t="shared" si="12"/>
        <v>1</v>
      </c>
      <c r="AX9" s="145" t="b">
        <f t="shared" si="13"/>
        <v>0</v>
      </c>
      <c r="AY9" s="143" t="b">
        <f t="shared" si="14"/>
        <v>0</v>
      </c>
      <c r="AZ9" s="145" t="b">
        <f t="shared" si="15"/>
        <v>0</v>
      </c>
      <c r="BA9" s="453" t="b">
        <f t="shared" si="16"/>
        <v>0</v>
      </c>
      <c r="BB9" s="453" t="b">
        <f t="shared" si="17"/>
        <v>0</v>
      </c>
      <c r="BC9" s="143" t="b">
        <f t="shared" si="18"/>
        <v>0</v>
      </c>
      <c r="BD9" s="146" t="b">
        <f t="shared" ref="BD9:BD39" si="31">IF(OR(ISNA($Z9),ISNUMBER($Z9),NOT(ISNUMBER(K9))),FALSE,OR(NOT(ISNUMBER(J9)),J9=0,AND(J9=0,K9&lt;&gt;0)))</f>
        <v>0</v>
      </c>
      <c r="BE9" s="145" t="b">
        <f t="shared" si="19"/>
        <v>0</v>
      </c>
      <c r="BF9" s="147" t="b">
        <f t="shared" si="20"/>
        <v>0</v>
      </c>
      <c r="BG9" s="453" t="b">
        <f t="shared" si="21"/>
        <v>1</v>
      </c>
      <c r="BH9" s="453">
        <f t="shared" ref="BH9:BH39" si="32">IF(ISNA($Z9),"",IF(OR($Z9=1,$Z9=2),"",$V9))</f>
        <v>1</v>
      </c>
      <c r="BI9" s="453">
        <f t="shared" si="22"/>
        <v>1</v>
      </c>
      <c r="BJ9" s="453" t="str">
        <f t="shared" si="23"/>
        <v>1*</v>
      </c>
      <c r="BK9" s="453">
        <f t="shared" si="24"/>
        <v>2</v>
      </c>
      <c r="BL9" s="148">
        <f t="shared" ref="BL9:BL39" si="33">IF(ISBLANK(BH9),"",IF(BH9=0,"",BH9))</f>
        <v>1</v>
      </c>
      <c r="BM9" s="453">
        <f t="shared" si="25"/>
        <v>1</v>
      </c>
      <c r="BN9" s="453">
        <f t="shared" si="26"/>
        <v>2</v>
      </c>
      <c r="BO9" s="155" t="s">
        <v>343</v>
      </c>
      <c r="BP9" s="156" t="s">
        <v>344</v>
      </c>
    </row>
    <row r="10" spans="2:73" s="94" customFormat="1" ht="12.95" customHeight="1" x14ac:dyDescent="0.2">
      <c r="B10" s="151">
        <f>IF(ISNA(Z10),"",IF(OR(Z10=1,Z10=2),"    ",MAX($B$8:B9)+1))</f>
        <v>2</v>
      </c>
      <c r="C10" s="904" t="str">
        <f t="shared" si="0"/>
        <v>Basic Aircraft Handling (3.2%)</v>
      </c>
      <c r="D10" s="904"/>
      <c r="E10" s="904"/>
      <c r="F10" s="905"/>
      <c r="G10" s="133">
        <f t="shared" si="1"/>
        <v>1</v>
      </c>
      <c r="H10" s="134" t="str">
        <f t="shared" si="2"/>
        <v>1*</v>
      </c>
      <c r="I10" s="152">
        <f t="shared" si="2"/>
        <v>2</v>
      </c>
      <c r="J10" s="157"/>
      <c r="K10" s="154"/>
      <c r="L10" s="1015"/>
      <c r="M10" s="1016"/>
      <c r="N10" s="1016"/>
      <c r="O10" s="1016"/>
      <c r="P10" s="1016"/>
      <c r="Q10" s="1016"/>
      <c r="R10" s="1017"/>
      <c r="T10" s="99">
        <v>3</v>
      </c>
      <c r="U10" s="88" t="s">
        <v>551</v>
      </c>
      <c r="V10" s="453">
        <v>1</v>
      </c>
      <c r="W10" s="453" t="s">
        <v>340</v>
      </c>
      <c r="X10" s="453">
        <v>3</v>
      </c>
      <c r="Y10" s="453" t="s">
        <v>340</v>
      </c>
      <c r="Z10" s="146" t="s">
        <v>340</v>
      </c>
      <c r="AA10" s="146">
        <v>1</v>
      </c>
      <c r="AB10" s="146">
        <v>0</v>
      </c>
      <c r="AC10" s="453">
        <v>3</v>
      </c>
      <c r="AD10" s="453">
        <v>2</v>
      </c>
      <c r="AE10" s="453">
        <v>1</v>
      </c>
      <c r="AF10" s="453" t="b">
        <v>1</v>
      </c>
      <c r="AG10" s="453">
        <f t="shared" si="3"/>
        <v>2</v>
      </c>
      <c r="AH10" s="453">
        <f t="shared" si="4"/>
        <v>1</v>
      </c>
      <c r="AI10" s="138">
        <f>IF(NOT(OR(Z10=1,Z10=2)),IF(AQ10&gt;0,$AR$44*AQ10/SUMIF($AQ$8:$AQ$39,"&gt;0"),IF(AU10&gt;0,$AV$44*AU10/SUMIF($AU$8:$AU$39,"&gt;0"),IF(AS10&gt;0,$AT$44*AS10/SUMIF($AS$8:$AS$39,"&gt;0"),""))),IF(SUMIF(AJ11:$AJ$39,"=" &amp; AJ10,AI11:$AI$39)=0,"",SUMIF(AJ11:$AJ$39,"=" &amp; AJ10,AI11:$AI$39)))</f>
        <v>3.2000000000000001E-2</v>
      </c>
      <c r="AJ10" s="139">
        <f t="shared" ref="AJ10:AJ39" si="34">IF(OR(Z10=1,Z10=2,AA10&lt;AA9),AJ9+1,AJ9)</f>
        <v>0</v>
      </c>
      <c r="AK10" s="453">
        <f t="shared" si="27"/>
        <v>1</v>
      </c>
      <c r="AL10" s="146" t="str">
        <f t="shared" si="28"/>
        <v/>
      </c>
      <c r="AM10" s="146" t="str">
        <f t="shared" ref="AM10:AM39" si="35">IF(ISNUMBER(AK10),IF(ISNUMBER(AL10),1,""),"")</f>
        <v/>
      </c>
      <c r="AN10" s="146" t="str">
        <f t="shared" si="5"/>
        <v/>
      </c>
      <c r="AO10" s="146">
        <f t="shared" si="6"/>
        <v>1</v>
      </c>
      <c r="AP10" s="453" t="b">
        <f t="shared" si="7"/>
        <v>1</v>
      </c>
      <c r="AQ10" s="140">
        <f t="shared" si="29"/>
        <v>0</v>
      </c>
      <c r="AR10" s="141" t="str">
        <f t="shared" si="8"/>
        <v/>
      </c>
      <c r="AS10" s="142">
        <f t="shared" si="30"/>
        <v>3</v>
      </c>
      <c r="AT10" s="141" t="str">
        <f t="shared" si="9"/>
        <v/>
      </c>
      <c r="AU10" s="143">
        <f t="shared" si="10"/>
        <v>0</v>
      </c>
      <c r="AV10" s="144" t="str">
        <f t="shared" si="11"/>
        <v/>
      </c>
      <c r="AW10" s="143" t="b">
        <f t="shared" si="12"/>
        <v>1</v>
      </c>
      <c r="AX10" s="145" t="b">
        <f t="shared" si="13"/>
        <v>0</v>
      </c>
      <c r="AY10" s="143" t="b">
        <f t="shared" si="14"/>
        <v>0</v>
      </c>
      <c r="AZ10" s="145" t="b">
        <f t="shared" si="15"/>
        <v>0</v>
      </c>
      <c r="BA10" s="453" t="b">
        <f t="shared" si="16"/>
        <v>0</v>
      </c>
      <c r="BB10" s="453" t="b">
        <f t="shared" si="17"/>
        <v>0</v>
      </c>
      <c r="BC10" s="143" t="b">
        <f t="shared" si="18"/>
        <v>0</v>
      </c>
      <c r="BD10" s="146" t="b">
        <f t="shared" si="31"/>
        <v>0</v>
      </c>
      <c r="BE10" s="145" t="b">
        <f t="shared" si="19"/>
        <v>0</v>
      </c>
      <c r="BF10" s="147" t="b">
        <f t="shared" si="20"/>
        <v>0</v>
      </c>
      <c r="BG10" s="453" t="b">
        <f t="shared" si="21"/>
        <v>1</v>
      </c>
      <c r="BH10" s="453">
        <f t="shared" si="32"/>
        <v>1</v>
      </c>
      <c r="BI10" s="453">
        <f t="shared" si="22"/>
        <v>1</v>
      </c>
      <c r="BJ10" s="453" t="str">
        <f t="shared" si="23"/>
        <v>1*</v>
      </c>
      <c r="BK10" s="453">
        <f t="shared" si="24"/>
        <v>2</v>
      </c>
      <c r="BL10" s="148">
        <f t="shared" si="33"/>
        <v>1</v>
      </c>
      <c r="BM10" s="453">
        <f t="shared" si="25"/>
        <v>1</v>
      </c>
      <c r="BN10" s="453">
        <f t="shared" si="26"/>
        <v>2</v>
      </c>
      <c r="BO10" s="155">
        <v>0</v>
      </c>
      <c r="BP10" s="156" t="s">
        <v>346</v>
      </c>
    </row>
    <row r="11" spans="2:73" s="94" customFormat="1" ht="12.95" customHeight="1" x14ac:dyDescent="0.2">
      <c r="B11" s="151">
        <f>IF(ISNA(Z11),"",IF(OR(Z11=1,Z11=2),"    ",MAX($B$8:B10)+1))</f>
        <v>3</v>
      </c>
      <c r="C11" s="904" t="str">
        <f t="shared" si="0"/>
        <v>Local Area Proc./Orientation/Comm (3.2%)</v>
      </c>
      <c r="D11" s="904"/>
      <c r="E11" s="904"/>
      <c r="F11" s="905"/>
      <c r="G11" s="133">
        <f t="shared" si="1"/>
        <v>1</v>
      </c>
      <c r="H11" s="134" t="str">
        <f t="shared" si="2"/>
        <v>1*</v>
      </c>
      <c r="I11" s="152">
        <f t="shared" si="2"/>
        <v>2</v>
      </c>
      <c r="J11" s="157"/>
      <c r="K11" s="154"/>
      <c r="L11" s="1015"/>
      <c r="M11" s="1016"/>
      <c r="N11" s="1016"/>
      <c r="O11" s="1016"/>
      <c r="P11" s="1016"/>
      <c r="Q11" s="1016"/>
      <c r="R11" s="1017"/>
      <c r="T11" s="99">
        <v>4</v>
      </c>
      <c r="U11" s="88" t="s">
        <v>345</v>
      </c>
      <c r="V11" s="453">
        <v>1</v>
      </c>
      <c r="W11" s="453" t="s">
        <v>340</v>
      </c>
      <c r="X11" s="453">
        <v>3</v>
      </c>
      <c r="Y11" s="453" t="s">
        <v>340</v>
      </c>
      <c r="Z11" s="146" t="s">
        <v>340</v>
      </c>
      <c r="AA11" s="146">
        <v>1</v>
      </c>
      <c r="AB11" s="146">
        <v>0</v>
      </c>
      <c r="AC11" s="453">
        <v>3</v>
      </c>
      <c r="AD11" s="453">
        <v>2</v>
      </c>
      <c r="AE11" s="453">
        <v>1</v>
      </c>
      <c r="AF11" s="453" t="b">
        <v>1</v>
      </c>
      <c r="AG11" s="453">
        <f t="shared" si="3"/>
        <v>2</v>
      </c>
      <c r="AH11" s="453">
        <f t="shared" si="4"/>
        <v>1</v>
      </c>
      <c r="AI11" s="138">
        <f>IF(NOT(OR(Z11=1,Z11=2)),IF(AQ11&gt;0,$AR$44*AQ11/SUMIF($AQ$8:$AQ$39,"&gt;0"),IF(AU11&gt;0,$AV$44*AU11/SUMIF($AU$8:$AU$39,"&gt;0"),IF(AS11&gt;0,$AT$44*AS11/SUMIF($AS$8:$AS$39,"&gt;0"),""))),IF(SUMIF(AJ12:$AJ$39,"=" &amp; AJ11,AI12:$AI$39)=0,"",SUMIF(AJ12:$AJ$39,"=" &amp; AJ11,AI12:$AI$39)))</f>
        <v>3.2000000000000001E-2</v>
      </c>
      <c r="AJ11" s="139">
        <f t="shared" si="34"/>
        <v>0</v>
      </c>
      <c r="AK11" s="453">
        <f t="shared" si="27"/>
        <v>1</v>
      </c>
      <c r="AL11" s="146" t="str">
        <f t="shared" si="28"/>
        <v/>
      </c>
      <c r="AM11" s="146" t="str">
        <f t="shared" si="35"/>
        <v/>
      </c>
      <c r="AN11" s="146" t="str">
        <f t="shared" si="5"/>
        <v/>
      </c>
      <c r="AO11" s="146">
        <f t="shared" si="6"/>
        <v>1</v>
      </c>
      <c r="AP11" s="453" t="b">
        <f t="shared" si="7"/>
        <v>1</v>
      </c>
      <c r="AQ11" s="140">
        <f t="shared" si="29"/>
        <v>0</v>
      </c>
      <c r="AR11" s="141" t="str">
        <f t="shared" si="8"/>
        <v/>
      </c>
      <c r="AS11" s="142">
        <f t="shared" si="30"/>
        <v>3</v>
      </c>
      <c r="AT11" s="141" t="str">
        <f t="shared" si="9"/>
        <v/>
      </c>
      <c r="AU11" s="143">
        <f t="shared" si="10"/>
        <v>0</v>
      </c>
      <c r="AV11" s="144" t="str">
        <f t="shared" si="11"/>
        <v/>
      </c>
      <c r="AW11" s="143" t="b">
        <f t="shared" si="12"/>
        <v>1</v>
      </c>
      <c r="AX11" s="145" t="b">
        <f t="shared" si="13"/>
        <v>0</v>
      </c>
      <c r="AY11" s="143" t="b">
        <f t="shared" si="14"/>
        <v>0</v>
      </c>
      <c r="AZ11" s="145" t="b">
        <f t="shared" si="15"/>
        <v>0</v>
      </c>
      <c r="BA11" s="453" t="b">
        <f t="shared" si="16"/>
        <v>0</v>
      </c>
      <c r="BB11" s="453" t="b">
        <f t="shared" si="17"/>
        <v>0</v>
      </c>
      <c r="BC11" s="143" t="b">
        <f t="shared" si="18"/>
        <v>0</v>
      </c>
      <c r="BD11" s="146" t="b">
        <f t="shared" si="31"/>
        <v>0</v>
      </c>
      <c r="BE11" s="145" t="b">
        <f t="shared" si="19"/>
        <v>0</v>
      </c>
      <c r="BF11" s="147" t="b">
        <f t="shared" si="20"/>
        <v>0</v>
      </c>
      <c r="BG11" s="453" t="b">
        <f t="shared" si="21"/>
        <v>1</v>
      </c>
      <c r="BH11" s="453">
        <f t="shared" si="32"/>
        <v>1</v>
      </c>
      <c r="BI11" s="453">
        <f t="shared" si="22"/>
        <v>1</v>
      </c>
      <c r="BJ11" s="453" t="str">
        <f t="shared" si="23"/>
        <v>1*</v>
      </c>
      <c r="BK11" s="453">
        <f t="shared" si="24"/>
        <v>2</v>
      </c>
      <c r="BL11" s="148">
        <f t="shared" si="33"/>
        <v>1</v>
      </c>
      <c r="BM11" s="453">
        <f t="shared" si="25"/>
        <v>1</v>
      </c>
      <c r="BN11" s="453">
        <f t="shared" si="26"/>
        <v>2</v>
      </c>
      <c r="BO11" s="155">
        <v>1</v>
      </c>
      <c r="BP11" s="156" t="s">
        <v>348</v>
      </c>
    </row>
    <row r="12" spans="2:73" s="94" customFormat="1" ht="12.95" customHeight="1" x14ac:dyDescent="0.2">
      <c r="B12" s="151">
        <f>IF(ISNA(Z12),"",IF(OR(Z12=1,Z12=2),"    ",MAX($B$8:B11)+1))</f>
        <v>4</v>
      </c>
      <c r="C12" s="904" t="str">
        <f t="shared" si="0"/>
        <v>Situational Awareness/Judgement (3.2%)</v>
      </c>
      <c r="D12" s="904"/>
      <c r="E12" s="904"/>
      <c r="F12" s="905"/>
      <c r="G12" s="133">
        <f t="shared" si="1"/>
        <v>1</v>
      </c>
      <c r="H12" s="134" t="str">
        <f t="shared" si="2"/>
        <v>2*</v>
      </c>
      <c r="I12" s="152">
        <f t="shared" si="2"/>
        <v>3</v>
      </c>
      <c r="J12" s="157"/>
      <c r="K12" s="154"/>
      <c r="L12" s="1015"/>
      <c r="M12" s="1016"/>
      <c r="N12" s="1016"/>
      <c r="O12" s="1016"/>
      <c r="P12" s="1016"/>
      <c r="Q12" s="1016"/>
      <c r="R12" s="1017"/>
      <c r="T12" s="99">
        <v>5</v>
      </c>
      <c r="U12" s="88" t="s">
        <v>347</v>
      </c>
      <c r="V12" s="453">
        <v>1</v>
      </c>
      <c r="W12" s="453" t="s">
        <v>340</v>
      </c>
      <c r="X12" s="453">
        <v>3</v>
      </c>
      <c r="Y12" s="453" t="s">
        <v>340</v>
      </c>
      <c r="Z12" s="146" t="s">
        <v>340</v>
      </c>
      <c r="AA12" s="146">
        <v>1</v>
      </c>
      <c r="AB12" s="146">
        <v>0</v>
      </c>
      <c r="AC12" s="453">
        <v>3</v>
      </c>
      <c r="AD12" s="453">
        <v>3</v>
      </c>
      <c r="AE12" s="453">
        <v>1</v>
      </c>
      <c r="AF12" s="453" t="b">
        <v>1</v>
      </c>
      <c r="AG12" s="453">
        <f t="shared" si="3"/>
        <v>3</v>
      </c>
      <c r="AH12" s="453">
        <f t="shared" si="4"/>
        <v>2</v>
      </c>
      <c r="AI12" s="138">
        <f>IF(NOT(OR(Z12=1,Z12=2)),IF(AQ12&gt;0,$AR$44*AQ12/SUMIF($AQ$8:$AQ$39,"&gt;0"),IF(AU12&gt;0,$AV$44*AU12/SUMIF($AU$8:$AU$39,"&gt;0"),IF(AS12&gt;0,$AT$44*AS12/SUMIF($AS$8:$AS$39,"&gt;0"),""))),IF(SUMIF(AJ13:$AJ$39,"=" &amp; AJ12,AI13:$AI$39)=0,"",SUMIF(AJ13:$AJ$39,"=" &amp; AJ12,AI13:$AI$39)))</f>
        <v>3.2000000000000001E-2</v>
      </c>
      <c r="AJ12" s="139">
        <f t="shared" si="34"/>
        <v>0</v>
      </c>
      <c r="AK12" s="453">
        <f t="shared" si="27"/>
        <v>2</v>
      </c>
      <c r="AL12" s="146" t="str">
        <f t="shared" si="28"/>
        <v/>
      </c>
      <c r="AM12" s="146" t="str">
        <f t="shared" si="35"/>
        <v/>
      </c>
      <c r="AN12" s="146" t="str">
        <f t="shared" si="5"/>
        <v/>
      </c>
      <c r="AO12" s="146">
        <f t="shared" si="6"/>
        <v>2</v>
      </c>
      <c r="AP12" s="453" t="b">
        <f t="shared" si="7"/>
        <v>1</v>
      </c>
      <c r="AQ12" s="140">
        <f t="shared" si="29"/>
        <v>0</v>
      </c>
      <c r="AR12" s="141" t="str">
        <f t="shared" si="8"/>
        <v/>
      </c>
      <c r="AS12" s="142">
        <f t="shared" si="30"/>
        <v>3</v>
      </c>
      <c r="AT12" s="141" t="str">
        <f t="shared" si="9"/>
        <v/>
      </c>
      <c r="AU12" s="143">
        <f t="shared" si="10"/>
        <v>0</v>
      </c>
      <c r="AV12" s="144" t="str">
        <f t="shared" si="11"/>
        <v/>
      </c>
      <c r="AW12" s="143" t="b">
        <f t="shared" si="12"/>
        <v>1</v>
      </c>
      <c r="AX12" s="145" t="b">
        <f t="shared" si="13"/>
        <v>0</v>
      </c>
      <c r="AY12" s="143" t="b">
        <f t="shared" si="14"/>
        <v>0</v>
      </c>
      <c r="AZ12" s="145" t="b">
        <f t="shared" si="15"/>
        <v>0</v>
      </c>
      <c r="BA12" s="453" t="b">
        <f t="shared" si="16"/>
        <v>0</v>
      </c>
      <c r="BB12" s="453" t="b">
        <f t="shared" si="17"/>
        <v>0</v>
      </c>
      <c r="BC12" s="143" t="b">
        <f t="shared" si="18"/>
        <v>0</v>
      </c>
      <c r="BD12" s="146" t="b">
        <f t="shared" si="31"/>
        <v>0</v>
      </c>
      <c r="BE12" s="145" t="b">
        <f t="shared" si="19"/>
        <v>0</v>
      </c>
      <c r="BF12" s="147" t="b">
        <f t="shared" si="20"/>
        <v>0</v>
      </c>
      <c r="BG12" s="453" t="b">
        <f t="shared" si="21"/>
        <v>1</v>
      </c>
      <c r="BH12" s="453">
        <f t="shared" si="32"/>
        <v>1</v>
      </c>
      <c r="BI12" s="453">
        <f t="shared" si="22"/>
        <v>2</v>
      </c>
      <c r="BJ12" s="453" t="str">
        <f t="shared" si="23"/>
        <v>2*</v>
      </c>
      <c r="BK12" s="453">
        <f t="shared" si="24"/>
        <v>3</v>
      </c>
      <c r="BL12" s="148">
        <f t="shared" si="33"/>
        <v>1</v>
      </c>
      <c r="BM12" s="453">
        <f t="shared" si="25"/>
        <v>2</v>
      </c>
      <c r="BN12" s="453">
        <f t="shared" si="26"/>
        <v>3</v>
      </c>
      <c r="BO12" s="155">
        <v>2</v>
      </c>
      <c r="BP12" s="156" t="s">
        <v>350</v>
      </c>
    </row>
    <row r="13" spans="2:73" s="94" customFormat="1" ht="12.95" customHeight="1" x14ac:dyDescent="0.2">
      <c r="B13" s="151">
        <f>IF(ISNA(Z13),"",IF(OR(Z13=1,Z13=2),"    ",MAX($B$8:B12)+1))</f>
        <v>5</v>
      </c>
      <c r="C13" s="904" t="str">
        <f t="shared" si="0"/>
        <v>Clearing/Visual Lookout (3.2%)</v>
      </c>
      <c r="D13" s="904"/>
      <c r="E13" s="904"/>
      <c r="F13" s="905"/>
      <c r="G13" s="133">
        <f t="shared" si="1"/>
        <v>1</v>
      </c>
      <c r="H13" s="134" t="str">
        <f t="shared" si="2"/>
        <v>2*</v>
      </c>
      <c r="I13" s="152">
        <f t="shared" si="2"/>
        <v>3</v>
      </c>
      <c r="J13" s="157"/>
      <c r="K13" s="154"/>
      <c r="L13" s="1015"/>
      <c r="M13" s="1016"/>
      <c r="N13" s="1016"/>
      <c r="O13" s="1016"/>
      <c r="P13" s="1016"/>
      <c r="Q13" s="1016"/>
      <c r="R13" s="1017"/>
      <c r="T13" s="99">
        <v>6</v>
      </c>
      <c r="U13" s="88" t="s">
        <v>349</v>
      </c>
      <c r="V13" s="453">
        <v>1</v>
      </c>
      <c r="W13" s="453" t="s">
        <v>340</v>
      </c>
      <c r="X13" s="453">
        <v>3</v>
      </c>
      <c r="Y13" s="453" t="s">
        <v>340</v>
      </c>
      <c r="Z13" s="146" t="s">
        <v>340</v>
      </c>
      <c r="AA13" s="146">
        <v>1</v>
      </c>
      <c r="AB13" s="146">
        <v>0</v>
      </c>
      <c r="AC13" s="453">
        <v>3</v>
      </c>
      <c r="AD13" s="453">
        <v>3</v>
      </c>
      <c r="AE13" s="453">
        <v>1</v>
      </c>
      <c r="AF13" s="453" t="b">
        <v>1</v>
      </c>
      <c r="AG13" s="453">
        <f t="shared" si="3"/>
        <v>3</v>
      </c>
      <c r="AH13" s="453">
        <f t="shared" si="4"/>
        <v>2</v>
      </c>
      <c r="AI13" s="138">
        <f>IF(NOT(OR(Z13=1,Z13=2)),IF(AQ13&gt;0,$AR$44*AQ13/SUMIF($AQ$8:$AQ$39,"&gt;0"),IF(AU13&gt;0,$AV$44*AU13/SUMIF($AU$8:$AU$39,"&gt;0"),IF(AS13&gt;0,$AT$44*AS13/SUMIF($AS$8:$AS$39,"&gt;0"),""))),IF(SUMIF(AJ14:$AJ$39,"=" &amp; AJ13,AI14:$AI$39)=0,"",SUMIF(AJ14:$AJ$39,"=" &amp; AJ13,AI14:$AI$39)))</f>
        <v>3.2000000000000001E-2</v>
      </c>
      <c r="AJ13" s="139">
        <f t="shared" si="34"/>
        <v>0</v>
      </c>
      <c r="AK13" s="453">
        <f t="shared" si="27"/>
        <v>2</v>
      </c>
      <c r="AL13" s="146" t="str">
        <f t="shared" si="28"/>
        <v/>
      </c>
      <c r="AM13" s="146" t="str">
        <f t="shared" si="35"/>
        <v/>
      </c>
      <c r="AN13" s="146" t="str">
        <f t="shared" si="5"/>
        <v/>
      </c>
      <c r="AO13" s="146">
        <f t="shared" si="6"/>
        <v>2</v>
      </c>
      <c r="AP13" s="453" t="b">
        <f t="shared" si="7"/>
        <v>1</v>
      </c>
      <c r="AQ13" s="140">
        <f t="shared" si="29"/>
        <v>0</v>
      </c>
      <c r="AR13" s="141" t="str">
        <f t="shared" si="8"/>
        <v/>
      </c>
      <c r="AS13" s="142">
        <f t="shared" si="30"/>
        <v>3</v>
      </c>
      <c r="AT13" s="141" t="str">
        <f t="shared" si="9"/>
        <v/>
      </c>
      <c r="AU13" s="143">
        <f t="shared" si="10"/>
        <v>0</v>
      </c>
      <c r="AV13" s="144" t="str">
        <f t="shared" si="11"/>
        <v/>
      </c>
      <c r="AW13" s="143" t="b">
        <f t="shared" si="12"/>
        <v>1</v>
      </c>
      <c r="AX13" s="145" t="b">
        <f t="shared" si="13"/>
        <v>0</v>
      </c>
      <c r="AY13" s="143" t="b">
        <f t="shared" si="14"/>
        <v>0</v>
      </c>
      <c r="AZ13" s="145" t="b">
        <f t="shared" si="15"/>
        <v>0</v>
      </c>
      <c r="BA13" s="453" t="b">
        <f t="shared" si="16"/>
        <v>0</v>
      </c>
      <c r="BB13" s="453" t="b">
        <f t="shared" si="17"/>
        <v>0</v>
      </c>
      <c r="BC13" s="143" t="b">
        <f t="shared" si="18"/>
        <v>0</v>
      </c>
      <c r="BD13" s="146" t="b">
        <f t="shared" si="31"/>
        <v>0</v>
      </c>
      <c r="BE13" s="145" t="b">
        <f t="shared" si="19"/>
        <v>0</v>
      </c>
      <c r="BF13" s="147" t="b">
        <f t="shared" si="20"/>
        <v>0</v>
      </c>
      <c r="BG13" s="453" t="b">
        <f t="shared" si="21"/>
        <v>1</v>
      </c>
      <c r="BH13" s="453">
        <f t="shared" si="32"/>
        <v>1</v>
      </c>
      <c r="BI13" s="453">
        <f t="shared" si="22"/>
        <v>2</v>
      </c>
      <c r="BJ13" s="453" t="str">
        <f t="shared" si="23"/>
        <v>2*</v>
      </c>
      <c r="BK13" s="453">
        <f t="shared" si="24"/>
        <v>3</v>
      </c>
      <c r="BL13" s="148">
        <f t="shared" si="33"/>
        <v>1</v>
      </c>
      <c r="BM13" s="453">
        <f t="shared" si="25"/>
        <v>2</v>
      </c>
      <c r="BN13" s="453">
        <f t="shared" si="26"/>
        <v>3</v>
      </c>
      <c r="BO13" s="155">
        <v>3</v>
      </c>
      <c r="BP13" s="156" t="s">
        <v>352</v>
      </c>
    </row>
    <row r="14" spans="2:73" s="94" customFormat="1" ht="12.95" customHeight="1" x14ac:dyDescent="0.2">
      <c r="B14" s="151" t="str">
        <f>IF(ISNA(Z14),"",IF(OR(Z14=1,Z14=2),"    ",MAX($B$8:B13)+1))</f>
        <v xml:space="preserve">    </v>
      </c>
      <c r="C14" s="904" t="str">
        <f t="shared" si="0"/>
        <v>Academic Tasks</v>
      </c>
      <c r="D14" s="904"/>
      <c r="E14" s="904"/>
      <c r="F14" s="905"/>
      <c r="G14" s="133" t="str">
        <f t="shared" si="1"/>
        <v/>
      </c>
      <c r="H14" s="134" t="str">
        <f t="shared" si="2"/>
        <v/>
      </c>
      <c r="I14" s="152" t="str">
        <f t="shared" si="2"/>
        <v/>
      </c>
      <c r="J14" s="158"/>
      <c r="K14" s="159"/>
      <c r="L14" s="1015"/>
      <c r="M14" s="1016"/>
      <c r="N14" s="1016"/>
      <c r="O14" s="1016"/>
      <c r="P14" s="1016"/>
      <c r="Q14" s="1016"/>
      <c r="R14" s="1017"/>
      <c r="T14" s="99">
        <v>7</v>
      </c>
      <c r="U14" s="88" t="s">
        <v>351</v>
      </c>
      <c r="V14" s="453" t="s">
        <v>340</v>
      </c>
      <c r="W14" s="453" t="s">
        <v>340</v>
      </c>
      <c r="X14" s="453" t="s">
        <v>340</v>
      </c>
      <c r="Y14" s="453" t="s">
        <v>340</v>
      </c>
      <c r="Z14" s="146">
        <v>1</v>
      </c>
      <c r="AA14" s="146">
        <v>0</v>
      </c>
      <c r="AB14" s="146">
        <v>1</v>
      </c>
      <c r="AC14" s="453" t="s">
        <v>340</v>
      </c>
      <c r="AD14" s="453" t="s">
        <v>340</v>
      </c>
      <c r="AE14" s="453">
        <v>0</v>
      </c>
      <c r="AF14" s="453" t="s">
        <v>340</v>
      </c>
      <c r="AG14" s="453" t="str">
        <f t="shared" si="3"/>
        <v/>
      </c>
      <c r="AH14" s="453" t="str">
        <f t="shared" si="4"/>
        <v/>
      </c>
      <c r="AI14" s="138" t="str">
        <f>IF(NOT(OR(Z14=1,Z14=2)),IF(AQ14&gt;0,$AR$44*AQ14/SUMIF($AQ$8:$AQ$39,"&gt;0"),IF(AU14&gt;0,$AV$44*AU14/SUMIF($AU$8:$AU$39,"&gt;0"),IF(AS14&gt;0,$AT$44*AS14/SUMIF($AS$8:$AS$39,"&gt;0"),""))),IF(SUMIF(AJ15:$AJ$39,"=" &amp; AJ14,AI15:$AI$39)=0,"",SUMIF(AJ15:$AJ$39,"=" &amp; AJ14,AI15:$AI$39)))</f>
        <v/>
      </c>
      <c r="AJ14" s="139">
        <f t="shared" si="34"/>
        <v>1</v>
      </c>
      <c r="AK14" s="453" t="str">
        <f t="shared" si="27"/>
        <v/>
      </c>
      <c r="AL14" s="146" t="str">
        <f t="shared" si="28"/>
        <v/>
      </c>
      <c r="AM14" s="146" t="str">
        <f t="shared" si="35"/>
        <v/>
      </c>
      <c r="AN14" s="146" t="str">
        <f t="shared" si="5"/>
        <v/>
      </c>
      <c r="AO14" s="146" t="str">
        <f t="shared" si="6"/>
        <v/>
      </c>
      <c r="AP14" s="453" t="str">
        <f t="shared" si="7"/>
        <v/>
      </c>
      <c r="AQ14" s="140">
        <f t="shared" si="29"/>
        <v>0</v>
      </c>
      <c r="AR14" s="141" t="str">
        <f t="shared" si="8"/>
        <v/>
      </c>
      <c r="AS14" s="142">
        <f t="shared" si="30"/>
        <v>0</v>
      </c>
      <c r="AT14" s="141" t="str">
        <f t="shared" si="9"/>
        <v/>
      </c>
      <c r="AU14" s="143">
        <f t="shared" si="10"/>
        <v>0</v>
      </c>
      <c r="AV14" s="144" t="str">
        <f t="shared" si="11"/>
        <v/>
      </c>
      <c r="AW14" s="143" t="b">
        <f t="shared" si="12"/>
        <v>0</v>
      </c>
      <c r="AX14" s="145" t="b">
        <f t="shared" si="13"/>
        <v>0</v>
      </c>
      <c r="AY14" s="143" t="b">
        <f t="shared" si="14"/>
        <v>0</v>
      </c>
      <c r="AZ14" s="145" t="b">
        <f t="shared" si="15"/>
        <v>0</v>
      </c>
      <c r="BA14" s="453" t="b">
        <f t="shared" si="16"/>
        <v>0</v>
      </c>
      <c r="BB14" s="453" t="b">
        <f t="shared" si="17"/>
        <v>0</v>
      </c>
      <c r="BC14" s="143" t="b">
        <f t="shared" si="18"/>
        <v>0</v>
      </c>
      <c r="BD14" s="146" t="b">
        <f t="shared" si="31"/>
        <v>0</v>
      </c>
      <c r="BE14" s="145" t="b">
        <f t="shared" si="19"/>
        <v>0</v>
      </c>
      <c r="BF14" s="147" t="b">
        <f t="shared" si="20"/>
        <v>0</v>
      </c>
      <c r="BG14" s="453" t="b">
        <f t="shared" si="21"/>
        <v>0</v>
      </c>
      <c r="BH14" s="453" t="str">
        <f t="shared" si="32"/>
        <v/>
      </c>
      <c r="BI14" s="453" t="str">
        <f t="shared" si="22"/>
        <v/>
      </c>
      <c r="BJ14" s="453" t="str">
        <f t="shared" si="23"/>
        <v/>
      </c>
      <c r="BK14" s="453" t="str">
        <f t="shared" si="24"/>
        <v/>
      </c>
      <c r="BL14" s="148" t="str">
        <f t="shared" si="33"/>
        <v/>
      </c>
      <c r="BM14" s="453" t="str">
        <f t="shared" si="25"/>
        <v/>
      </c>
      <c r="BN14" s="453" t="str">
        <f t="shared" si="26"/>
        <v/>
      </c>
      <c r="BO14" s="155">
        <v>4</v>
      </c>
      <c r="BP14" s="156" t="s">
        <v>354</v>
      </c>
    </row>
    <row r="15" spans="2:73" s="94" customFormat="1" ht="12.95" customHeight="1" x14ac:dyDescent="0.2">
      <c r="B15" s="151" t="str">
        <f>IF(ISNA(Z15),"",IF(OR(Z15=1,Z15=2),"    ",MAX($B$8:B14)+1))</f>
        <v xml:space="preserve">    </v>
      </c>
      <c r="C15" s="904" t="str">
        <f t="shared" si="0"/>
        <v>Test Conduct (24.0%)</v>
      </c>
      <c r="D15" s="904"/>
      <c r="E15" s="904"/>
      <c r="F15" s="905"/>
      <c r="G15" s="133" t="str">
        <f t="shared" si="1"/>
        <v/>
      </c>
      <c r="H15" s="134" t="str">
        <f t="shared" si="2"/>
        <v/>
      </c>
      <c r="I15" s="152" t="str">
        <f t="shared" si="2"/>
        <v/>
      </c>
      <c r="J15" s="158"/>
      <c r="K15" s="159"/>
      <c r="L15" s="1015"/>
      <c r="M15" s="1016"/>
      <c r="N15" s="1016"/>
      <c r="O15" s="1016"/>
      <c r="P15" s="1016"/>
      <c r="Q15" s="1016"/>
      <c r="R15" s="1017"/>
      <c r="T15" s="99">
        <v>8</v>
      </c>
      <c r="U15" s="88" t="s">
        <v>353</v>
      </c>
      <c r="V15" s="453" t="s">
        <v>340</v>
      </c>
      <c r="W15" s="453" t="s">
        <v>340</v>
      </c>
      <c r="X15" s="453" t="s">
        <v>340</v>
      </c>
      <c r="Y15" s="453" t="s">
        <v>340</v>
      </c>
      <c r="Z15" s="146">
        <v>2</v>
      </c>
      <c r="AA15" s="146">
        <v>1</v>
      </c>
      <c r="AB15" s="146">
        <v>1</v>
      </c>
      <c r="AC15" s="453" t="s">
        <v>340</v>
      </c>
      <c r="AD15" s="453" t="s">
        <v>340</v>
      </c>
      <c r="AE15" s="453" t="s">
        <v>340</v>
      </c>
      <c r="AF15" s="453" t="s">
        <v>340</v>
      </c>
      <c r="AG15" s="453" t="str">
        <f t="shared" si="3"/>
        <v/>
      </c>
      <c r="AH15" s="453" t="str">
        <f t="shared" si="4"/>
        <v/>
      </c>
      <c r="AI15" s="138">
        <f>IF(NOT(OR(Z15=1,Z15=2)),IF(AQ15&gt;0,$AR$44*AQ15/SUMIF($AQ$8:$AQ$39,"&gt;0"),IF(AU15&gt;0,$AV$44*AU15/SUMIF($AU$8:$AU$39,"&gt;0"),IF(AS15&gt;0,$AT$44*AS15/SUMIF($AS$8:$AS$39,"&gt;0"),""))),IF(SUMIF(AJ16:$AJ$39,"=" &amp; AJ15,AI16:$AI$39)=0,"",SUMIF(AJ16:$AJ$39,"=" &amp; AJ15,AI16:$AI$39)))</f>
        <v>0.24</v>
      </c>
      <c r="AJ15" s="139">
        <f t="shared" si="34"/>
        <v>2</v>
      </c>
      <c r="AK15" s="453" t="str">
        <f t="shared" si="27"/>
        <v/>
      </c>
      <c r="AL15" s="146" t="str">
        <f t="shared" si="28"/>
        <v/>
      </c>
      <c r="AM15" s="146" t="str">
        <f t="shared" si="35"/>
        <v/>
      </c>
      <c r="AN15" s="146" t="str">
        <f t="shared" si="5"/>
        <v/>
      </c>
      <c r="AO15" s="146" t="str">
        <f t="shared" si="6"/>
        <v/>
      </c>
      <c r="AP15" s="453" t="str">
        <f t="shared" si="7"/>
        <v/>
      </c>
      <c r="AQ15" s="140">
        <f t="shared" si="29"/>
        <v>0</v>
      </c>
      <c r="AR15" s="141" t="str">
        <f t="shared" si="8"/>
        <v/>
      </c>
      <c r="AS15" s="142">
        <f t="shared" si="30"/>
        <v>0</v>
      </c>
      <c r="AT15" s="141" t="str">
        <f t="shared" si="9"/>
        <v/>
      </c>
      <c r="AU15" s="143">
        <f t="shared" si="10"/>
        <v>0</v>
      </c>
      <c r="AV15" s="144" t="str">
        <f t="shared" si="11"/>
        <v/>
      </c>
      <c r="AW15" s="143" t="b">
        <f t="shared" si="12"/>
        <v>0</v>
      </c>
      <c r="AX15" s="145" t="b">
        <f t="shared" si="13"/>
        <v>0</v>
      </c>
      <c r="AY15" s="143" t="b">
        <f t="shared" si="14"/>
        <v>0</v>
      </c>
      <c r="AZ15" s="145" t="b">
        <f t="shared" si="15"/>
        <v>0</v>
      </c>
      <c r="BA15" s="453" t="b">
        <f t="shared" si="16"/>
        <v>0</v>
      </c>
      <c r="BB15" s="453" t="b">
        <f t="shared" si="17"/>
        <v>0</v>
      </c>
      <c r="BC15" s="143" t="b">
        <f t="shared" si="18"/>
        <v>0</v>
      </c>
      <c r="BD15" s="146" t="b">
        <f t="shared" si="31"/>
        <v>0</v>
      </c>
      <c r="BE15" s="145" t="b">
        <f t="shared" si="19"/>
        <v>0</v>
      </c>
      <c r="BF15" s="147" t="b">
        <f t="shared" si="20"/>
        <v>0</v>
      </c>
      <c r="BG15" s="453" t="b">
        <f t="shared" si="21"/>
        <v>0</v>
      </c>
      <c r="BH15" s="453" t="str">
        <f t="shared" si="32"/>
        <v/>
      </c>
      <c r="BI15" s="453" t="str">
        <f t="shared" si="22"/>
        <v/>
      </c>
      <c r="BJ15" s="453" t="str">
        <f t="shared" si="23"/>
        <v/>
      </c>
      <c r="BK15" s="453" t="str">
        <f t="shared" si="24"/>
        <v/>
      </c>
      <c r="BL15" s="148" t="str">
        <f t="shared" si="33"/>
        <v/>
      </c>
      <c r="BM15" s="453" t="str">
        <f t="shared" si="25"/>
        <v/>
      </c>
      <c r="BN15" s="453" t="str">
        <f t="shared" si="26"/>
        <v/>
      </c>
      <c r="BO15" s="90"/>
    </row>
    <row r="16" spans="2:73" s="94" customFormat="1" ht="12.95" customHeight="1" x14ac:dyDescent="0.2">
      <c r="B16" s="151">
        <f>IF(ISNA(Z16),"",IF(OR(Z16=1,Z16=2),"    ",MAX($B$8:B15)+1))</f>
        <v>6</v>
      </c>
      <c r="C16" s="904" t="str">
        <f t="shared" si="0"/>
        <v xml:space="preserve">      - Mission Briefing (8.0%)</v>
      </c>
      <c r="D16" s="904"/>
      <c r="E16" s="904"/>
      <c r="F16" s="905"/>
      <c r="G16" s="133">
        <f t="shared" si="1"/>
        <v>1</v>
      </c>
      <c r="H16" s="134" t="str">
        <f t="shared" si="2"/>
        <v>2</v>
      </c>
      <c r="I16" s="152">
        <f t="shared" si="2"/>
        <v>3</v>
      </c>
      <c r="J16" s="157"/>
      <c r="K16" s="154"/>
      <c r="L16" s="1015"/>
      <c r="M16" s="1016"/>
      <c r="N16" s="1016"/>
      <c r="O16" s="1016"/>
      <c r="P16" s="1016"/>
      <c r="Q16" s="1016"/>
      <c r="R16" s="1017"/>
      <c r="T16" s="99">
        <v>9</v>
      </c>
      <c r="U16" s="88" t="s">
        <v>621</v>
      </c>
      <c r="V16" s="453">
        <v>1</v>
      </c>
      <c r="W16" s="453">
        <v>8</v>
      </c>
      <c r="X16" s="453" t="s">
        <v>340</v>
      </c>
      <c r="Y16" s="453" t="s">
        <v>340</v>
      </c>
      <c r="Z16" s="146" t="s">
        <v>340</v>
      </c>
      <c r="AA16" s="146">
        <v>2</v>
      </c>
      <c r="AB16" s="146">
        <v>1</v>
      </c>
      <c r="AC16" s="453">
        <v>3</v>
      </c>
      <c r="AD16" s="453">
        <v>2</v>
      </c>
      <c r="AE16" s="453">
        <v>0</v>
      </c>
      <c r="AF16" s="453" t="b">
        <v>1</v>
      </c>
      <c r="AG16" s="453">
        <f t="shared" si="3"/>
        <v>2</v>
      </c>
      <c r="AH16" s="453">
        <f t="shared" si="4"/>
        <v>1</v>
      </c>
      <c r="AI16" s="138">
        <f>IF(NOT(OR(Z16=1,Z16=2)),IF(AQ16&gt;0,$AR$44*AQ16/SUMIF($AQ$8:$AQ$39,"&gt;0"),IF(AU16&gt;0,$AV$44*AU16/SUMIF($AU$8:$AU$39,"&gt;0"),IF(AS16&gt;0,$AT$44*AS16/SUMIF($AS$8:$AS$39,"&gt;0"),""))),IF(SUMIF(AJ17:$AJ$39,"=" &amp; AJ16,AI17:$AI$39)=0,"",SUMIF(AJ17:$AJ$39,"=" &amp; AJ16,AI17:$AI$39)))</f>
        <v>0.08</v>
      </c>
      <c r="AJ16" s="139">
        <f t="shared" si="34"/>
        <v>2</v>
      </c>
      <c r="AK16" s="453">
        <f t="shared" si="27"/>
        <v>2</v>
      </c>
      <c r="AL16" s="146" t="str">
        <f t="shared" si="28"/>
        <v/>
      </c>
      <c r="AM16" s="146" t="str">
        <f t="shared" si="35"/>
        <v/>
      </c>
      <c r="AN16" s="146" t="str">
        <f t="shared" si="5"/>
        <v/>
      </c>
      <c r="AO16" s="146" t="str">
        <f t="shared" si="6"/>
        <v/>
      </c>
      <c r="AP16" s="453" t="b">
        <f t="shared" si="7"/>
        <v>1</v>
      </c>
      <c r="AQ16" s="140">
        <f t="shared" si="29"/>
        <v>8</v>
      </c>
      <c r="AR16" s="141" t="str">
        <f t="shared" si="8"/>
        <v/>
      </c>
      <c r="AS16" s="142">
        <f t="shared" si="30"/>
        <v>0</v>
      </c>
      <c r="AT16" s="141" t="str">
        <f t="shared" si="9"/>
        <v/>
      </c>
      <c r="AU16" s="143">
        <f t="shared" si="10"/>
        <v>0</v>
      </c>
      <c r="AV16" s="144" t="str">
        <f t="shared" si="11"/>
        <v/>
      </c>
      <c r="AW16" s="143" t="b">
        <f t="shared" si="12"/>
        <v>0</v>
      </c>
      <c r="AX16" s="145" t="b">
        <f t="shared" si="13"/>
        <v>1</v>
      </c>
      <c r="AY16" s="143" t="b">
        <f t="shared" si="14"/>
        <v>0</v>
      </c>
      <c r="AZ16" s="145" t="b">
        <f t="shared" si="15"/>
        <v>0</v>
      </c>
      <c r="BA16" s="453" t="b">
        <f t="shared" si="16"/>
        <v>0</v>
      </c>
      <c r="BB16" s="453" t="b">
        <f t="shared" si="17"/>
        <v>0</v>
      </c>
      <c r="BC16" s="143" t="b">
        <f t="shared" si="18"/>
        <v>0</v>
      </c>
      <c r="BD16" s="146" t="b">
        <f t="shared" si="31"/>
        <v>0</v>
      </c>
      <c r="BE16" s="145" t="b">
        <f t="shared" si="19"/>
        <v>0</v>
      </c>
      <c r="BF16" s="147" t="b">
        <f t="shared" si="20"/>
        <v>0</v>
      </c>
      <c r="BG16" s="453" t="b">
        <f t="shared" si="21"/>
        <v>1</v>
      </c>
      <c r="BH16" s="453">
        <f t="shared" si="32"/>
        <v>1</v>
      </c>
      <c r="BI16" s="453">
        <f t="shared" si="22"/>
        <v>2</v>
      </c>
      <c r="BJ16" s="453" t="str">
        <f t="shared" si="23"/>
        <v>2</v>
      </c>
      <c r="BK16" s="453">
        <f t="shared" si="24"/>
        <v>3</v>
      </c>
      <c r="BL16" s="148">
        <f t="shared" si="33"/>
        <v>1</v>
      </c>
      <c r="BM16" s="453">
        <f t="shared" si="25"/>
        <v>2</v>
      </c>
      <c r="BN16" s="453">
        <f t="shared" si="26"/>
        <v>3</v>
      </c>
      <c r="BO16" s="155"/>
      <c r="BP16" s="160"/>
    </row>
    <row r="17" spans="2:73" s="94" customFormat="1" ht="12.95" customHeight="1" x14ac:dyDescent="0.2">
      <c r="B17" s="151">
        <f>IF(ISNA(Z17),"",IF(OR(Z17=1,Z17=2),"    ",MAX($B$8:B16)+1))</f>
        <v>7</v>
      </c>
      <c r="C17" s="904" t="str">
        <f t="shared" si="0"/>
        <v xml:space="preserve">      - Communication (8.0%)</v>
      </c>
      <c r="D17" s="904"/>
      <c r="E17" s="904"/>
      <c r="F17" s="905"/>
      <c r="G17" s="133">
        <f t="shared" si="1"/>
        <v>1</v>
      </c>
      <c r="H17" s="134" t="str">
        <f t="shared" si="2"/>
        <v>2</v>
      </c>
      <c r="I17" s="152">
        <f t="shared" si="2"/>
        <v>3</v>
      </c>
      <c r="J17" s="157"/>
      <c r="K17" s="154"/>
      <c r="L17" s="1015"/>
      <c r="M17" s="1016"/>
      <c r="N17" s="1016"/>
      <c r="O17" s="1016"/>
      <c r="P17" s="1016"/>
      <c r="Q17" s="1016"/>
      <c r="R17" s="1017"/>
      <c r="T17" s="99">
        <v>10</v>
      </c>
      <c r="U17" s="88" t="s">
        <v>500</v>
      </c>
      <c r="V17" s="453">
        <v>1</v>
      </c>
      <c r="W17" s="453">
        <v>8</v>
      </c>
      <c r="X17" s="453" t="s">
        <v>340</v>
      </c>
      <c r="Y17" s="453" t="s">
        <v>340</v>
      </c>
      <c r="Z17" s="146" t="s">
        <v>340</v>
      </c>
      <c r="AA17" s="146">
        <v>2</v>
      </c>
      <c r="AB17" s="146">
        <v>1</v>
      </c>
      <c r="AC17" s="453">
        <v>3</v>
      </c>
      <c r="AD17" s="453">
        <v>2</v>
      </c>
      <c r="AE17" s="453">
        <v>0</v>
      </c>
      <c r="AF17" s="453" t="b">
        <v>1</v>
      </c>
      <c r="AG17" s="453">
        <f t="shared" si="3"/>
        <v>2</v>
      </c>
      <c r="AH17" s="453">
        <f t="shared" si="4"/>
        <v>1</v>
      </c>
      <c r="AI17" s="138">
        <f>IF(NOT(OR(Z17=1,Z17=2)),IF(AQ17&gt;0,$AR$44*AQ17/SUMIF($AQ$8:$AQ$39,"&gt;0"),IF(AU17&gt;0,$AV$44*AU17/SUMIF($AU$8:$AU$39,"&gt;0"),IF(AS17&gt;0,$AT$44*AS17/SUMIF($AS$8:$AS$39,"&gt;0"),""))),IF(SUMIF(AJ18:$AJ$39,"=" &amp; AJ17,AI18:$AI$39)=0,"",SUMIF(AJ18:$AJ$39,"=" &amp; AJ17,AI18:$AI$39)))</f>
        <v>0.08</v>
      </c>
      <c r="AJ17" s="139">
        <f t="shared" si="34"/>
        <v>2</v>
      </c>
      <c r="AK17" s="453">
        <f t="shared" si="27"/>
        <v>2</v>
      </c>
      <c r="AL17" s="146" t="str">
        <f t="shared" si="28"/>
        <v/>
      </c>
      <c r="AM17" s="146" t="str">
        <f t="shared" si="35"/>
        <v/>
      </c>
      <c r="AN17" s="146" t="str">
        <f t="shared" si="5"/>
        <v/>
      </c>
      <c r="AO17" s="146" t="str">
        <f t="shared" si="6"/>
        <v/>
      </c>
      <c r="AP17" s="453" t="b">
        <f t="shared" si="7"/>
        <v>1</v>
      </c>
      <c r="AQ17" s="140">
        <f t="shared" si="29"/>
        <v>8</v>
      </c>
      <c r="AR17" s="141" t="str">
        <f t="shared" si="8"/>
        <v/>
      </c>
      <c r="AS17" s="142">
        <f t="shared" si="30"/>
        <v>0</v>
      </c>
      <c r="AT17" s="141" t="str">
        <f t="shared" si="9"/>
        <v/>
      </c>
      <c r="AU17" s="143">
        <f t="shared" si="10"/>
        <v>0</v>
      </c>
      <c r="AV17" s="144" t="str">
        <f t="shared" si="11"/>
        <v/>
      </c>
      <c r="AW17" s="143" t="b">
        <f t="shared" si="12"/>
        <v>0</v>
      </c>
      <c r="AX17" s="145" t="b">
        <f t="shared" si="13"/>
        <v>1</v>
      </c>
      <c r="AY17" s="143" t="b">
        <f t="shared" si="14"/>
        <v>0</v>
      </c>
      <c r="AZ17" s="145" t="b">
        <f t="shared" si="15"/>
        <v>0</v>
      </c>
      <c r="BA17" s="453" t="b">
        <f t="shared" si="16"/>
        <v>0</v>
      </c>
      <c r="BB17" s="453" t="b">
        <f t="shared" si="17"/>
        <v>0</v>
      </c>
      <c r="BC17" s="143" t="b">
        <f t="shared" si="18"/>
        <v>0</v>
      </c>
      <c r="BD17" s="146" t="b">
        <f t="shared" si="31"/>
        <v>0</v>
      </c>
      <c r="BE17" s="145" t="b">
        <f t="shared" si="19"/>
        <v>0</v>
      </c>
      <c r="BF17" s="147" t="b">
        <f t="shared" si="20"/>
        <v>0</v>
      </c>
      <c r="BG17" s="453" t="b">
        <f t="shared" si="21"/>
        <v>1</v>
      </c>
      <c r="BH17" s="453">
        <f t="shared" si="32"/>
        <v>1</v>
      </c>
      <c r="BI17" s="453">
        <f t="shared" si="22"/>
        <v>2</v>
      </c>
      <c r="BJ17" s="453" t="str">
        <f t="shared" si="23"/>
        <v>2</v>
      </c>
      <c r="BK17" s="453">
        <f t="shared" si="24"/>
        <v>3</v>
      </c>
      <c r="BL17" s="148">
        <f t="shared" si="33"/>
        <v>1</v>
      </c>
      <c r="BM17" s="453">
        <f t="shared" si="25"/>
        <v>2</v>
      </c>
      <c r="BN17" s="453">
        <f t="shared" si="26"/>
        <v>3</v>
      </c>
      <c r="BO17" s="90"/>
    </row>
    <row r="18" spans="2:73" s="94" customFormat="1" ht="12.95" customHeight="1" x14ac:dyDescent="0.2">
      <c r="B18" s="151">
        <f>IF(ISNA(Z18),"",IF(OR(Z18=1,Z18=2),"    ",MAX($B$8:B17)+1))</f>
        <v>8</v>
      </c>
      <c r="C18" s="904" t="str">
        <f t="shared" si="0"/>
        <v xml:space="preserve">      - Teamwork/CRM (8.0%)</v>
      </c>
      <c r="D18" s="904"/>
      <c r="E18" s="904"/>
      <c r="F18" s="905"/>
      <c r="G18" s="133">
        <f t="shared" si="1"/>
        <v>1</v>
      </c>
      <c r="H18" s="134" t="str">
        <f t="shared" si="2"/>
        <v>2</v>
      </c>
      <c r="I18" s="152">
        <f t="shared" si="2"/>
        <v>3</v>
      </c>
      <c r="J18" s="157"/>
      <c r="K18" s="154"/>
      <c r="L18" s="1015"/>
      <c r="M18" s="1016"/>
      <c r="N18" s="1016"/>
      <c r="O18" s="1016"/>
      <c r="P18" s="1016"/>
      <c r="Q18" s="1016"/>
      <c r="R18" s="1017"/>
      <c r="T18" s="99">
        <v>11</v>
      </c>
      <c r="U18" s="88" t="s">
        <v>696</v>
      </c>
      <c r="V18" s="453">
        <v>1</v>
      </c>
      <c r="W18" s="453">
        <v>8</v>
      </c>
      <c r="X18" s="453" t="s">
        <v>340</v>
      </c>
      <c r="Y18" s="453" t="s">
        <v>340</v>
      </c>
      <c r="Z18" s="146" t="s">
        <v>340</v>
      </c>
      <c r="AA18" s="146">
        <v>2</v>
      </c>
      <c r="AB18" s="146">
        <v>1</v>
      </c>
      <c r="AC18" s="453">
        <v>3</v>
      </c>
      <c r="AD18" s="453">
        <v>2</v>
      </c>
      <c r="AE18" s="453">
        <v>0</v>
      </c>
      <c r="AF18" s="453" t="b">
        <v>1</v>
      </c>
      <c r="AG18" s="453">
        <f t="shared" si="3"/>
        <v>2</v>
      </c>
      <c r="AH18" s="453">
        <f t="shared" si="4"/>
        <v>1</v>
      </c>
      <c r="AI18" s="138">
        <f>IF(NOT(OR(Z18=1,Z18=2)),IF(AQ18&gt;0,$AR$44*AQ18/SUMIF($AQ$8:$AQ$39,"&gt;0"),IF(AU18&gt;0,$AV$44*AU18/SUMIF($AU$8:$AU$39,"&gt;0"),IF(AS18&gt;0,$AT$44*AS18/SUMIF($AS$8:$AS$39,"&gt;0"),""))),IF(SUMIF(AJ19:$AJ$39,"=" &amp; AJ18,AI19:$AI$39)=0,"",SUMIF(AJ19:$AJ$39,"=" &amp; AJ18,AI19:$AI$39)))</f>
        <v>0.08</v>
      </c>
      <c r="AJ18" s="139">
        <f t="shared" si="34"/>
        <v>2</v>
      </c>
      <c r="AK18" s="453">
        <f t="shared" si="27"/>
        <v>2</v>
      </c>
      <c r="AL18" s="146" t="str">
        <f t="shared" si="28"/>
        <v/>
      </c>
      <c r="AM18" s="146" t="str">
        <f t="shared" si="35"/>
        <v/>
      </c>
      <c r="AN18" s="146" t="str">
        <f t="shared" si="5"/>
        <v/>
      </c>
      <c r="AO18" s="146" t="str">
        <f t="shared" si="6"/>
        <v/>
      </c>
      <c r="AP18" s="453" t="b">
        <f t="shared" si="7"/>
        <v>1</v>
      </c>
      <c r="AQ18" s="140">
        <f t="shared" si="29"/>
        <v>8</v>
      </c>
      <c r="AR18" s="141" t="str">
        <f t="shared" si="8"/>
        <v/>
      </c>
      <c r="AS18" s="142">
        <f t="shared" si="30"/>
        <v>0</v>
      </c>
      <c r="AT18" s="141" t="str">
        <f t="shared" si="9"/>
        <v/>
      </c>
      <c r="AU18" s="143">
        <f t="shared" si="10"/>
        <v>0</v>
      </c>
      <c r="AV18" s="144" t="str">
        <f t="shared" si="11"/>
        <v/>
      </c>
      <c r="AW18" s="143" t="b">
        <f t="shared" si="12"/>
        <v>0</v>
      </c>
      <c r="AX18" s="145" t="b">
        <f t="shared" si="13"/>
        <v>1</v>
      </c>
      <c r="AY18" s="143" t="b">
        <f t="shared" si="14"/>
        <v>0</v>
      </c>
      <c r="AZ18" s="145" t="b">
        <f t="shared" si="15"/>
        <v>0</v>
      </c>
      <c r="BA18" s="453" t="b">
        <f t="shared" si="16"/>
        <v>0</v>
      </c>
      <c r="BB18" s="453" t="b">
        <f t="shared" si="17"/>
        <v>0</v>
      </c>
      <c r="BC18" s="143" t="b">
        <f t="shared" si="18"/>
        <v>0</v>
      </c>
      <c r="BD18" s="146" t="b">
        <f t="shared" si="31"/>
        <v>0</v>
      </c>
      <c r="BE18" s="145" t="b">
        <f t="shared" si="19"/>
        <v>0</v>
      </c>
      <c r="BF18" s="147" t="b">
        <f t="shared" si="20"/>
        <v>0</v>
      </c>
      <c r="BG18" s="453" t="b">
        <f t="shared" si="21"/>
        <v>1</v>
      </c>
      <c r="BH18" s="453">
        <f t="shared" si="32"/>
        <v>1</v>
      </c>
      <c r="BI18" s="453">
        <f t="shared" si="22"/>
        <v>2</v>
      </c>
      <c r="BJ18" s="453" t="str">
        <f t="shared" si="23"/>
        <v>2</v>
      </c>
      <c r="BK18" s="453">
        <f t="shared" si="24"/>
        <v>3</v>
      </c>
      <c r="BL18" s="148">
        <f t="shared" si="33"/>
        <v>1</v>
      </c>
      <c r="BM18" s="453">
        <f t="shared" si="25"/>
        <v>2</v>
      </c>
      <c r="BN18" s="453">
        <f t="shared" si="26"/>
        <v>3</v>
      </c>
      <c r="BO18" s="300"/>
      <c r="BP18" s="160" t="s">
        <v>355</v>
      </c>
      <c r="BQ18" s="161"/>
      <c r="BR18" s="161"/>
      <c r="BS18" s="161"/>
      <c r="BT18" s="161"/>
      <c r="BU18" s="161"/>
    </row>
    <row r="19" spans="2:73" s="94" customFormat="1" ht="12.95" customHeight="1" x14ac:dyDescent="0.2">
      <c r="B19" s="151" t="str">
        <f>IF(ISNA(Z19),"",IF(OR(Z19=1,Z19=2),"    ",MAX($B$8:B18)+1))</f>
        <v xml:space="preserve">    </v>
      </c>
      <c r="C19" s="904" t="str">
        <f t="shared" si="0"/>
        <v>Preparation (10.0%)</v>
      </c>
      <c r="D19" s="904"/>
      <c r="E19" s="904"/>
      <c r="F19" s="905"/>
      <c r="G19" s="133" t="str">
        <f t="shared" si="1"/>
        <v/>
      </c>
      <c r="H19" s="134" t="str">
        <f t="shared" si="2"/>
        <v/>
      </c>
      <c r="I19" s="152" t="str">
        <f t="shared" si="2"/>
        <v/>
      </c>
      <c r="J19" s="158"/>
      <c r="K19" s="159"/>
      <c r="L19" s="1015"/>
      <c r="M19" s="1016"/>
      <c r="N19" s="1016"/>
      <c r="O19" s="1016"/>
      <c r="P19" s="1016"/>
      <c r="Q19" s="1016"/>
      <c r="R19" s="1017"/>
      <c r="T19" s="99">
        <v>12</v>
      </c>
      <c r="U19" s="88" t="s">
        <v>622</v>
      </c>
      <c r="V19" s="453" t="s">
        <v>340</v>
      </c>
      <c r="W19" s="453" t="s">
        <v>340</v>
      </c>
      <c r="X19" s="453" t="s">
        <v>340</v>
      </c>
      <c r="Y19" s="453" t="s">
        <v>340</v>
      </c>
      <c r="Z19" s="146">
        <v>2</v>
      </c>
      <c r="AA19" s="146">
        <v>1</v>
      </c>
      <c r="AB19" s="146">
        <v>1</v>
      </c>
      <c r="AC19" s="453" t="s">
        <v>340</v>
      </c>
      <c r="AD19" s="453" t="s">
        <v>340</v>
      </c>
      <c r="AE19" s="453" t="s">
        <v>340</v>
      </c>
      <c r="AF19" s="453" t="s">
        <v>340</v>
      </c>
      <c r="AG19" s="453" t="str">
        <f t="shared" si="3"/>
        <v/>
      </c>
      <c r="AH19" s="453" t="str">
        <f t="shared" si="4"/>
        <v/>
      </c>
      <c r="AI19" s="138">
        <f>IF(NOT(OR(Z19=1,Z19=2)),IF(AQ19&gt;0,$AR$44*AQ19/SUMIF($AQ$8:$AQ$39,"&gt;0"),IF(AU19&gt;0,$AV$44*AU19/SUMIF($AU$8:$AU$39,"&gt;0"),IF(AS19&gt;0,$AT$44*AS19/SUMIF($AS$8:$AS$39,"&gt;0"),""))),IF(SUMIF(AJ20:$AJ$39,"=" &amp; AJ19,AI20:$AI$39)=0,"",SUMIF(AJ20:$AJ$39,"=" &amp; AJ19,AI20:$AI$39)))</f>
        <v>0.1</v>
      </c>
      <c r="AJ19" s="139">
        <f t="shared" si="34"/>
        <v>3</v>
      </c>
      <c r="AK19" s="453" t="str">
        <f t="shared" si="27"/>
        <v/>
      </c>
      <c r="AL19" s="146" t="str">
        <f t="shared" si="28"/>
        <v/>
      </c>
      <c r="AM19" s="146" t="str">
        <f t="shared" si="35"/>
        <v/>
      </c>
      <c r="AN19" s="146" t="str">
        <f t="shared" si="5"/>
        <v/>
      </c>
      <c r="AO19" s="146" t="str">
        <f t="shared" si="6"/>
        <v/>
      </c>
      <c r="AP19" s="453" t="str">
        <f t="shared" si="7"/>
        <v/>
      </c>
      <c r="AQ19" s="140">
        <f t="shared" si="29"/>
        <v>0</v>
      </c>
      <c r="AR19" s="141" t="str">
        <f t="shared" si="8"/>
        <v/>
      </c>
      <c r="AS19" s="142">
        <f t="shared" si="30"/>
        <v>0</v>
      </c>
      <c r="AT19" s="141" t="str">
        <f t="shared" si="9"/>
        <v/>
      </c>
      <c r="AU19" s="143">
        <f t="shared" si="10"/>
        <v>0</v>
      </c>
      <c r="AV19" s="144" t="str">
        <f t="shared" si="11"/>
        <v/>
      </c>
      <c r="AW19" s="143" t="b">
        <f t="shared" si="12"/>
        <v>0</v>
      </c>
      <c r="AX19" s="145" t="b">
        <f t="shared" si="13"/>
        <v>0</v>
      </c>
      <c r="AY19" s="143" t="b">
        <f t="shared" si="14"/>
        <v>0</v>
      </c>
      <c r="AZ19" s="145" t="b">
        <f t="shared" si="15"/>
        <v>0</v>
      </c>
      <c r="BA19" s="453" t="b">
        <f t="shared" si="16"/>
        <v>0</v>
      </c>
      <c r="BB19" s="453" t="b">
        <f t="shared" si="17"/>
        <v>0</v>
      </c>
      <c r="BC19" s="143" t="b">
        <f t="shared" si="18"/>
        <v>0</v>
      </c>
      <c r="BD19" s="146" t="b">
        <f t="shared" si="31"/>
        <v>0</v>
      </c>
      <c r="BE19" s="145" t="b">
        <f t="shared" si="19"/>
        <v>0</v>
      </c>
      <c r="BF19" s="147" t="b">
        <f t="shared" si="20"/>
        <v>0</v>
      </c>
      <c r="BG19" s="453" t="b">
        <f t="shared" si="21"/>
        <v>0</v>
      </c>
      <c r="BH19" s="453" t="str">
        <f t="shared" si="32"/>
        <v/>
      </c>
      <c r="BI19" s="453" t="str">
        <f t="shared" si="22"/>
        <v/>
      </c>
      <c r="BJ19" s="453" t="str">
        <f t="shared" si="23"/>
        <v/>
      </c>
      <c r="BK19" s="453" t="str">
        <f t="shared" si="24"/>
        <v/>
      </c>
      <c r="BL19" s="148" t="str">
        <f t="shared" si="33"/>
        <v/>
      </c>
      <c r="BM19" s="453" t="str">
        <f t="shared" si="25"/>
        <v/>
      </c>
      <c r="BN19" s="453" t="str">
        <f t="shared" si="26"/>
        <v/>
      </c>
      <c r="BO19" s="300"/>
      <c r="BP19" s="150"/>
      <c r="BQ19" s="935" t="s">
        <v>356</v>
      </c>
      <c r="BR19" s="935"/>
      <c r="BS19" s="935"/>
      <c r="BT19" s="935"/>
      <c r="BU19" s="935"/>
    </row>
    <row r="20" spans="2:73" s="94" customFormat="1" ht="12.95" customHeight="1" x14ac:dyDescent="0.2">
      <c r="B20" s="151">
        <f>IF(ISNA(Z20),"",IF(OR(Z20=1,Z20=2),"    ",MAX($B$8:B19)+1))</f>
        <v>9</v>
      </c>
      <c r="C20" s="904" t="str">
        <f t="shared" si="0"/>
        <v xml:space="preserve">      - Predictions (5.0%)</v>
      </c>
      <c r="D20" s="904"/>
      <c r="E20" s="904"/>
      <c r="F20" s="905"/>
      <c r="G20" s="133">
        <f t="shared" si="1"/>
        <v>1</v>
      </c>
      <c r="H20" s="134" t="str">
        <f t="shared" si="2"/>
        <v>2*</v>
      </c>
      <c r="I20" s="152">
        <f t="shared" si="2"/>
        <v>3</v>
      </c>
      <c r="J20" s="157"/>
      <c r="K20" s="154"/>
      <c r="L20" s="1015"/>
      <c r="M20" s="1016"/>
      <c r="N20" s="1016"/>
      <c r="O20" s="1016"/>
      <c r="P20" s="1016"/>
      <c r="Q20" s="1016"/>
      <c r="R20" s="1017"/>
      <c r="T20" s="99">
        <v>13</v>
      </c>
      <c r="U20" s="88" t="s">
        <v>710</v>
      </c>
      <c r="V20" s="453">
        <v>1</v>
      </c>
      <c r="W20" s="453">
        <v>5</v>
      </c>
      <c r="X20" s="453" t="s">
        <v>340</v>
      </c>
      <c r="Y20" s="453" t="s">
        <v>340</v>
      </c>
      <c r="Z20" s="146" t="s">
        <v>340</v>
      </c>
      <c r="AA20" s="146">
        <v>2</v>
      </c>
      <c r="AB20" s="146">
        <v>1</v>
      </c>
      <c r="AC20" s="453">
        <v>3</v>
      </c>
      <c r="AD20" s="453">
        <v>2</v>
      </c>
      <c r="AE20" s="453">
        <v>1</v>
      </c>
      <c r="AF20" s="453" t="b">
        <v>1</v>
      </c>
      <c r="AG20" s="453">
        <f t="shared" si="3"/>
        <v>2</v>
      </c>
      <c r="AH20" s="453">
        <f t="shared" si="4"/>
        <v>1</v>
      </c>
      <c r="AI20" s="138">
        <f>IF(NOT(OR(Z20=1,Z20=2)),IF(AQ20&gt;0,$AR$44*AQ20/SUMIF($AQ$8:$AQ$39,"&gt;0"),IF(AU20&gt;0,$AV$44*AU20/SUMIF($AU$8:$AU$39,"&gt;0"),IF(AS20&gt;0,$AT$44*AS20/SUMIF($AS$8:$AS$39,"&gt;0"),""))),IF(SUMIF(AJ21:$AJ$39,"=" &amp; AJ20,AI21:$AI$39)=0,"",SUMIF(AJ21:$AJ$39,"=" &amp; AJ20,AI21:$AI$39)))</f>
        <v>0.05</v>
      </c>
      <c r="AJ20" s="139">
        <f t="shared" si="34"/>
        <v>3</v>
      </c>
      <c r="AK20" s="453">
        <f t="shared" si="27"/>
        <v>2</v>
      </c>
      <c r="AL20" s="146" t="str">
        <f t="shared" si="28"/>
        <v/>
      </c>
      <c r="AM20" s="146" t="str">
        <f t="shared" si="35"/>
        <v/>
      </c>
      <c r="AN20" s="146" t="str">
        <f t="shared" si="5"/>
        <v/>
      </c>
      <c r="AO20" s="146" t="str">
        <f t="shared" si="6"/>
        <v/>
      </c>
      <c r="AP20" s="453" t="b">
        <f t="shared" si="7"/>
        <v>1</v>
      </c>
      <c r="AQ20" s="140">
        <f t="shared" si="29"/>
        <v>5</v>
      </c>
      <c r="AR20" s="141" t="str">
        <f t="shared" si="8"/>
        <v/>
      </c>
      <c r="AS20" s="142">
        <f t="shared" si="30"/>
        <v>0</v>
      </c>
      <c r="AT20" s="141" t="str">
        <f t="shared" si="9"/>
        <v/>
      </c>
      <c r="AU20" s="143">
        <f t="shared" si="10"/>
        <v>0</v>
      </c>
      <c r="AV20" s="144" t="str">
        <f t="shared" si="11"/>
        <v/>
      </c>
      <c r="AW20" s="143" t="b">
        <f t="shared" si="12"/>
        <v>0</v>
      </c>
      <c r="AX20" s="145" t="b">
        <f t="shared" si="13"/>
        <v>1</v>
      </c>
      <c r="AY20" s="143" t="b">
        <f t="shared" si="14"/>
        <v>0</v>
      </c>
      <c r="AZ20" s="145" t="b">
        <f t="shared" si="15"/>
        <v>0</v>
      </c>
      <c r="BA20" s="453" t="b">
        <f t="shared" si="16"/>
        <v>0</v>
      </c>
      <c r="BB20" s="453" t="b">
        <f t="shared" si="17"/>
        <v>0</v>
      </c>
      <c r="BC20" s="143" t="b">
        <f t="shared" si="18"/>
        <v>0</v>
      </c>
      <c r="BD20" s="146" t="b">
        <f t="shared" si="31"/>
        <v>0</v>
      </c>
      <c r="BE20" s="145" t="b">
        <f t="shared" si="19"/>
        <v>0</v>
      </c>
      <c r="BF20" s="147" t="b">
        <f t="shared" si="20"/>
        <v>0</v>
      </c>
      <c r="BG20" s="453" t="b">
        <f t="shared" si="21"/>
        <v>1</v>
      </c>
      <c r="BH20" s="453">
        <f t="shared" si="32"/>
        <v>1</v>
      </c>
      <c r="BI20" s="453">
        <f t="shared" si="22"/>
        <v>2</v>
      </c>
      <c r="BJ20" s="453" t="str">
        <f t="shared" si="23"/>
        <v>2*</v>
      </c>
      <c r="BK20" s="453">
        <f t="shared" si="24"/>
        <v>3</v>
      </c>
      <c r="BL20" s="148">
        <f t="shared" si="33"/>
        <v>1</v>
      </c>
      <c r="BM20" s="453">
        <f t="shared" si="25"/>
        <v>2</v>
      </c>
      <c r="BN20" s="453">
        <f t="shared" si="26"/>
        <v>3</v>
      </c>
      <c r="BO20" s="300"/>
      <c r="BP20" s="300"/>
      <c r="BQ20" s="300">
        <v>0</v>
      </c>
      <c r="BR20" s="300">
        <v>1</v>
      </c>
      <c r="BS20" s="300">
        <v>2</v>
      </c>
      <c r="BT20" s="300">
        <v>3</v>
      </c>
      <c r="BU20" s="300">
        <v>4</v>
      </c>
    </row>
    <row r="21" spans="2:73" s="94" customFormat="1" ht="12.95" customHeight="1" x14ac:dyDescent="0.2">
      <c r="B21" s="151">
        <f>IF(ISNA(Z21),"",IF(OR(Z21=1,Z21=2),"    ",MAX($B$8:B20)+1))</f>
        <v>10</v>
      </c>
      <c r="C21" s="904" t="str">
        <f t="shared" si="0"/>
        <v xml:space="preserve">      - MLE Test Point Priority (5.0%)</v>
      </c>
      <c r="D21" s="904"/>
      <c r="E21" s="904"/>
      <c r="F21" s="905"/>
      <c r="G21" s="133">
        <f t="shared" si="1"/>
        <v>1</v>
      </c>
      <c r="H21" s="134" t="str">
        <f t="shared" si="2"/>
        <v>2*</v>
      </c>
      <c r="I21" s="152">
        <f t="shared" si="2"/>
        <v>3</v>
      </c>
      <c r="J21" s="157"/>
      <c r="K21" s="154"/>
      <c r="L21" s="1015"/>
      <c r="M21" s="1016"/>
      <c r="N21" s="1016"/>
      <c r="O21" s="1016"/>
      <c r="P21" s="1016"/>
      <c r="Q21" s="1016"/>
      <c r="R21" s="1017"/>
      <c r="T21" s="99">
        <v>14</v>
      </c>
      <c r="U21" s="88" t="s">
        <v>711</v>
      </c>
      <c r="V21" s="453">
        <v>1</v>
      </c>
      <c r="W21" s="453">
        <v>5</v>
      </c>
      <c r="X21" s="453" t="s">
        <v>340</v>
      </c>
      <c r="Y21" s="453" t="s">
        <v>340</v>
      </c>
      <c r="Z21" s="146" t="s">
        <v>340</v>
      </c>
      <c r="AA21" s="146">
        <v>2</v>
      </c>
      <c r="AB21" s="146">
        <v>1</v>
      </c>
      <c r="AC21" s="453">
        <v>3</v>
      </c>
      <c r="AD21" s="453">
        <v>2</v>
      </c>
      <c r="AE21" s="453">
        <v>1</v>
      </c>
      <c r="AF21" s="453" t="b">
        <v>1</v>
      </c>
      <c r="AG21" s="453">
        <f t="shared" si="3"/>
        <v>2</v>
      </c>
      <c r="AH21" s="453">
        <f t="shared" si="4"/>
        <v>1</v>
      </c>
      <c r="AI21" s="138">
        <f>IF(NOT(OR(Z21=1,Z21=2)),IF(AQ21&gt;0,$AR$44*AQ21/SUMIF($AQ$8:$AQ$39,"&gt;0"),IF(AU21&gt;0,$AV$44*AU21/SUMIF($AU$8:$AU$39,"&gt;0"),IF(AS21&gt;0,$AT$44*AS21/SUMIF($AS$8:$AS$39,"&gt;0"),""))),IF(SUMIF(AJ22:$AJ$39,"=" &amp; AJ21,AI22:$AI$39)=0,"",SUMIF(AJ22:$AJ$39,"=" &amp; AJ21,AI22:$AI$39)))</f>
        <v>0.05</v>
      </c>
      <c r="AJ21" s="139">
        <f t="shared" si="34"/>
        <v>3</v>
      </c>
      <c r="AK21" s="453">
        <f t="shared" si="27"/>
        <v>2</v>
      </c>
      <c r="AL21" s="146" t="str">
        <f t="shared" si="28"/>
        <v/>
      </c>
      <c r="AM21" s="146" t="str">
        <f t="shared" si="35"/>
        <v/>
      </c>
      <c r="AN21" s="146" t="str">
        <f t="shared" si="5"/>
        <v/>
      </c>
      <c r="AO21" s="146" t="str">
        <f t="shared" si="6"/>
        <v/>
      </c>
      <c r="AP21" s="453" t="b">
        <f t="shared" si="7"/>
        <v>1</v>
      </c>
      <c r="AQ21" s="140">
        <f t="shared" si="29"/>
        <v>5</v>
      </c>
      <c r="AR21" s="141" t="str">
        <f t="shared" si="8"/>
        <v/>
      </c>
      <c r="AS21" s="142">
        <f t="shared" si="30"/>
        <v>0</v>
      </c>
      <c r="AT21" s="141" t="str">
        <f t="shared" si="9"/>
        <v/>
      </c>
      <c r="AU21" s="143">
        <f t="shared" si="10"/>
        <v>0</v>
      </c>
      <c r="AV21" s="144" t="str">
        <f t="shared" si="11"/>
        <v/>
      </c>
      <c r="AW21" s="143" t="b">
        <f t="shared" si="12"/>
        <v>0</v>
      </c>
      <c r="AX21" s="145" t="b">
        <f t="shared" si="13"/>
        <v>1</v>
      </c>
      <c r="AY21" s="143" t="b">
        <f t="shared" si="14"/>
        <v>0</v>
      </c>
      <c r="AZ21" s="145" t="b">
        <f t="shared" si="15"/>
        <v>0</v>
      </c>
      <c r="BA21" s="453" t="b">
        <f t="shared" si="16"/>
        <v>0</v>
      </c>
      <c r="BB21" s="453" t="b">
        <f t="shared" si="17"/>
        <v>0</v>
      </c>
      <c r="BC21" s="143" t="b">
        <f t="shared" si="18"/>
        <v>0</v>
      </c>
      <c r="BD21" s="146" t="b">
        <f t="shared" si="31"/>
        <v>0</v>
      </c>
      <c r="BE21" s="145" t="b">
        <f t="shared" si="19"/>
        <v>0</v>
      </c>
      <c r="BF21" s="147" t="b">
        <f t="shared" si="20"/>
        <v>0</v>
      </c>
      <c r="BG21" s="453" t="b">
        <f t="shared" si="21"/>
        <v>1</v>
      </c>
      <c r="BH21" s="453">
        <f t="shared" si="32"/>
        <v>1</v>
      </c>
      <c r="BI21" s="453">
        <f t="shared" si="22"/>
        <v>2</v>
      </c>
      <c r="BJ21" s="453" t="str">
        <f t="shared" si="23"/>
        <v>2*</v>
      </c>
      <c r="BK21" s="453">
        <f t="shared" si="24"/>
        <v>3</v>
      </c>
      <c r="BL21" s="148">
        <f t="shared" si="33"/>
        <v>1</v>
      </c>
      <c r="BM21" s="453">
        <f t="shared" si="25"/>
        <v>2</v>
      </c>
      <c r="BN21" s="453">
        <f t="shared" si="26"/>
        <v>3</v>
      </c>
      <c r="BO21" s="936" t="s">
        <v>358</v>
      </c>
      <c r="BP21" s="300" t="s">
        <v>359</v>
      </c>
      <c r="BQ21" s="162">
        <f t="shared" ref="BQ21:BU29" si="36">AR50</f>
        <v>0.7</v>
      </c>
      <c r="BR21" s="163">
        <f t="shared" si="36"/>
        <v>0.9</v>
      </c>
      <c r="BS21" s="163">
        <f t="shared" si="36"/>
        <v>0.93330000000000002</v>
      </c>
      <c r="BT21" s="163">
        <f t="shared" si="36"/>
        <v>0.9667</v>
      </c>
      <c r="BU21" s="164">
        <f t="shared" si="36"/>
        <v>1</v>
      </c>
    </row>
    <row r="22" spans="2:73" s="94" customFormat="1" ht="12.95" customHeight="1" x14ac:dyDescent="0.2">
      <c r="B22" s="151" t="str">
        <f>IF(ISNA(Z22),"",IF(OR(Z22=1,Z22=2),"    ",MAX($B$8:B21)+1))</f>
        <v xml:space="preserve">    </v>
      </c>
      <c r="C22" s="904" t="str">
        <f t="shared" si="0"/>
        <v>Execution (40.0%)</v>
      </c>
      <c r="D22" s="904"/>
      <c r="E22" s="904"/>
      <c r="F22" s="905"/>
      <c r="G22" s="133" t="str">
        <f t="shared" si="1"/>
        <v/>
      </c>
      <c r="H22" s="134" t="str">
        <f t="shared" si="2"/>
        <v/>
      </c>
      <c r="I22" s="152" t="str">
        <f t="shared" si="2"/>
        <v/>
      </c>
      <c r="J22" s="158"/>
      <c r="K22" s="159"/>
      <c r="L22" s="1015"/>
      <c r="M22" s="1016"/>
      <c r="N22" s="1016"/>
      <c r="O22" s="1016"/>
      <c r="P22" s="1016"/>
      <c r="Q22" s="1016"/>
      <c r="R22" s="1017"/>
      <c r="T22" s="99">
        <v>15</v>
      </c>
      <c r="U22" s="88" t="s">
        <v>712</v>
      </c>
      <c r="V22" s="453" t="s">
        <v>340</v>
      </c>
      <c r="W22" s="453" t="s">
        <v>340</v>
      </c>
      <c r="X22" s="453" t="s">
        <v>340</v>
      </c>
      <c r="Y22" s="453" t="s">
        <v>340</v>
      </c>
      <c r="Z22" s="146">
        <v>2</v>
      </c>
      <c r="AA22" s="146">
        <v>1</v>
      </c>
      <c r="AB22" s="146">
        <v>1</v>
      </c>
      <c r="AC22" s="453" t="s">
        <v>340</v>
      </c>
      <c r="AD22" s="453" t="s">
        <v>340</v>
      </c>
      <c r="AE22" s="453" t="s">
        <v>340</v>
      </c>
      <c r="AF22" s="453" t="s">
        <v>340</v>
      </c>
      <c r="AG22" s="453" t="str">
        <f t="shared" si="3"/>
        <v/>
      </c>
      <c r="AH22" s="453" t="str">
        <f t="shared" si="4"/>
        <v/>
      </c>
      <c r="AI22" s="138">
        <f>IF(NOT(OR(Z22=1,Z22=2)),IF(AQ22&gt;0,$AR$44*AQ22/SUMIF($AQ$8:$AQ$39,"&gt;0"),IF(AU22&gt;0,$AV$44*AU22/SUMIF($AU$8:$AU$39,"&gt;0"),IF(AS22&gt;0,$AT$44*AS22/SUMIF($AS$8:$AS$39,"&gt;0"),""))),IF(SUMIF(AJ23:$AJ$39,"=" &amp; AJ22,AI23:$AI$39)=0,"",SUMIF(AJ23:$AJ$39,"=" &amp; AJ22,AI23:$AI$39)))</f>
        <v>0.4</v>
      </c>
      <c r="AJ22" s="139">
        <f t="shared" si="34"/>
        <v>4</v>
      </c>
      <c r="AK22" s="453" t="str">
        <f t="shared" si="27"/>
        <v/>
      </c>
      <c r="AL22" s="146" t="str">
        <f t="shared" si="28"/>
        <v/>
      </c>
      <c r="AM22" s="146" t="str">
        <f t="shared" si="35"/>
        <v/>
      </c>
      <c r="AN22" s="146" t="str">
        <f t="shared" si="5"/>
        <v/>
      </c>
      <c r="AO22" s="146" t="str">
        <f t="shared" si="6"/>
        <v/>
      </c>
      <c r="AP22" s="453" t="str">
        <f t="shared" si="7"/>
        <v/>
      </c>
      <c r="AQ22" s="140">
        <f t="shared" si="29"/>
        <v>0</v>
      </c>
      <c r="AR22" s="141" t="str">
        <f t="shared" si="8"/>
        <v/>
      </c>
      <c r="AS22" s="142">
        <f t="shared" si="30"/>
        <v>0</v>
      </c>
      <c r="AT22" s="141" t="str">
        <f t="shared" si="9"/>
        <v/>
      </c>
      <c r="AU22" s="143">
        <f t="shared" si="10"/>
        <v>0</v>
      </c>
      <c r="AV22" s="144" t="str">
        <f t="shared" si="11"/>
        <v/>
      </c>
      <c r="AW22" s="143" t="b">
        <f t="shared" si="12"/>
        <v>0</v>
      </c>
      <c r="AX22" s="145" t="b">
        <f t="shared" si="13"/>
        <v>0</v>
      </c>
      <c r="AY22" s="143" t="b">
        <f t="shared" si="14"/>
        <v>0</v>
      </c>
      <c r="AZ22" s="145" t="b">
        <f t="shared" si="15"/>
        <v>0</v>
      </c>
      <c r="BA22" s="453" t="b">
        <f t="shared" si="16"/>
        <v>0</v>
      </c>
      <c r="BB22" s="453" t="b">
        <f t="shared" si="17"/>
        <v>0</v>
      </c>
      <c r="BC22" s="143" t="b">
        <f t="shared" si="18"/>
        <v>0</v>
      </c>
      <c r="BD22" s="146" t="b">
        <f t="shared" si="31"/>
        <v>0</v>
      </c>
      <c r="BE22" s="145" t="b">
        <f>IF(OR(ISNA($Z22),K22&lt;&gt;"D"),FALSE,IF(OR(AND(H22="NG",J22=0),AND(H22&lt;&gt;"NG",NOT(OR(J22="NA",J22=0)))),TRUE,FALSE))</f>
        <v>0</v>
      </c>
      <c r="BF22" s="147" t="b">
        <f t="shared" si="20"/>
        <v>0</v>
      </c>
      <c r="BG22" s="453" t="b">
        <f>IF(ISNA($Z22),"NA",IF(OR(AZ22,AY22,AX22,AW22,AP22,BA22,BB22),TRUE,FALSE))</f>
        <v>0</v>
      </c>
      <c r="BH22" s="453" t="str">
        <f t="shared" si="32"/>
        <v/>
      </c>
      <c r="BI22" s="453" t="str">
        <f t="shared" si="22"/>
        <v/>
      </c>
      <c r="BJ22" s="453" t="str">
        <f t="shared" si="23"/>
        <v/>
      </c>
      <c r="BK22" s="453" t="str">
        <f t="shared" si="24"/>
        <v/>
      </c>
      <c r="BL22" s="148" t="str">
        <f t="shared" si="33"/>
        <v/>
      </c>
      <c r="BM22" s="453" t="str">
        <f t="shared" si="25"/>
        <v/>
      </c>
      <c r="BN22" s="453" t="str">
        <f t="shared" si="26"/>
        <v/>
      </c>
      <c r="BO22" s="936"/>
      <c r="BP22" s="300" t="s">
        <v>360</v>
      </c>
      <c r="BQ22" s="165">
        <f t="shared" si="36"/>
        <v>0.7</v>
      </c>
      <c r="BR22" s="166">
        <f t="shared" si="36"/>
        <v>0.8</v>
      </c>
      <c r="BS22" s="166">
        <f t="shared" si="36"/>
        <v>0.9</v>
      </c>
      <c r="BT22" s="166">
        <f t="shared" si="36"/>
        <v>0.95</v>
      </c>
      <c r="BU22" s="167">
        <f t="shared" si="36"/>
        <v>1</v>
      </c>
    </row>
    <row r="23" spans="2:73" s="94" customFormat="1" ht="12.95" customHeight="1" x14ac:dyDescent="0.2">
      <c r="B23" s="151">
        <f>IF(ISNA(Z23),"",IF(OR(Z23=1,Z23=2),"    ",MAX($B$8:B22)+1))</f>
        <v>11</v>
      </c>
      <c r="C23" s="904" t="str">
        <f t="shared" si="0"/>
        <v xml:space="preserve">      - TGP Laser Regression (8.0%)</v>
      </c>
      <c r="D23" s="904"/>
      <c r="E23" s="904"/>
      <c r="F23" s="905"/>
      <c r="G23" s="133">
        <f t="shared" si="1"/>
        <v>1</v>
      </c>
      <c r="H23" s="134" t="str">
        <f t="shared" si="2"/>
        <v>2</v>
      </c>
      <c r="I23" s="152">
        <f t="shared" si="2"/>
        <v>3</v>
      </c>
      <c r="J23" s="157"/>
      <c r="K23" s="154"/>
      <c r="L23" s="1015"/>
      <c r="M23" s="1016"/>
      <c r="N23" s="1016"/>
      <c r="O23" s="1016"/>
      <c r="P23" s="1016"/>
      <c r="Q23" s="1016"/>
      <c r="R23" s="1017"/>
      <c r="T23" s="99">
        <v>16</v>
      </c>
      <c r="U23" s="88" t="s">
        <v>713</v>
      </c>
      <c r="V23" s="453">
        <v>1</v>
      </c>
      <c r="W23" s="453">
        <v>8</v>
      </c>
      <c r="X23" s="453" t="s">
        <v>340</v>
      </c>
      <c r="Y23" s="453" t="s">
        <v>340</v>
      </c>
      <c r="Z23" s="146" t="s">
        <v>340</v>
      </c>
      <c r="AA23" s="146">
        <v>2</v>
      </c>
      <c r="AB23" s="146">
        <v>1</v>
      </c>
      <c r="AC23" s="453">
        <v>3</v>
      </c>
      <c r="AD23" s="453">
        <v>2</v>
      </c>
      <c r="AE23" s="453">
        <v>0</v>
      </c>
      <c r="AF23" s="453" t="b">
        <v>1</v>
      </c>
      <c r="AG23" s="453">
        <f t="shared" si="3"/>
        <v>2</v>
      </c>
      <c r="AH23" s="453">
        <f t="shared" si="4"/>
        <v>1</v>
      </c>
      <c r="AI23" s="138">
        <f>IF(NOT(OR(Z23=1,Z23=2)),IF(AQ23&gt;0,$AR$44*AQ23/SUMIF($AQ$8:$AQ$39,"&gt;0"),IF(AU23&gt;0,$AV$44*AU23/SUMIF($AU$8:$AU$39,"&gt;0"),IF(AS23&gt;0,$AT$44*AS23/SUMIF($AS$8:$AS$39,"&gt;0"),""))),IF(SUMIF(AJ24:$AJ$39,"=" &amp; AJ23,AI24:$AI$39)=0,"",SUMIF(AJ24:$AJ$39,"=" &amp; AJ23,AI24:$AI$39)))</f>
        <v>0.08</v>
      </c>
      <c r="AJ23" s="139">
        <f t="shared" si="34"/>
        <v>4</v>
      </c>
      <c r="AK23" s="453">
        <f t="shared" si="27"/>
        <v>2</v>
      </c>
      <c r="AL23" s="146" t="str">
        <f t="shared" si="28"/>
        <v/>
      </c>
      <c r="AM23" s="146" t="str">
        <f t="shared" si="35"/>
        <v/>
      </c>
      <c r="AN23" s="146" t="str">
        <f t="shared" si="5"/>
        <v/>
      </c>
      <c r="AO23" s="146" t="str">
        <f t="shared" si="6"/>
        <v/>
      </c>
      <c r="AP23" s="453" t="b">
        <f t="shared" si="7"/>
        <v>1</v>
      </c>
      <c r="AQ23" s="140">
        <f t="shared" si="29"/>
        <v>8</v>
      </c>
      <c r="AR23" s="141" t="str">
        <f t="shared" si="8"/>
        <v/>
      </c>
      <c r="AS23" s="142">
        <f t="shared" si="30"/>
        <v>0</v>
      </c>
      <c r="AT23" s="141" t="str">
        <f t="shared" si="9"/>
        <v/>
      </c>
      <c r="AU23" s="143">
        <f t="shared" si="10"/>
        <v>0</v>
      </c>
      <c r="AV23" s="144" t="str">
        <f t="shared" si="11"/>
        <v/>
      </c>
      <c r="AW23" s="143" t="b">
        <f t="shared" si="12"/>
        <v>0</v>
      </c>
      <c r="AX23" s="145" t="b">
        <f t="shared" si="13"/>
        <v>1</v>
      </c>
      <c r="AY23" s="143" t="b">
        <f t="shared" si="14"/>
        <v>0</v>
      </c>
      <c r="AZ23" s="145" t="b">
        <f t="shared" si="15"/>
        <v>0</v>
      </c>
      <c r="BA23" s="453" t="b">
        <f t="shared" si="16"/>
        <v>0</v>
      </c>
      <c r="BB23" s="453" t="b">
        <f t="shared" si="17"/>
        <v>0</v>
      </c>
      <c r="BC23" s="143" t="b">
        <f t="shared" si="18"/>
        <v>0</v>
      </c>
      <c r="BD23" s="146" t="b">
        <f t="shared" si="31"/>
        <v>0</v>
      </c>
      <c r="BE23" s="145" t="b">
        <f t="shared" ref="BE23:BE39" si="37">IF(OR(ISNA($Z23),K23&lt;&gt;"D"),FALSE,IF(OR(AND(H23="NG",J23=0),AND(H23&lt;&gt;"NG",NOT(OR(J23="NA",J23=0)))),TRUE,FALSE))</f>
        <v>0</v>
      </c>
      <c r="BF23" s="147" t="b">
        <f t="shared" si="20"/>
        <v>0</v>
      </c>
      <c r="BG23" s="453" t="b">
        <f t="shared" ref="BG23:BG39" si="38">IF(ISNA($Z23),"NA",IF(OR(AZ23,AY23,AX23,AW23,AP23,BA23,BB23),TRUE,FALSE))</f>
        <v>1</v>
      </c>
      <c r="BH23" s="453">
        <f t="shared" si="32"/>
        <v>1</v>
      </c>
      <c r="BI23" s="453">
        <f t="shared" si="22"/>
        <v>2</v>
      </c>
      <c r="BJ23" s="453" t="str">
        <f t="shared" si="23"/>
        <v>2</v>
      </c>
      <c r="BK23" s="453">
        <f t="shared" si="24"/>
        <v>3</v>
      </c>
      <c r="BL23" s="148">
        <f t="shared" si="33"/>
        <v>1</v>
      </c>
      <c r="BM23" s="453">
        <f t="shared" si="25"/>
        <v>2</v>
      </c>
      <c r="BN23" s="453">
        <f t="shared" si="26"/>
        <v>3</v>
      </c>
      <c r="BO23" s="936"/>
      <c r="BP23" s="300" t="s">
        <v>361</v>
      </c>
      <c r="BQ23" s="165">
        <f t="shared" si="36"/>
        <v>0.7</v>
      </c>
      <c r="BR23" s="166">
        <f t="shared" si="36"/>
        <v>0.76670000000000005</v>
      </c>
      <c r="BS23" s="166">
        <f t="shared" si="36"/>
        <v>0.83330000000000004</v>
      </c>
      <c r="BT23" s="166">
        <f t="shared" si="36"/>
        <v>0.9</v>
      </c>
      <c r="BU23" s="167">
        <f t="shared" si="36"/>
        <v>1</v>
      </c>
    </row>
    <row r="24" spans="2:73" s="94" customFormat="1" ht="12.95" customHeight="1" x14ac:dyDescent="0.2">
      <c r="B24" s="151">
        <f>IF(ISNA(Z24),"",IF(OR(Z24=1,Z24=2),"    ",MAX($B$8:B23)+1))</f>
        <v>12</v>
      </c>
      <c r="C24" s="904" t="str">
        <f t="shared" si="0"/>
        <v xml:space="preserve">      - GBU-12 Cold/Hot Pass (8.0%)</v>
      </c>
      <c r="D24" s="904"/>
      <c r="E24" s="904"/>
      <c r="F24" s="905"/>
      <c r="G24" s="133">
        <f t="shared" si="1"/>
        <v>1</v>
      </c>
      <c r="H24" s="134" t="str">
        <f t="shared" si="2"/>
        <v>2</v>
      </c>
      <c r="I24" s="152">
        <f t="shared" si="2"/>
        <v>3</v>
      </c>
      <c r="J24" s="157"/>
      <c r="K24" s="154"/>
      <c r="L24" s="1015"/>
      <c r="M24" s="1016"/>
      <c r="N24" s="1016"/>
      <c r="O24" s="1016"/>
      <c r="P24" s="1016"/>
      <c r="Q24" s="1016"/>
      <c r="R24" s="1017"/>
      <c r="T24" s="99">
        <v>17</v>
      </c>
      <c r="U24" s="88" t="s">
        <v>714</v>
      </c>
      <c r="V24" s="453">
        <v>1</v>
      </c>
      <c r="W24" s="453">
        <v>8</v>
      </c>
      <c r="X24" s="453" t="s">
        <v>340</v>
      </c>
      <c r="Y24" s="453" t="s">
        <v>340</v>
      </c>
      <c r="Z24" s="146" t="s">
        <v>340</v>
      </c>
      <c r="AA24" s="146">
        <v>2</v>
      </c>
      <c r="AB24" s="146">
        <v>1</v>
      </c>
      <c r="AC24" s="453">
        <v>3</v>
      </c>
      <c r="AD24" s="453">
        <v>2</v>
      </c>
      <c r="AE24" s="453">
        <v>0</v>
      </c>
      <c r="AF24" s="453" t="b">
        <v>1</v>
      </c>
      <c r="AG24" s="453">
        <f t="shared" si="3"/>
        <v>2</v>
      </c>
      <c r="AH24" s="453">
        <f t="shared" si="4"/>
        <v>1</v>
      </c>
      <c r="AI24" s="138">
        <f>IF(NOT(OR(Z24=1,Z24=2)),IF(AQ24&gt;0,$AR$44*AQ24/SUMIF($AQ$8:$AQ$39,"&gt;0"),IF(AU24&gt;0,$AV$44*AU24/SUMIF($AU$8:$AU$39,"&gt;0"),IF(AS24&gt;0,$AT$44*AS24/SUMIF($AS$8:$AS$39,"&gt;0"),""))),IF(SUMIF(AJ25:$AJ$39,"=" &amp; AJ24,AI25:$AI$39)=0,"",SUMIF(AJ25:$AJ$39,"=" &amp; AJ24,AI25:$AI$39)))</f>
        <v>0.08</v>
      </c>
      <c r="AJ24" s="139">
        <f t="shared" si="34"/>
        <v>4</v>
      </c>
      <c r="AK24" s="453">
        <f t="shared" si="27"/>
        <v>2</v>
      </c>
      <c r="AL24" s="146" t="str">
        <f t="shared" si="28"/>
        <v/>
      </c>
      <c r="AM24" s="146" t="str">
        <f t="shared" si="35"/>
        <v/>
      </c>
      <c r="AN24" s="146" t="str">
        <f t="shared" si="5"/>
        <v/>
      </c>
      <c r="AO24" s="146" t="str">
        <f t="shared" si="6"/>
        <v/>
      </c>
      <c r="AP24" s="453" t="b">
        <f t="shared" si="7"/>
        <v>1</v>
      </c>
      <c r="AQ24" s="140">
        <f t="shared" si="29"/>
        <v>8</v>
      </c>
      <c r="AR24" s="141" t="str">
        <f t="shared" si="8"/>
        <v/>
      </c>
      <c r="AS24" s="142">
        <f t="shared" si="30"/>
        <v>0</v>
      </c>
      <c r="AT24" s="141" t="str">
        <f t="shared" si="9"/>
        <v/>
      </c>
      <c r="AU24" s="143">
        <f t="shared" si="10"/>
        <v>0</v>
      </c>
      <c r="AV24" s="144" t="str">
        <f t="shared" si="11"/>
        <v/>
      </c>
      <c r="AW24" s="143" t="b">
        <f t="shared" si="12"/>
        <v>0</v>
      </c>
      <c r="AX24" s="145" t="b">
        <f t="shared" si="13"/>
        <v>1</v>
      </c>
      <c r="AY24" s="143" t="b">
        <f t="shared" si="14"/>
        <v>0</v>
      </c>
      <c r="AZ24" s="145" t="b">
        <f t="shared" si="15"/>
        <v>0</v>
      </c>
      <c r="BA24" s="453" t="b">
        <f t="shared" si="16"/>
        <v>0</v>
      </c>
      <c r="BB24" s="453" t="b">
        <f t="shared" si="17"/>
        <v>0</v>
      </c>
      <c r="BC24" s="143" t="b">
        <f t="shared" si="18"/>
        <v>0</v>
      </c>
      <c r="BD24" s="146" t="b">
        <f t="shared" si="31"/>
        <v>0</v>
      </c>
      <c r="BE24" s="145" t="b">
        <f t="shared" si="37"/>
        <v>0</v>
      </c>
      <c r="BF24" s="147" t="b">
        <f t="shared" si="20"/>
        <v>0</v>
      </c>
      <c r="BG24" s="453" t="b">
        <f t="shared" si="38"/>
        <v>1</v>
      </c>
      <c r="BH24" s="453">
        <f t="shared" si="32"/>
        <v>1</v>
      </c>
      <c r="BI24" s="453">
        <f t="shared" si="22"/>
        <v>2</v>
      </c>
      <c r="BJ24" s="453" t="str">
        <f t="shared" si="23"/>
        <v>2</v>
      </c>
      <c r="BK24" s="453">
        <f t="shared" si="24"/>
        <v>3</v>
      </c>
      <c r="BL24" s="148">
        <f t="shared" si="33"/>
        <v>1</v>
      </c>
      <c r="BM24" s="453">
        <f t="shared" si="25"/>
        <v>2</v>
      </c>
      <c r="BN24" s="453">
        <f t="shared" si="26"/>
        <v>3</v>
      </c>
      <c r="BO24" s="936"/>
      <c r="BP24" s="300" t="s">
        <v>362</v>
      </c>
      <c r="BQ24" s="165">
        <f t="shared" si="36"/>
        <v>0.6</v>
      </c>
      <c r="BR24" s="166">
        <f t="shared" si="36"/>
        <v>0.9</v>
      </c>
      <c r="BS24" s="166">
        <f t="shared" si="36"/>
        <v>0.93330000000000002</v>
      </c>
      <c r="BT24" s="166">
        <f t="shared" si="36"/>
        <v>0.9667</v>
      </c>
      <c r="BU24" s="167">
        <f t="shared" si="36"/>
        <v>1</v>
      </c>
    </row>
    <row r="25" spans="2:73" s="94" customFormat="1" ht="12.95" customHeight="1" x14ac:dyDescent="0.2">
      <c r="B25" s="151">
        <f>IF(ISNA(Z25),"",IF(OR(Z25=1,Z25=2),"    ",MAX($B$8:B24)+1))</f>
        <v>13</v>
      </c>
      <c r="C25" s="904" t="str">
        <f t="shared" si="0"/>
        <v xml:space="preserve">      - A-A FCR Event (8.0%)</v>
      </c>
      <c r="D25" s="904"/>
      <c r="E25" s="904"/>
      <c r="F25" s="905"/>
      <c r="G25" s="133">
        <f t="shared" si="1"/>
        <v>1</v>
      </c>
      <c r="H25" s="134" t="str">
        <f t="shared" si="2"/>
        <v>2</v>
      </c>
      <c r="I25" s="152">
        <f t="shared" si="2"/>
        <v>3</v>
      </c>
      <c r="J25" s="157"/>
      <c r="K25" s="154"/>
      <c r="L25" s="1015"/>
      <c r="M25" s="1016"/>
      <c r="N25" s="1016"/>
      <c r="O25" s="1016"/>
      <c r="P25" s="1016"/>
      <c r="Q25" s="1016"/>
      <c r="R25" s="1017"/>
      <c r="T25" s="99">
        <v>18</v>
      </c>
      <c r="U25" s="88" t="s">
        <v>715</v>
      </c>
      <c r="V25" s="453">
        <v>1</v>
      </c>
      <c r="W25" s="453">
        <v>8</v>
      </c>
      <c r="X25" s="453" t="s">
        <v>340</v>
      </c>
      <c r="Y25" s="453" t="s">
        <v>340</v>
      </c>
      <c r="Z25" s="146" t="s">
        <v>340</v>
      </c>
      <c r="AA25" s="146">
        <v>2</v>
      </c>
      <c r="AB25" s="146">
        <v>1</v>
      </c>
      <c r="AC25" s="453">
        <v>3</v>
      </c>
      <c r="AD25" s="453">
        <v>2</v>
      </c>
      <c r="AE25" s="453">
        <v>0</v>
      </c>
      <c r="AF25" s="453" t="b">
        <v>1</v>
      </c>
      <c r="AG25" s="453">
        <f t="shared" si="3"/>
        <v>2</v>
      </c>
      <c r="AH25" s="453">
        <f t="shared" si="4"/>
        <v>1</v>
      </c>
      <c r="AI25" s="138">
        <f>IF(NOT(OR(Z25=1,Z25=2)),IF(AQ25&gt;0,$AR$44*AQ25/SUMIF($AQ$8:$AQ$39,"&gt;0"),IF(AU25&gt;0,$AV$44*AU25/SUMIF($AU$8:$AU$39,"&gt;0"),IF(AS25&gt;0,$AT$44*AS25/SUMIF($AS$8:$AS$39,"&gt;0"),""))),IF(SUMIF(AJ26:$AJ$39,"=" &amp; AJ25,AI26:$AI$39)=0,"",SUMIF(AJ26:$AJ$39,"=" &amp; AJ25,AI26:$AI$39)))</f>
        <v>0.08</v>
      </c>
      <c r="AJ25" s="139">
        <f t="shared" si="34"/>
        <v>4</v>
      </c>
      <c r="AK25" s="453">
        <f t="shared" si="27"/>
        <v>2</v>
      </c>
      <c r="AL25" s="146" t="str">
        <f t="shared" si="28"/>
        <v/>
      </c>
      <c r="AM25" s="146" t="str">
        <f t="shared" si="35"/>
        <v/>
      </c>
      <c r="AN25" s="146" t="str">
        <f t="shared" si="5"/>
        <v/>
      </c>
      <c r="AO25" s="146" t="str">
        <f t="shared" si="6"/>
        <v/>
      </c>
      <c r="AP25" s="453" t="b">
        <f t="shared" si="7"/>
        <v>1</v>
      </c>
      <c r="AQ25" s="140">
        <f t="shared" si="29"/>
        <v>8</v>
      </c>
      <c r="AR25" s="141" t="str">
        <f t="shared" si="8"/>
        <v/>
      </c>
      <c r="AS25" s="142">
        <f t="shared" si="30"/>
        <v>0</v>
      </c>
      <c r="AT25" s="141" t="str">
        <f t="shared" si="9"/>
        <v/>
      </c>
      <c r="AU25" s="143">
        <f t="shared" si="10"/>
        <v>0</v>
      </c>
      <c r="AV25" s="144" t="str">
        <f t="shared" si="11"/>
        <v/>
      </c>
      <c r="AW25" s="143" t="b">
        <f t="shared" si="12"/>
        <v>0</v>
      </c>
      <c r="AX25" s="145" t="b">
        <f t="shared" si="13"/>
        <v>1</v>
      </c>
      <c r="AY25" s="143" t="b">
        <f t="shared" si="14"/>
        <v>0</v>
      </c>
      <c r="AZ25" s="145" t="b">
        <f t="shared" si="15"/>
        <v>0</v>
      </c>
      <c r="BA25" s="453" t="b">
        <f t="shared" si="16"/>
        <v>0</v>
      </c>
      <c r="BB25" s="453" t="b">
        <f t="shared" si="17"/>
        <v>0</v>
      </c>
      <c r="BC25" s="143" t="b">
        <f t="shared" si="18"/>
        <v>0</v>
      </c>
      <c r="BD25" s="146" t="b">
        <f t="shared" si="31"/>
        <v>0</v>
      </c>
      <c r="BE25" s="145" t="b">
        <f t="shared" si="37"/>
        <v>0</v>
      </c>
      <c r="BF25" s="147" t="b">
        <f t="shared" si="20"/>
        <v>0</v>
      </c>
      <c r="BG25" s="453" t="b">
        <f t="shared" si="38"/>
        <v>1</v>
      </c>
      <c r="BH25" s="453">
        <f t="shared" si="32"/>
        <v>1</v>
      </c>
      <c r="BI25" s="453">
        <f t="shared" si="22"/>
        <v>2</v>
      </c>
      <c r="BJ25" s="453" t="str">
        <f t="shared" si="23"/>
        <v>2</v>
      </c>
      <c r="BK25" s="453">
        <f t="shared" si="24"/>
        <v>3</v>
      </c>
      <c r="BL25" s="148">
        <f t="shared" si="33"/>
        <v>1</v>
      </c>
      <c r="BM25" s="453">
        <f t="shared" si="25"/>
        <v>2</v>
      </c>
      <c r="BN25" s="453">
        <f t="shared" si="26"/>
        <v>3</v>
      </c>
      <c r="BO25" s="936"/>
      <c r="BP25" s="300" t="s">
        <v>363</v>
      </c>
      <c r="BQ25" s="165">
        <f t="shared" si="36"/>
        <v>0.6</v>
      </c>
      <c r="BR25" s="166">
        <f t="shared" si="36"/>
        <v>0.7</v>
      </c>
      <c r="BS25" s="166">
        <f t="shared" si="36"/>
        <v>0.9</v>
      </c>
      <c r="BT25" s="166">
        <f t="shared" si="36"/>
        <v>0.95</v>
      </c>
      <c r="BU25" s="167">
        <f t="shared" si="36"/>
        <v>1</v>
      </c>
    </row>
    <row r="26" spans="2:73" s="94" customFormat="1" ht="12.95" customHeight="1" x14ac:dyDescent="0.2">
      <c r="B26" s="151">
        <f>IF(ISNA(Z26),"",IF(OR(Z26=1,Z26=2),"    ",MAX($B$8:B25)+1))</f>
        <v>14</v>
      </c>
      <c r="C26" s="904" t="str">
        <f t="shared" si="0"/>
        <v xml:space="preserve">      - MLE Test Point Priority (8.0%)</v>
      </c>
      <c r="D26" s="904"/>
      <c r="E26" s="904"/>
      <c r="F26" s="905"/>
      <c r="G26" s="133">
        <f t="shared" si="1"/>
        <v>1</v>
      </c>
      <c r="H26" s="134" t="str">
        <f t="shared" si="2"/>
        <v>2</v>
      </c>
      <c r="I26" s="152">
        <f t="shared" si="2"/>
        <v>3</v>
      </c>
      <c r="J26" s="157"/>
      <c r="K26" s="154"/>
      <c r="L26" s="1015"/>
      <c r="M26" s="1016"/>
      <c r="N26" s="1016"/>
      <c r="O26" s="1016"/>
      <c r="P26" s="1016"/>
      <c r="Q26" s="1016"/>
      <c r="R26" s="1017"/>
      <c r="T26" s="99">
        <v>19</v>
      </c>
      <c r="U26" s="88" t="s">
        <v>711</v>
      </c>
      <c r="V26" s="453">
        <v>1</v>
      </c>
      <c r="W26" s="453">
        <v>8</v>
      </c>
      <c r="X26" s="453" t="s">
        <v>340</v>
      </c>
      <c r="Y26" s="453" t="s">
        <v>340</v>
      </c>
      <c r="Z26" s="146" t="s">
        <v>340</v>
      </c>
      <c r="AA26" s="146">
        <v>2</v>
      </c>
      <c r="AB26" s="146">
        <v>1</v>
      </c>
      <c r="AC26" s="453">
        <v>3</v>
      </c>
      <c r="AD26" s="453">
        <v>2</v>
      </c>
      <c r="AE26" s="453">
        <v>0</v>
      </c>
      <c r="AF26" s="453" t="b">
        <v>1</v>
      </c>
      <c r="AG26" s="453">
        <f t="shared" si="3"/>
        <v>2</v>
      </c>
      <c r="AH26" s="453">
        <f t="shared" si="4"/>
        <v>1</v>
      </c>
      <c r="AI26" s="138">
        <f>IF(NOT(OR(Z26=1,Z26=2)),IF(AQ26&gt;0,$AR$44*AQ26/SUMIF($AQ$8:$AQ$39,"&gt;0"),IF(AU26&gt;0,$AV$44*AU26/SUMIF($AU$8:$AU$39,"&gt;0"),IF(AS26&gt;0,$AT$44*AS26/SUMIF($AS$8:$AS$39,"&gt;0"),""))),IF(SUMIF(AJ27:$AJ$39,"=" &amp; AJ26,AI27:$AI$39)=0,"",SUMIF(AJ27:$AJ$39,"=" &amp; AJ26,AI27:$AI$39)))</f>
        <v>0.08</v>
      </c>
      <c r="AJ26" s="139">
        <f t="shared" si="34"/>
        <v>4</v>
      </c>
      <c r="AK26" s="453">
        <f t="shared" si="27"/>
        <v>2</v>
      </c>
      <c r="AL26" s="146" t="str">
        <f t="shared" si="28"/>
        <v/>
      </c>
      <c r="AM26" s="146" t="str">
        <f t="shared" si="35"/>
        <v/>
      </c>
      <c r="AN26" s="146" t="str">
        <f t="shared" si="5"/>
        <v/>
      </c>
      <c r="AO26" s="146" t="str">
        <f t="shared" si="6"/>
        <v/>
      </c>
      <c r="AP26" s="453" t="b">
        <f t="shared" si="7"/>
        <v>1</v>
      </c>
      <c r="AQ26" s="140">
        <f t="shared" si="29"/>
        <v>8</v>
      </c>
      <c r="AR26" s="141" t="str">
        <f t="shared" si="8"/>
        <v/>
      </c>
      <c r="AS26" s="142">
        <f t="shared" si="30"/>
        <v>0</v>
      </c>
      <c r="AT26" s="141" t="str">
        <f t="shared" si="9"/>
        <v/>
      </c>
      <c r="AU26" s="143">
        <f t="shared" si="10"/>
        <v>0</v>
      </c>
      <c r="AV26" s="144" t="str">
        <f t="shared" si="11"/>
        <v/>
      </c>
      <c r="AW26" s="143" t="b">
        <f t="shared" si="12"/>
        <v>0</v>
      </c>
      <c r="AX26" s="145" t="b">
        <f t="shared" si="13"/>
        <v>1</v>
      </c>
      <c r="AY26" s="143" t="b">
        <f t="shared" si="14"/>
        <v>0</v>
      </c>
      <c r="AZ26" s="145" t="b">
        <f t="shared" si="15"/>
        <v>0</v>
      </c>
      <c r="BA26" s="453" t="b">
        <f t="shared" si="16"/>
        <v>0</v>
      </c>
      <c r="BB26" s="453" t="b">
        <f t="shared" si="17"/>
        <v>0</v>
      </c>
      <c r="BC26" s="143" t="b">
        <f t="shared" si="18"/>
        <v>0</v>
      </c>
      <c r="BD26" s="146" t="b">
        <f t="shared" si="31"/>
        <v>0</v>
      </c>
      <c r="BE26" s="145" t="b">
        <f t="shared" si="37"/>
        <v>0</v>
      </c>
      <c r="BF26" s="147" t="b">
        <f t="shared" si="20"/>
        <v>0</v>
      </c>
      <c r="BG26" s="453" t="b">
        <f t="shared" si="38"/>
        <v>1</v>
      </c>
      <c r="BH26" s="453">
        <f t="shared" si="32"/>
        <v>1</v>
      </c>
      <c r="BI26" s="453">
        <f t="shared" si="22"/>
        <v>2</v>
      </c>
      <c r="BJ26" s="453" t="str">
        <f t="shared" si="23"/>
        <v>2</v>
      </c>
      <c r="BK26" s="453">
        <f t="shared" si="24"/>
        <v>3</v>
      </c>
      <c r="BL26" s="148">
        <f t="shared" si="33"/>
        <v>1</v>
      </c>
      <c r="BM26" s="453">
        <f t="shared" si="25"/>
        <v>2</v>
      </c>
      <c r="BN26" s="453">
        <f t="shared" si="26"/>
        <v>3</v>
      </c>
      <c r="BO26" s="936"/>
      <c r="BP26" s="300" t="s">
        <v>364</v>
      </c>
      <c r="BQ26" s="165">
        <f t="shared" si="36"/>
        <v>0.6</v>
      </c>
      <c r="BR26" s="166">
        <f t="shared" si="36"/>
        <v>0.7</v>
      </c>
      <c r="BS26" s="166">
        <f t="shared" si="36"/>
        <v>0.8</v>
      </c>
      <c r="BT26" s="166">
        <f t="shared" si="36"/>
        <v>0.9</v>
      </c>
      <c r="BU26" s="167">
        <f t="shared" si="36"/>
        <v>1</v>
      </c>
    </row>
    <row r="27" spans="2:73" s="94" customFormat="1" ht="12.95" customHeight="1" x14ac:dyDescent="0.2">
      <c r="B27" s="151">
        <f>IF(ISNA(Z27),"",IF(OR(Z27=1,Z27=2),"    ",MAX($B$8:B26)+1))</f>
        <v>15</v>
      </c>
      <c r="C27" s="904" t="str">
        <f t="shared" si="0"/>
        <v xml:space="preserve">      - CARA ALOW Regression (8.0%)</v>
      </c>
      <c r="D27" s="904"/>
      <c r="E27" s="904"/>
      <c r="F27" s="905"/>
      <c r="G27" s="133">
        <f t="shared" si="1"/>
        <v>1</v>
      </c>
      <c r="H27" s="134" t="str">
        <f t="shared" si="2"/>
        <v>2</v>
      </c>
      <c r="I27" s="152">
        <f t="shared" si="2"/>
        <v>3</v>
      </c>
      <c r="J27" s="157"/>
      <c r="K27" s="154"/>
      <c r="L27" s="1015"/>
      <c r="M27" s="1016"/>
      <c r="N27" s="1016"/>
      <c r="O27" s="1016"/>
      <c r="P27" s="1016"/>
      <c r="Q27" s="1016"/>
      <c r="R27" s="1017"/>
      <c r="T27" s="99">
        <v>20</v>
      </c>
      <c r="U27" s="88" t="s">
        <v>716</v>
      </c>
      <c r="V27" s="453">
        <v>1</v>
      </c>
      <c r="W27" s="453">
        <v>8</v>
      </c>
      <c r="X27" s="453" t="s">
        <v>340</v>
      </c>
      <c r="Y27" s="453" t="s">
        <v>340</v>
      </c>
      <c r="Z27" s="146" t="s">
        <v>340</v>
      </c>
      <c r="AA27" s="146">
        <v>2</v>
      </c>
      <c r="AB27" s="146">
        <v>1</v>
      </c>
      <c r="AC27" s="453">
        <v>3</v>
      </c>
      <c r="AD27" s="453">
        <v>2</v>
      </c>
      <c r="AE27" s="453">
        <v>0</v>
      </c>
      <c r="AF27" s="453" t="b">
        <v>1</v>
      </c>
      <c r="AG27" s="453">
        <f t="shared" si="3"/>
        <v>2</v>
      </c>
      <c r="AH27" s="453">
        <f t="shared" si="4"/>
        <v>1</v>
      </c>
      <c r="AI27" s="138">
        <f>IF(NOT(OR(Z27=1,Z27=2)),IF(AQ27&gt;0,$AR$44*AQ27/SUMIF($AQ$8:$AQ$39,"&gt;0"),IF(AU27&gt;0,$AV$44*AU27/SUMIF($AU$8:$AU$39,"&gt;0"),IF(AS27&gt;0,$AT$44*AS27/SUMIF($AS$8:$AS$39,"&gt;0"),""))),IF(SUMIF(AJ28:$AJ$39,"=" &amp; AJ27,AI28:$AI$39)=0,"",SUMIF(AJ28:$AJ$39,"=" &amp; AJ27,AI28:$AI$39)))</f>
        <v>0.08</v>
      </c>
      <c r="AJ27" s="139">
        <f t="shared" si="34"/>
        <v>4</v>
      </c>
      <c r="AK27" s="453">
        <f t="shared" si="27"/>
        <v>2</v>
      </c>
      <c r="AL27" s="146" t="str">
        <f t="shared" si="28"/>
        <v/>
      </c>
      <c r="AM27" s="146" t="str">
        <f t="shared" si="35"/>
        <v/>
      </c>
      <c r="AN27" s="146" t="str">
        <f t="shared" si="5"/>
        <v/>
      </c>
      <c r="AO27" s="146" t="str">
        <f t="shared" si="6"/>
        <v/>
      </c>
      <c r="AP27" s="453" t="b">
        <f t="shared" si="7"/>
        <v>1</v>
      </c>
      <c r="AQ27" s="140">
        <f t="shared" si="29"/>
        <v>8</v>
      </c>
      <c r="AR27" s="141" t="str">
        <f t="shared" si="8"/>
        <v/>
      </c>
      <c r="AS27" s="142">
        <f t="shared" si="30"/>
        <v>0</v>
      </c>
      <c r="AT27" s="141" t="str">
        <f t="shared" si="9"/>
        <v/>
      </c>
      <c r="AU27" s="143">
        <f t="shared" si="10"/>
        <v>0</v>
      </c>
      <c r="AV27" s="144" t="str">
        <f t="shared" si="11"/>
        <v/>
      </c>
      <c r="AW27" s="143" t="b">
        <f t="shared" si="12"/>
        <v>0</v>
      </c>
      <c r="AX27" s="145" t="b">
        <f t="shared" si="13"/>
        <v>1</v>
      </c>
      <c r="AY27" s="143" t="b">
        <f t="shared" si="14"/>
        <v>0</v>
      </c>
      <c r="AZ27" s="145" t="b">
        <f t="shared" si="15"/>
        <v>0</v>
      </c>
      <c r="BA27" s="453" t="b">
        <f t="shared" si="16"/>
        <v>0</v>
      </c>
      <c r="BB27" s="453" t="b">
        <f t="shared" si="17"/>
        <v>0</v>
      </c>
      <c r="BC27" s="143" t="b">
        <f t="shared" si="18"/>
        <v>0</v>
      </c>
      <c r="BD27" s="146" t="b">
        <f t="shared" si="31"/>
        <v>0</v>
      </c>
      <c r="BE27" s="145" t="b">
        <f t="shared" si="37"/>
        <v>0</v>
      </c>
      <c r="BF27" s="147" t="b">
        <f t="shared" si="20"/>
        <v>0</v>
      </c>
      <c r="BG27" s="453" t="b">
        <f t="shared" si="38"/>
        <v>1</v>
      </c>
      <c r="BH27" s="453">
        <f t="shared" si="32"/>
        <v>1</v>
      </c>
      <c r="BI27" s="453">
        <f t="shared" si="22"/>
        <v>2</v>
      </c>
      <c r="BJ27" s="453" t="str">
        <f t="shared" si="23"/>
        <v>2</v>
      </c>
      <c r="BK27" s="453">
        <f t="shared" si="24"/>
        <v>3</v>
      </c>
      <c r="BL27" s="148">
        <f t="shared" si="33"/>
        <v>1</v>
      </c>
      <c r="BM27" s="453">
        <f t="shared" si="25"/>
        <v>2</v>
      </c>
      <c r="BN27" s="453">
        <f t="shared" si="26"/>
        <v>3</v>
      </c>
      <c r="BO27" s="936"/>
      <c r="BP27" s="300" t="s">
        <v>365</v>
      </c>
      <c r="BQ27" s="165">
        <f t="shared" si="36"/>
        <v>0.3</v>
      </c>
      <c r="BR27" s="166">
        <f t="shared" si="36"/>
        <v>0.6</v>
      </c>
      <c r="BS27" s="166">
        <f t="shared" si="36"/>
        <v>0.9</v>
      </c>
      <c r="BT27" s="166">
        <f t="shared" si="36"/>
        <v>0.95</v>
      </c>
      <c r="BU27" s="167">
        <f t="shared" si="36"/>
        <v>1</v>
      </c>
    </row>
    <row r="28" spans="2:73" s="94" customFormat="1" ht="12.95" customHeight="1" x14ac:dyDescent="0.2">
      <c r="B28" s="151">
        <f>IF(ISNA(Z28),"",IF(OR(Z28=1,Z28=2),"    ",MAX($B$8:B27)+1))</f>
        <v>16</v>
      </c>
      <c r="C28" s="904" t="str">
        <f t="shared" si="0"/>
        <v xml:space="preserve">      - Deliveries (Time Permitting)</v>
      </c>
      <c r="D28" s="904"/>
      <c r="E28" s="904"/>
      <c r="F28" s="905"/>
      <c r="G28" s="133">
        <f t="shared" si="1"/>
        <v>0</v>
      </c>
      <c r="H28" s="134" t="str">
        <f t="shared" si="2"/>
        <v>NG</v>
      </c>
      <c r="I28" s="152" t="str">
        <f t="shared" si="2"/>
        <v/>
      </c>
      <c r="J28" s="157"/>
      <c r="K28" s="154"/>
      <c r="L28" s="1015"/>
      <c r="M28" s="1016"/>
      <c r="N28" s="1016"/>
      <c r="O28" s="1016"/>
      <c r="P28" s="1016"/>
      <c r="Q28" s="1016"/>
      <c r="R28" s="1017"/>
      <c r="T28" s="99">
        <v>21</v>
      </c>
      <c r="U28" s="88" t="s">
        <v>717</v>
      </c>
      <c r="V28" s="453">
        <v>0</v>
      </c>
      <c r="W28" s="453" t="s">
        <v>340</v>
      </c>
      <c r="X28" s="453" t="s">
        <v>340</v>
      </c>
      <c r="Y28" s="453" t="s">
        <v>340</v>
      </c>
      <c r="Z28" s="146" t="s">
        <v>340</v>
      </c>
      <c r="AA28" s="146">
        <v>2</v>
      </c>
      <c r="AB28" s="146">
        <v>1</v>
      </c>
      <c r="AC28" s="453" t="s">
        <v>340</v>
      </c>
      <c r="AD28" s="453" t="s">
        <v>357</v>
      </c>
      <c r="AE28" s="453" t="s">
        <v>340</v>
      </c>
      <c r="AF28" s="453" t="b">
        <v>1</v>
      </c>
      <c r="AG28" s="453" t="str">
        <f t="shared" si="3"/>
        <v>NG</v>
      </c>
      <c r="AH28" s="453" t="str">
        <f t="shared" si="4"/>
        <v/>
      </c>
      <c r="AI28" s="138" t="str">
        <f>IF(NOT(OR(Z28=1,Z28=2)),IF(AQ28&gt;0,$AR$44*AQ28/SUMIF($AQ$8:$AQ$39,"&gt;0"),IF(AU28&gt;0,$AV$44*AU28/SUMIF($AU$8:$AU$39,"&gt;0"),IF(AS28&gt;0,$AT$44*AS28/SUMIF($AS$8:$AS$39,"&gt;0"),""))),IF(SUMIF(AJ29:$AJ$39,"=" &amp; AJ28,AI29:$AI$39)=0,"",SUMIF(AJ29:$AJ$39,"=" &amp; AJ28,AI29:$AI$39)))</f>
        <v/>
      </c>
      <c r="AJ28" s="139">
        <f t="shared" si="34"/>
        <v>4</v>
      </c>
      <c r="AK28" s="453" t="str">
        <f t="shared" si="27"/>
        <v>NG</v>
      </c>
      <c r="AL28" s="146" t="str">
        <f t="shared" si="28"/>
        <v/>
      </c>
      <c r="AM28" s="146" t="str">
        <f t="shared" si="35"/>
        <v/>
      </c>
      <c r="AN28" s="146" t="str">
        <f t="shared" si="5"/>
        <v/>
      </c>
      <c r="AO28" s="146" t="str">
        <f t="shared" si="6"/>
        <v/>
      </c>
      <c r="AP28" s="453" t="str">
        <f t="shared" si="7"/>
        <v/>
      </c>
      <c r="AQ28" s="140">
        <f t="shared" si="29"/>
        <v>0</v>
      </c>
      <c r="AR28" s="141" t="str">
        <f t="shared" si="8"/>
        <v/>
      </c>
      <c r="AS28" s="142">
        <f t="shared" si="30"/>
        <v>0</v>
      </c>
      <c r="AT28" s="141" t="str">
        <f t="shared" si="9"/>
        <v/>
      </c>
      <c r="AU28" s="143">
        <f t="shared" si="10"/>
        <v>0</v>
      </c>
      <c r="AV28" s="144" t="str">
        <f t="shared" si="11"/>
        <v/>
      </c>
      <c r="AW28" s="143" t="b">
        <f t="shared" si="12"/>
        <v>0</v>
      </c>
      <c r="AX28" s="145" t="b">
        <f t="shared" si="13"/>
        <v>0</v>
      </c>
      <c r="AY28" s="143" t="b">
        <f t="shared" si="14"/>
        <v>0</v>
      </c>
      <c r="AZ28" s="145" t="b">
        <f t="shared" si="15"/>
        <v>0</v>
      </c>
      <c r="BA28" s="453" t="b">
        <f t="shared" si="16"/>
        <v>0</v>
      </c>
      <c r="BB28" s="453" t="b">
        <f t="shared" si="17"/>
        <v>0</v>
      </c>
      <c r="BC28" s="143" t="b">
        <f t="shared" si="18"/>
        <v>0</v>
      </c>
      <c r="BD28" s="146" t="b">
        <f t="shared" si="31"/>
        <v>0</v>
      </c>
      <c r="BE28" s="145" t="b">
        <f t="shared" si="37"/>
        <v>0</v>
      </c>
      <c r="BF28" s="147" t="b">
        <f t="shared" si="20"/>
        <v>0</v>
      </c>
      <c r="BG28" s="453" t="b">
        <f t="shared" si="38"/>
        <v>0</v>
      </c>
      <c r="BH28" s="453">
        <f t="shared" si="32"/>
        <v>0</v>
      </c>
      <c r="BI28" s="453" t="str">
        <f t="shared" si="22"/>
        <v>NG</v>
      </c>
      <c r="BJ28" s="453" t="str">
        <f t="shared" si="23"/>
        <v>NG</v>
      </c>
      <c r="BK28" s="453" t="str">
        <f t="shared" si="24"/>
        <v/>
      </c>
      <c r="BL28" s="148" t="str">
        <f t="shared" si="33"/>
        <v/>
      </c>
      <c r="BM28" s="453" t="str">
        <f t="shared" si="25"/>
        <v/>
      </c>
      <c r="BN28" s="453" t="str">
        <f t="shared" si="26"/>
        <v/>
      </c>
      <c r="BO28" s="936"/>
      <c r="BP28" s="300" t="s">
        <v>366</v>
      </c>
      <c r="BQ28" s="165">
        <f t="shared" si="36"/>
        <v>0.3</v>
      </c>
      <c r="BR28" s="166">
        <f t="shared" si="36"/>
        <v>0.6</v>
      </c>
      <c r="BS28" s="166">
        <f t="shared" si="36"/>
        <v>0.7</v>
      </c>
      <c r="BT28" s="166">
        <f t="shared" si="36"/>
        <v>0.9</v>
      </c>
      <c r="BU28" s="167">
        <f t="shared" si="36"/>
        <v>1</v>
      </c>
    </row>
    <row r="29" spans="2:73" s="94" customFormat="1" ht="12.95" customHeight="1" x14ac:dyDescent="0.2">
      <c r="B29" s="151" t="str">
        <f>IF(ISNA(Z29),"",IF(OR(Z29=1,Z29=2),"    ",MAX($B$8:B28)+1))</f>
        <v xml:space="preserve">    </v>
      </c>
      <c r="C29" s="904" t="str">
        <f t="shared" si="0"/>
        <v>Reporting (10.0%)</v>
      </c>
      <c r="D29" s="904"/>
      <c r="E29" s="904"/>
      <c r="F29" s="905"/>
      <c r="G29" s="133" t="str">
        <f t="shared" si="1"/>
        <v/>
      </c>
      <c r="H29" s="134" t="str">
        <f t="shared" si="2"/>
        <v/>
      </c>
      <c r="I29" s="152" t="str">
        <f t="shared" si="2"/>
        <v/>
      </c>
      <c r="J29" s="158"/>
      <c r="K29" s="159"/>
      <c r="L29" s="1015"/>
      <c r="M29" s="1016"/>
      <c r="N29" s="1016"/>
      <c r="O29" s="1016"/>
      <c r="P29" s="1016"/>
      <c r="Q29" s="1016"/>
      <c r="R29" s="1017"/>
      <c r="T29" s="99">
        <v>22</v>
      </c>
      <c r="U29" s="88" t="s">
        <v>718</v>
      </c>
      <c r="V29" s="453" t="s">
        <v>340</v>
      </c>
      <c r="W29" s="453" t="s">
        <v>340</v>
      </c>
      <c r="X29" s="453" t="s">
        <v>340</v>
      </c>
      <c r="Y29" s="453" t="s">
        <v>340</v>
      </c>
      <c r="Z29" s="146">
        <v>2</v>
      </c>
      <c r="AA29" s="146">
        <v>1</v>
      </c>
      <c r="AB29" s="146">
        <v>1</v>
      </c>
      <c r="AC29" s="453" t="s">
        <v>340</v>
      </c>
      <c r="AD29" s="453" t="s">
        <v>340</v>
      </c>
      <c r="AE29" s="453" t="s">
        <v>340</v>
      </c>
      <c r="AF29" s="453" t="s">
        <v>340</v>
      </c>
      <c r="AG29" s="453" t="str">
        <f t="shared" si="3"/>
        <v/>
      </c>
      <c r="AH29" s="453" t="str">
        <f t="shared" si="4"/>
        <v/>
      </c>
      <c r="AI29" s="138">
        <f>IF(NOT(OR(Z29=1,Z29=2)),IF(AQ29&gt;0,$AR$44*AQ29/SUMIF($AQ$8:$AQ$39,"&gt;0"),IF(AU29&gt;0,$AV$44*AU29/SUMIF($AU$8:$AU$39,"&gt;0"),IF(AS29&gt;0,$AT$44*AS29/SUMIF($AS$8:$AS$39,"&gt;0"),""))),IF(SUMIF(AJ30:$AJ$39,"=" &amp; AJ29,AI30:$AI$39)=0,"",SUMIF(AJ30:$AJ$39,"=" &amp; AJ29,AI30:$AI$39)))</f>
        <v>0.1</v>
      </c>
      <c r="AJ29" s="139">
        <f t="shared" si="34"/>
        <v>5</v>
      </c>
      <c r="AK29" s="453" t="str">
        <f t="shared" si="27"/>
        <v/>
      </c>
      <c r="AL29" s="146" t="str">
        <f t="shared" si="28"/>
        <v/>
      </c>
      <c r="AM29" s="146" t="str">
        <f t="shared" si="35"/>
        <v/>
      </c>
      <c r="AN29" s="146" t="str">
        <f t="shared" si="5"/>
        <v/>
      </c>
      <c r="AO29" s="146" t="str">
        <f t="shared" si="6"/>
        <v/>
      </c>
      <c r="AP29" s="453" t="str">
        <f t="shared" si="7"/>
        <v/>
      </c>
      <c r="AQ29" s="140">
        <f t="shared" si="29"/>
        <v>0</v>
      </c>
      <c r="AR29" s="141" t="str">
        <f t="shared" si="8"/>
        <v/>
      </c>
      <c r="AS29" s="142">
        <f t="shared" si="30"/>
        <v>0</v>
      </c>
      <c r="AT29" s="141" t="str">
        <f t="shared" si="9"/>
        <v/>
      </c>
      <c r="AU29" s="143">
        <f t="shared" si="10"/>
        <v>0</v>
      </c>
      <c r="AV29" s="144" t="str">
        <f t="shared" si="11"/>
        <v/>
      </c>
      <c r="AW29" s="143" t="b">
        <f t="shared" si="12"/>
        <v>0</v>
      </c>
      <c r="AX29" s="145" t="b">
        <f t="shared" si="13"/>
        <v>0</v>
      </c>
      <c r="AY29" s="143" t="b">
        <f t="shared" si="14"/>
        <v>0</v>
      </c>
      <c r="AZ29" s="145" t="b">
        <f t="shared" si="15"/>
        <v>0</v>
      </c>
      <c r="BA29" s="453" t="b">
        <f t="shared" si="16"/>
        <v>0</v>
      </c>
      <c r="BB29" s="453" t="b">
        <f t="shared" si="17"/>
        <v>0</v>
      </c>
      <c r="BC29" s="143" t="b">
        <f t="shared" si="18"/>
        <v>0</v>
      </c>
      <c r="BD29" s="146" t="b">
        <f t="shared" si="31"/>
        <v>0</v>
      </c>
      <c r="BE29" s="145" t="b">
        <f t="shared" si="37"/>
        <v>0</v>
      </c>
      <c r="BF29" s="147" t="b">
        <f t="shared" si="20"/>
        <v>0</v>
      </c>
      <c r="BG29" s="453" t="b">
        <f t="shared" si="38"/>
        <v>0</v>
      </c>
      <c r="BH29" s="453" t="str">
        <f t="shared" si="32"/>
        <v/>
      </c>
      <c r="BI29" s="453" t="str">
        <f t="shared" si="22"/>
        <v/>
      </c>
      <c r="BJ29" s="453" t="str">
        <f t="shared" si="23"/>
        <v/>
      </c>
      <c r="BK29" s="453" t="str">
        <f t="shared" si="24"/>
        <v/>
      </c>
      <c r="BL29" s="148" t="str">
        <f t="shared" si="33"/>
        <v/>
      </c>
      <c r="BM29" s="453" t="str">
        <f t="shared" si="25"/>
        <v/>
      </c>
      <c r="BN29" s="453" t="str">
        <f t="shared" si="26"/>
        <v/>
      </c>
      <c r="BO29" s="936"/>
      <c r="BP29" s="300" t="s">
        <v>367</v>
      </c>
      <c r="BQ29" s="168">
        <f t="shared" si="36"/>
        <v>0</v>
      </c>
      <c r="BR29" s="169">
        <f t="shared" si="36"/>
        <v>0.3</v>
      </c>
      <c r="BS29" s="169">
        <f t="shared" si="36"/>
        <v>0.6</v>
      </c>
      <c r="BT29" s="169">
        <f t="shared" si="36"/>
        <v>0.9</v>
      </c>
      <c r="BU29" s="170">
        <f t="shared" si="36"/>
        <v>1</v>
      </c>
    </row>
    <row r="30" spans="2:73" s="94" customFormat="1" ht="12.95" customHeight="1" x14ac:dyDescent="0.2">
      <c r="B30" s="151">
        <f>IF(ISNA(Z30),"",IF(OR(Z30=1,Z30=2),"    ",MAX($B$8:B29)+1))</f>
        <v>17</v>
      </c>
      <c r="C30" s="904" t="str">
        <f t="shared" si="0"/>
        <v xml:space="preserve">      - Oral Debrief (10.0%)</v>
      </c>
      <c r="D30" s="904"/>
      <c r="E30" s="904"/>
      <c r="F30" s="905"/>
      <c r="G30" s="133">
        <f t="shared" si="1"/>
        <v>1</v>
      </c>
      <c r="H30" s="134" t="str">
        <f t="shared" si="2"/>
        <v>2*</v>
      </c>
      <c r="I30" s="152">
        <f t="shared" si="2"/>
        <v>3</v>
      </c>
      <c r="J30" s="157"/>
      <c r="K30" s="154"/>
      <c r="L30" s="1015"/>
      <c r="M30" s="1016"/>
      <c r="N30" s="1016"/>
      <c r="O30" s="1016"/>
      <c r="P30" s="1016"/>
      <c r="Q30" s="1016"/>
      <c r="R30" s="1017"/>
      <c r="T30" s="99">
        <v>23</v>
      </c>
      <c r="U30" s="88" t="s">
        <v>719</v>
      </c>
      <c r="V30" s="453">
        <v>1</v>
      </c>
      <c r="W30" s="453">
        <v>10</v>
      </c>
      <c r="X30" s="453" t="s">
        <v>340</v>
      </c>
      <c r="Y30" s="453" t="s">
        <v>340</v>
      </c>
      <c r="Z30" s="146" t="s">
        <v>340</v>
      </c>
      <c r="AA30" s="146">
        <v>2</v>
      </c>
      <c r="AB30" s="146">
        <v>1</v>
      </c>
      <c r="AC30" s="453">
        <v>3</v>
      </c>
      <c r="AD30" s="453">
        <v>2</v>
      </c>
      <c r="AE30" s="453">
        <v>1</v>
      </c>
      <c r="AF30" s="453" t="b">
        <v>1</v>
      </c>
      <c r="AG30" s="453">
        <f t="shared" si="3"/>
        <v>2</v>
      </c>
      <c r="AH30" s="453">
        <f t="shared" si="4"/>
        <v>1</v>
      </c>
      <c r="AI30" s="138">
        <f>IF(NOT(OR(Z30=1,Z30=2)),IF(AQ30&gt;0,$AR$44*AQ30/SUMIF($AQ$8:$AQ$39,"&gt;0"),IF(AU30&gt;0,$AV$44*AU30/SUMIF($AU$8:$AU$39,"&gt;0"),IF(AS30&gt;0,$AT$44*AS30/SUMIF($AS$8:$AS$39,"&gt;0"),""))),IF(SUMIF(AJ31:$AJ$39,"=" &amp; AJ30,AI31:$AI$39)=0,"",SUMIF(AJ31:$AJ$39,"=" &amp; AJ30,AI31:$AI$39)))</f>
        <v>0.1</v>
      </c>
      <c r="AJ30" s="139">
        <f t="shared" si="34"/>
        <v>5</v>
      </c>
      <c r="AK30" s="453">
        <f t="shared" si="27"/>
        <v>2</v>
      </c>
      <c r="AL30" s="146" t="str">
        <f t="shared" si="28"/>
        <v/>
      </c>
      <c r="AM30" s="146" t="str">
        <f t="shared" si="35"/>
        <v/>
      </c>
      <c r="AN30" s="146" t="str">
        <f t="shared" si="5"/>
        <v/>
      </c>
      <c r="AO30" s="146" t="str">
        <f t="shared" si="6"/>
        <v/>
      </c>
      <c r="AP30" s="453" t="b">
        <f t="shared" si="7"/>
        <v>1</v>
      </c>
      <c r="AQ30" s="140">
        <f t="shared" si="29"/>
        <v>10</v>
      </c>
      <c r="AR30" s="141" t="str">
        <f t="shared" si="8"/>
        <v/>
      </c>
      <c r="AS30" s="142">
        <f t="shared" si="30"/>
        <v>0</v>
      </c>
      <c r="AT30" s="141" t="str">
        <f t="shared" si="9"/>
        <v/>
      </c>
      <c r="AU30" s="143">
        <f t="shared" si="10"/>
        <v>0</v>
      </c>
      <c r="AV30" s="144" t="str">
        <f t="shared" si="11"/>
        <v/>
      </c>
      <c r="AW30" s="143" t="b">
        <f t="shared" si="12"/>
        <v>0</v>
      </c>
      <c r="AX30" s="145" t="b">
        <f t="shared" si="13"/>
        <v>1</v>
      </c>
      <c r="AY30" s="143" t="b">
        <f t="shared" si="14"/>
        <v>0</v>
      </c>
      <c r="AZ30" s="145" t="b">
        <f t="shared" si="15"/>
        <v>0</v>
      </c>
      <c r="BA30" s="453" t="b">
        <f t="shared" si="16"/>
        <v>0</v>
      </c>
      <c r="BB30" s="453" t="b">
        <f t="shared" si="17"/>
        <v>0</v>
      </c>
      <c r="BC30" s="143" t="b">
        <f t="shared" si="18"/>
        <v>0</v>
      </c>
      <c r="BD30" s="146" t="b">
        <f t="shared" si="31"/>
        <v>0</v>
      </c>
      <c r="BE30" s="145" t="b">
        <f t="shared" si="37"/>
        <v>0</v>
      </c>
      <c r="BF30" s="147" t="b">
        <f t="shared" si="20"/>
        <v>0</v>
      </c>
      <c r="BG30" s="453" t="b">
        <f t="shared" si="38"/>
        <v>1</v>
      </c>
      <c r="BH30" s="453">
        <f t="shared" si="32"/>
        <v>1</v>
      </c>
      <c r="BI30" s="453">
        <f t="shared" si="22"/>
        <v>2</v>
      </c>
      <c r="BJ30" s="453" t="str">
        <f t="shared" si="23"/>
        <v>2*</v>
      </c>
      <c r="BK30" s="453">
        <f t="shared" si="24"/>
        <v>3</v>
      </c>
      <c r="BL30" s="148">
        <f t="shared" si="33"/>
        <v>1</v>
      </c>
      <c r="BM30" s="453">
        <f t="shared" si="25"/>
        <v>2</v>
      </c>
      <c r="BN30" s="453">
        <f t="shared" si="26"/>
        <v>3</v>
      </c>
      <c r="BO30" s="90"/>
    </row>
    <row r="31" spans="2:73" s="94" customFormat="1" ht="12.95" customHeight="1" x14ac:dyDescent="0.2">
      <c r="B31" s="151" t="str">
        <f>IF(ISNA(Z31),"",IF(OR(Z31=1,Z31=2),"    ",MAX($B$8:B30)+1))</f>
        <v/>
      </c>
      <c r="C31" s="904" t="str">
        <f t="shared" si="0"/>
        <v/>
      </c>
      <c r="D31" s="904"/>
      <c r="E31" s="904"/>
      <c r="F31" s="905"/>
      <c r="G31" s="133" t="str">
        <f t="shared" si="1"/>
        <v/>
      </c>
      <c r="H31" s="134" t="str">
        <f t="shared" si="2"/>
        <v/>
      </c>
      <c r="I31" s="152" t="str">
        <f t="shared" si="2"/>
        <v/>
      </c>
      <c r="J31" s="158"/>
      <c r="K31" s="159"/>
      <c r="L31" s="1015"/>
      <c r="M31" s="1016"/>
      <c r="N31" s="1016"/>
      <c r="O31" s="1016"/>
      <c r="P31" s="1016"/>
      <c r="Q31" s="1016"/>
      <c r="R31" s="1017"/>
      <c r="T31" s="99">
        <v>24</v>
      </c>
      <c r="U31" s="88" t="e">
        <v>#N/A</v>
      </c>
      <c r="V31" s="453" t="e">
        <v>#N/A</v>
      </c>
      <c r="W31" s="453" t="e">
        <v>#N/A</v>
      </c>
      <c r="X31" s="453" t="e">
        <v>#N/A</v>
      </c>
      <c r="Y31" s="453" t="e">
        <v>#N/A</v>
      </c>
      <c r="Z31" s="146" t="e">
        <v>#N/A</v>
      </c>
      <c r="AA31" s="146" t="e">
        <v>#N/A</v>
      </c>
      <c r="AB31" s="146" t="e">
        <v>#N/A</v>
      </c>
      <c r="AC31" s="453" t="e">
        <v>#N/A</v>
      </c>
      <c r="AD31" s="453" t="e">
        <v>#N/A</v>
      </c>
      <c r="AE31" s="453" t="e">
        <v>#N/A</v>
      </c>
      <c r="AF31" s="453" t="e">
        <v>#N/A</v>
      </c>
      <c r="AG31" s="453" t="e">
        <f t="shared" si="3"/>
        <v>#N/A</v>
      </c>
      <c r="AH31" s="453" t="str">
        <f t="shared" si="4"/>
        <v/>
      </c>
      <c r="AI31" s="138" t="e">
        <f>IF(NOT(OR(Z31=1,Z31=2)),IF(AQ31&gt;0,$AR$44*AQ31/SUMIF($AQ$8:$AQ$39,"&gt;0"),IF(AU31&gt;0,$AV$44*AU31/SUMIF($AU$8:$AU$39,"&gt;0"),IF(AS31&gt;0,$AT$44*AS31/SUMIF($AS$8:$AS$39,"&gt;0"),""))),IF(SUMIF(AJ32:$AJ$39,"=" &amp; AJ31,AI32:$AI$39)=0,"",SUMIF(AJ32:$AJ$39,"=" &amp; AJ31,AI32:$AI$39)))</f>
        <v>#N/A</v>
      </c>
      <c r="AJ31" s="139" t="e">
        <f t="shared" si="34"/>
        <v>#N/A</v>
      </c>
      <c r="AK31" s="453" t="str">
        <f t="shared" si="27"/>
        <v/>
      </c>
      <c r="AL31" s="146" t="str">
        <f t="shared" si="28"/>
        <v/>
      </c>
      <c r="AM31" s="146" t="str">
        <f t="shared" si="35"/>
        <v/>
      </c>
      <c r="AN31" s="146" t="str">
        <f t="shared" si="5"/>
        <v/>
      </c>
      <c r="AO31" s="146" t="e">
        <f t="shared" si="6"/>
        <v>#N/A</v>
      </c>
      <c r="AP31" s="453" t="str">
        <f t="shared" si="7"/>
        <v/>
      </c>
      <c r="AQ31" s="140">
        <f t="shared" si="29"/>
        <v>0</v>
      </c>
      <c r="AR31" s="141" t="str">
        <f t="shared" si="8"/>
        <v/>
      </c>
      <c r="AS31" s="142">
        <f t="shared" si="30"/>
        <v>0</v>
      </c>
      <c r="AT31" s="141" t="str">
        <f t="shared" si="9"/>
        <v/>
      </c>
      <c r="AU31" s="143">
        <f t="shared" si="10"/>
        <v>0</v>
      </c>
      <c r="AV31" s="144" t="str">
        <f t="shared" si="11"/>
        <v/>
      </c>
      <c r="AW31" s="143" t="b">
        <f t="shared" si="12"/>
        <v>0</v>
      </c>
      <c r="AX31" s="145" t="b">
        <f t="shared" si="13"/>
        <v>0</v>
      </c>
      <c r="AY31" s="143" t="b">
        <f t="shared" si="14"/>
        <v>0</v>
      </c>
      <c r="AZ31" s="145" t="b">
        <f t="shared" si="15"/>
        <v>0</v>
      </c>
      <c r="BA31" s="453" t="b">
        <f t="shared" si="16"/>
        <v>0</v>
      </c>
      <c r="BB31" s="453" t="b">
        <f t="shared" si="17"/>
        <v>0</v>
      </c>
      <c r="BC31" s="143" t="b">
        <f t="shared" si="18"/>
        <v>0</v>
      </c>
      <c r="BD31" s="146" t="b">
        <f>IF(OR(ISNA($Z31),ISNUMBER($Z31),NOT(ISNUMBER(K31))),FALSE,OR(NOT(ISNUMBER(J31)),J31=0,AND(J31=0,K31&lt;&gt;0)))</f>
        <v>0</v>
      </c>
      <c r="BE31" s="145" t="b">
        <f t="shared" si="37"/>
        <v>0</v>
      </c>
      <c r="BF31" s="147" t="b">
        <f>IF(OR(ISNA($Z31),H31&lt;&gt;"NG"),FALSE,IF(AND(J31="NA",K31&lt;&gt;""),TRUE,FALSE))</f>
        <v>0</v>
      </c>
      <c r="BG31" s="453" t="str">
        <f t="shared" si="38"/>
        <v>NA</v>
      </c>
      <c r="BH31" s="453" t="str">
        <f t="shared" si="32"/>
        <v/>
      </c>
      <c r="BI31" s="453" t="str">
        <f t="shared" si="22"/>
        <v/>
      </c>
      <c r="BJ31" s="453" t="str">
        <f t="shared" si="23"/>
        <v/>
      </c>
      <c r="BK31" s="453" t="str">
        <f t="shared" si="24"/>
        <v/>
      </c>
      <c r="BL31" s="148" t="str">
        <f t="shared" si="33"/>
        <v/>
      </c>
      <c r="BM31" s="453" t="str">
        <f t="shared" si="25"/>
        <v/>
      </c>
      <c r="BN31" s="453" t="str">
        <f t="shared" si="26"/>
        <v/>
      </c>
      <c r="BO31" s="155" t="s">
        <v>368</v>
      </c>
      <c r="BP31" s="161" t="s">
        <v>369</v>
      </c>
    </row>
    <row r="32" spans="2:73" s="94" customFormat="1" ht="12.95" customHeight="1" x14ac:dyDescent="0.2">
      <c r="B32" s="151" t="str">
        <f>IF(ISNA(Z32),"",IF(OR(Z32=1,Z32=2),"    ",MAX($B$8:B31)+1))</f>
        <v/>
      </c>
      <c r="C32" s="904" t="str">
        <f t="shared" si="0"/>
        <v/>
      </c>
      <c r="D32" s="904"/>
      <c r="E32" s="904"/>
      <c r="F32" s="905"/>
      <c r="G32" s="133" t="str">
        <f t="shared" si="1"/>
        <v/>
      </c>
      <c r="H32" s="134" t="str">
        <f t="shared" si="2"/>
        <v/>
      </c>
      <c r="I32" s="152" t="str">
        <f t="shared" si="2"/>
        <v/>
      </c>
      <c r="J32" s="158"/>
      <c r="K32" s="159"/>
      <c r="L32" s="1015"/>
      <c r="M32" s="1016"/>
      <c r="N32" s="1016"/>
      <c r="O32" s="1016"/>
      <c r="P32" s="1016"/>
      <c r="Q32" s="1016"/>
      <c r="R32" s="1017"/>
      <c r="T32" s="99">
        <v>25</v>
      </c>
      <c r="U32" s="88" t="e">
        <v>#N/A</v>
      </c>
      <c r="V32" s="453" t="e">
        <v>#N/A</v>
      </c>
      <c r="W32" s="453" t="e">
        <v>#N/A</v>
      </c>
      <c r="X32" s="453" t="e">
        <v>#N/A</v>
      </c>
      <c r="Y32" s="453" t="e">
        <v>#N/A</v>
      </c>
      <c r="Z32" s="146" t="e">
        <v>#N/A</v>
      </c>
      <c r="AA32" s="146" t="e">
        <v>#N/A</v>
      </c>
      <c r="AB32" s="146" t="e">
        <v>#N/A</v>
      </c>
      <c r="AC32" s="453" t="e">
        <v>#N/A</v>
      </c>
      <c r="AD32" s="453" t="e">
        <v>#N/A</v>
      </c>
      <c r="AE32" s="453" t="e">
        <v>#N/A</v>
      </c>
      <c r="AF32" s="453" t="e">
        <v>#N/A</v>
      </c>
      <c r="AG32" s="453" t="e">
        <f t="shared" si="3"/>
        <v>#N/A</v>
      </c>
      <c r="AH32" s="453" t="str">
        <f t="shared" si="4"/>
        <v/>
      </c>
      <c r="AI32" s="138" t="e">
        <f>IF(NOT(OR(Z32=1,Z32=2)),IF(AQ32&gt;0,$AR$44*AQ32/SUMIF($AQ$8:$AQ$39,"&gt;0"),IF(AU32&gt;0,$AV$44*AU32/SUMIF($AU$8:$AU$39,"&gt;0"),IF(AS32&gt;0,$AT$44*AS32/SUMIF($AS$8:$AS$39,"&gt;0"),""))),IF(SUMIF(AJ33:$AJ$39,"=" &amp; AJ32,AI33:$AI$39)=0,"",SUMIF(AJ33:$AJ$39,"=" &amp; AJ32,AI33:$AI$39)))</f>
        <v>#N/A</v>
      </c>
      <c r="AJ32" s="139" t="e">
        <f t="shared" si="34"/>
        <v>#N/A</v>
      </c>
      <c r="AK32" s="453" t="str">
        <f t="shared" si="27"/>
        <v/>
      </c>
      <c r="AL32" s="146" t="str">
        <f t="shared" si="28"/>
        <v/>
      </c>
      <c r="AM32" s="146" t="str">
        <f t="shared" si="35"/>
        <v/>
      </c>
      <c r="AN32" s="146" t="str">
        <f t="shared" si="5"/>
        <v/>
      </c>
      <c r="AO32" s="146" t="e">
        <f t="shared" si="6"/>
        <v>#N/A</v>
      </c>
      <c r="AP32" s="453" t="str">
        <f t="shared" si="7"/>
        <v/>
      </c>
      <c r="AQ32" s="140">
        <f t="shared" si="29"/>
        <v>0</v>
      </c>
      <c r="AR32" s="141" t="str">
        <f t="shared" si="8"/>
        <v/>
      </c>
      <c r="AS32" s="142">
        <f t="shared" si="30"/>
        <v>0</v>
      </c>
      <c r="AT32" s="141" t="str">
        <f t="shared" si="9"/>
        <v/>
      </c>
      <c r="AU32" s="143">
        <f t="shared" si="10"/>
        <v>0</v>
      </c>
      <c r="AV32" s="144" t="str">
        <f t="shared" si="11"/>
        <v/>
      </c>
      <c r="AW32" s="143" t="b">
        <f t="shared" si="12"/>
        <v>0</v>
      </c>
      <c r="AX32" s="145" t="b">
        <f t="shared" si="13"/>
        <v>0</v>
      </c>
      <c r="AY32" s="143" t="b">
        <f t="shared" si="14"/>
        <v>0</v>
      </c>
      <c r="AZ32" s="145" t="b">
        <f t="shared" si="15"/>
        <v>0</v>
      </c>
      <c r="BA32" s="453" t="b">
        <f t="shared" si="16"/>
        <v>0</v>
      </c>
      <c r="BB32" s="453" t="b">
        <f t="shared" si="17"/>
        <v>0</v>
      </c>
      <c r="BC32" s="143" t="b">
        <f t="shared" si="18"/>
        <v>0</v>
      </c>
      <c r="BD32" s="146" t="b">
        <f t="shared" si="31"/>
        <v>0</v>
      </c>
      <c r="BE32" s="145" t="b">
        <f t="shared" si="37"/>
        <v>0</v>
      </c>
      <c r="BF32" s="147" t="b">
        <f t="shared" ref="BF32:BF39" si="39">IF(OR(ISNA($Z32),H32&lt;&gt;"NG"),FALSE,IF(AND(J32="NA",K32&lt;&gt;""),TRUE,FALSE))</f>
        <v>0</v>
      </c>
      <c r="BG32" s="453" t="str">
        <f t="shared" si="38"/>
        <v>NA</v>
      </c>
      <c r="BH32" s="453" t="str">
        <f t="shared" si="32"/>
        <v/>
      </c>
      <c r="BI32" s="453" t="str">
        <f t="shared" si="22"/>
        <v/>
      </c>
      <c r="BJ32" s="453" t="str">
        <f t="shared" si="23"/>
        <v/>
      </c>
      <c r="BK32" s="453" t="str">
        <f t="shared" si="24"/>
        <v/>
      </c>
      <c r="BL32" s="148" t="str">
        <f t="shared" si="33"/>
        <v/>
      </c>
      <c r="BM32" s="453" t="str">
        <f t="shared" si="25"/>
        <v/>
      </c>
      <c r="BN32" s="453" t="str">
        <f t="shared" si="26"/>
        <v/>
      </c>
      <c r="BO32" s="155" t="s">
        <v>370</v>
      </c>
      <c r="BP32" s="161" t="s">
        <v>371</v>
      </c>
    </row>
    <row r="33" spans="2:73" s="94" customFormat="1" ht="12.95" customHeight="1" x14ac:dyDescent="0.2">
      <c r="B33" s="151" t="str">
        <f>IF(ISNA(Z33),"",IF(OR(Z33=1,Z33=2),"    ",MAX($B$8:B32)+1))</f>
        <v/>
      </c>
      <c r="C33" s="904" t="str">
        <f t="shared" si="0"/>
        <v/>
      </c>
      <c r="D33" s="904"/>
      <c r="E33" s="904"/>
      <c r="F33" s="905"/>
      <c r="G33" s="133" t="str">
        <f t="shared" si="1"/>
        <v/>
      </c>
      <c r="H33" s="134" t="str">
        <f t="shared" si="2"/>
        <v/>
      </c>
      <c r="I33" s="152" t="str">
        <f t="shared" si="2"/>
        <v/>
      </c>
      <c r="J33" s="158"/>
      <c r="K33" s="159"/>
      <c r="L33" s="1015"/>
      <c r="M33" s="1016"/>
      <c r="N33" s="1016"/>
      <c r="O33" s="1016"/>
      <c r="P33" s="1016"/>
      <c r="Q33" s="1016"/>
      <c r="R33" s="1017"/>
      <c r="T33" s="99">
        <v>26</v>
      </c>
      <c r="U33" s="88" t="e">
        <v>#N/A</v>
      </c>
      <c r="V33" s="453" t="e">
        <v>#N/A</v>
      </c>
      <c r="W33" s="453" t="e">
        <v>#N/A</v>
      </c>
      <c r="X33" s="453" t="e">
        <v>#N/A</v>
      </c>
      <c r="Y33" s="453" t="e">
        <v>#N/A</v>
      </c>
      <c r="Z33" s="146" t="e">
        <v>#N/A</v>
      </c>
      <c r="AA33" s="146" t="e">
        <v>#N/A</v>
      </c>
      <c r="AB33" s="146" t="e">
        <v>#N/A</v>
      </c>
      <c r="AC33" s="453" t="e">
        <v>#N/A</v>
      </c>
      <c r="AD33" s="453" t="e">
        <v>#N/A</v>
      </c>
      <c r="AE33" s="453" t="e">
        <v>#N/A</v>
      </c>
      <c r="AF33" s="453" t="e">
        <v>#N/A</v>
      </c>
      <c r="AG33" s="453" t="e">
        <f t="shared" si="3"/>
        <v>#N/A</v>
      </c>
      <c r="AH33" s="453" t="str">
        <f t="shared" si="4"/>
        <v/>
      </c>
      <c r="AI33" s="138" t="e">
        <f>IF(NOT(OR(Z33=1,Z33=2)),IF(AQ33&gt;0,$AR$44*AQ33/SUMIF($AQ$8:$AQ$39,"&gt;0"),IF(AU33&gt;0,$AV$44*AU33/SUMIF($AU$8:$AU$39,"&gt;0"),IF(AS33&gt;0,$AT$44*AS33/SUMIF($AS$8:$AS$39,"&gt;0"),""))),IF(SUMIF(AJ34:$AJ$39,"=" &amp; AJ33,AI34:$AI$39)=0,"",SUMIF(AJ34:$AJ$39,"=" &amp; AJ33,AI34:$AI$39)))</f>
        <v>#N/A</v>
      </c>
      <c r="AJ33" s="139" t="e">
        <f t="shared" si="34"/>
        <v>#N/A</v>
      </c>
      <c r="AK33" s="453" t="str">
        <f t="shared" si="27"/>
        <v/>
      </c>
      <c r="AL33" s="146" t="str">
        <f t="shared" si="28"/>
        <v/>
      </c>
      <c r="AM33" s="146" t="str">
        <f t="shared" si="35"/>
        <v/>
      </c>
      <c r="AN33" s="146" t="str">
        <f t="shared" si="5"/>
        <v/>
      </c>
      <c r="AO33" s="146" t="e">
        <f t="shared" si="6"/>
        <v>#N/A</v>
      </c>
      <c r="AP33" s="453" t="str">
        <f t="shared" si="7"/>
        <v/>
      </c>
      <c r="AQ33" s="140">
        <f t="shared" si="29"/>
        <v>0</v>
      </c>
      <c r="AR33" s="141" t="str">
        <f t="shared" si="8"/>
        <v/>
      </c>
      <c r="AS33" s="142">
        <f t="shared" si="30"/>
        <v>0</v>
      </c>
      <c r="AT33" s="141" t="str">
        <f t="shared" si="9"/>
        <v/>
      </c>
      <c r="AU33" s="143">
        <f t="shared" si="10"/>
        <v>0</v>
      </c>
      <c r="AV33" s="144" t="str">
        <f t="shared" si="11"/>
        <v/>
      </c>
      <c r="AW33" s="143" t="b">
        <f t="shared" si="12"/>
        <v>0</v>
      </c>
      <c r="AX33" s="145" t="b">
        <f t="shared" si="13"/>
        <v>0</v>
      </c>
      <c r="AY33" s="143" t="b">
        <f t="shared" si="14"/>
        <v>0</v>
      </c>
      <c r="AZ33" s="145" t="b">
        <f t="shared" si="15"/>
        <v>0</v>
      </c>
      <c r="BA33" s="453" t="b">
        <f t="shared" si="16"/>
        <v>0</v>
      </c>
      <c r="BB33" s="453" t="b">
        <f t="shared" si="17"/>
        <v>0</v>
      </c>
      <c r="BC33" s="143" t="b">
        <f t="shared" si="18"/>
        <v>0</v>
      </c>
      <c r="BD33" s="146" t="b">
        <f t="shared" si="31"/>
        <v>0</v>
      </c>
      <c r="BE33" s="145" t="b">
        <f t="shared" si="37"/>
        <v>0</v>
      </c>
      <c r="BF33" s="147" t="b">
        <f t="shared" si="39"/>
        <v>0</v>
      </c>
      <c r="BG33" s="453" t="str">
        <f t="shared" si="38"/>
        <v>NA</v>
      </c>
      <c r="BH33" s="453" t="str">
        <f t="shared" si="32"/>
        <v/>
      </c>
      <c r="BI33" s="453" t="str">
        <f t="shared" si="22"/>
        <v/>
      </c>
      <c r="BJ33" s="453" t="str">
        <f t="shared" si="23"/>
        <v/>
      </c>
      <c r="BK33" s="453" t="str">
        <f t="shared" si="24"/>
        <v/>
      </c>
      <c r="BL33" s="148" t="str">
        <f t="shared" si="33"/>
        <v/>
      </c>
      <c r="BM33" s="453" t="str">
        <f t="shared" si="25"/>
        <v/>
      </c>
      <c r="BN33" s="453" t="str">
        <f t="shared" si="26"/>
        <v/>
      </c>
      <c r="BO33" s="150" t="s">
        <v>372</v>
      </c>
      <c r="BP33" s="161"/>
      <c r="BQ33" s="161"/>
      <c r="BR33" s="161"/>
      <c r="BS33" s="161"/>
      <c r="BT33" s="161"/>
      <c r="BU33" s="161"/>
    </row>
    <row r="34" spans="2:73" s="94" customFormat="1" ht="12.95" customHeight="1" x14ac:dyDescent="0.2">
      <c r="B34" s="151" t="str">
        <f>IF(ISNA(Z34),"",IF(OR(Z34=1,Z34=2),"    ",MAX($B$8:B33)+1))</f>
        <v/>
      </c>
      <c r="C34" s="904" t="str">
        <f t="shared" si="0"/>
        <v/>
      </c>
      <c r="D34" s="904"/>
      <c r="E34" s="904"/>
      <c r="F34" s="905"/>
      <c r="G34" s="133" t="str">
        <f t="shared" si="1"/>
        <v/>
      </c>
      <c r="H34" s="134" t="str">
        <f t="shared" si="2"/>
        <v/>
      </c>
      <c r="I34" s="152" t="str">
        <f t="shared" si="2"/>
        <v/>
      </c>
      <c r="J34" s="158"/>
      <c r="K34" s="159"/>
      <c r="L34" s="1015"/>
      <c r="M34" s="1016"/>
      <c r="N34" s="1016"/>
      <c r="O34" s="1016"/>
      <c r="P34" s="1016"/>
      <c r="Q34" s="1016"/>
      <c r="R34" s="1017"/>
      <c r="T34" s="99">
        <v>27</v>
      </c>
      <c r="U34" s="88" t="e">
        <v>#N/A</v>
      </c>
      <c r="V34" s="453" t="e">
        <v>#N/A</v>
      </c>
      <c r="W34" s="453" t="e">
        <v>#N/A</v>
      </c>
      <c r="X34" s="453" t="e">
        <v>#N/A</v>
      </c>
      <c r="Y34" s="453" t="e">
        <v>#N/A</v>
      </c>
      <c r="Z34" s="146" t="e">
        <v>#N/A</v>
      </c>
      <c r="AA34" s="146" t="e">
        <v>#N/A</v>
      </c>
      <c r="AB34" s="146" t="e">
        <v>#N/A</v>
      </c>
      <c r="AC34" s="453" t="e">
        <v>#N/A</v>
      </c>
      <c r="AD34" s="453" t="e">
        <v>#N/A</v>
      </c>
      <c r="AE34" s="453" t="e">
        <v>#N/A</v>
      </c>
      <c r="AF34" s="453" t="e">
        <v>#N/A</v>
      </c>
      <c r="AG34" s="453" t="e">
        <f t="shared" si="3"/>
        <v>#N/A</v>
      </c>
      <c r="AH34" s="453" t="str">
        <f t="shared" si="4"/>
        <v/>
      </c>
      <c r="AI34" s="138" t="e">
        <f>IF(NOT(OR(Z34=1,Z34=2)),IF(AQ34&gt;0,$AR$44*AQ34/SUMIF($AQ$8:$AQ$39,"&gt;0"),IF(AU34&gt;0,$AV$44*AU34/SUMIF($AU$8:$AU$39,"&gt;0"),IF(AS34&gt;0,$AT$44*AS34/SUMIF($AS$8:$AS$39,"&gt;0"),""))),IF(SUMIF(AJ35:$AJ$39,"=" &amp; AJ34,AI35:$AI$39)=0,"",SUMIF(AJ35:$AJ$39,"=" &amp; AJ34,AI35:$AI$39)))</f>
        <v>#N/A</v>
      </c>
      <c r="AJ34" s="139" t="e">
        <f t="shared" si="34"/>
        <v>#N/A</v>
      </c>
      <c r="AK34" s="453" t="str">
        <f t="shared" si="27"/>
        <v/>
      </c>
      <c r="AL34" s="146" t="str">
        <f t="shared" si="28"/>
        <v/>
      </c>
      <c r="AM34" s="146" t="str">
        <f t="shared" si="35"/>
        <v/>
      </c>
      <c r="AN34" s="146" t="str">
        <f t="shared" si="5"/>
        <v/>
      </c>
      <c r="AO34" s="146" t="e">
        <f t="shared" si="6"/>
        <v>#N/A</v>
      </c>
      <c r="AP34" s="453" t="str">
        <f t="shared" si="7"/>
        <v/>
      </c>
      <c r="AQ34" s="140">
        <f t="shared" si="29"/>
        <v>0</v>
      </c>
      <c r="AR34" s="141" t="str">
        <f t="shared" si="8"/>
        <v/>
      </c>
      <c r="AS34" s="142">
        <f t="shared" si="30"/>
        <v>0</v>
      </c>
      <c r="AT34" s="141" t="str">
        <f t="shared" si="9"/>
        <v/>
      </c>
      <c r="AU34" s="143">
        <f t="shared" si="10"/>
        <v>0</v>
      </c>
      <c r="AV34" s="144" t="str">
        <f t="shared" si="11"/>
        <v/>
      </c>
      <c r="AW34" s="143" t="b">
        <f t="shared" si="12"/>
        <v>0</v>
      </c>
      <c r="AX34" s="145" t="b">
        <f t="shared" si="13"/>
        <v>0</v>
      </c>
      <c r="AY34" s="143" t="b">
        <f t="shared" si="14"/>
        <v>0</v>
      </c>
      <c r="AZ34" s="145" t="b">
        <f t="shared" si="15"/>
        <v>0</v>
      </c>
      <c r="BA34" s="453" t="b">
        <f t="shared" si="16"/>
        <v>0</v>
      </c>
      <c r="BB34" s="453" t="b">
        <f t="shared" si="17"/>
        <v>0</v>
      </c>
      <c r="BC34" s="143" t="b">
        <f t="shared" si="18"/>
        <v>0</v>
      </c>
      <c r="BD34" s="146" t="b">
        <f t="shared" si="31"/>
        <v>0</v>
      </c>
      <c r="BE34" s="145" t="b">
        <f t="shared" si="37"/>
        <v>0</v>
      </c>
      <c r="BF34" s="147" t="b">
        <f t="shared" si="39"/>
        <v>0</v>
      </c>
      <c r="BG34" s="453" t="str">
        <f t="shared" si="38"/>
        <v>NA</v>
      </c>
      <c r="BH34" s="453" t="str">
        <f t="shared" si="32"/>
        <v/>
      </c>
      <c r="BI34" s="453" t="str">
        <f t="shared" si="22"/>
        <v/>
      </c>
      <c r="BJ34" s="453" t="str">
        <f t="shared" si="23"/>
        <v/>
      </c>
      <c r="BK34" s="453" t="str">
        <f t="shared" si="24"/>
        <v/>
      </c>
      <c r="BL34" s="148" t="str">
        <f t="shared" si="33"/>
        <v/>
      </c>
      <c r="BM34" s="453" t="str">
        <f t="shared" si="25"/>
        <v/>
      </c>
      <c r="BN34" s="453" t="str">
        <f t="shared" si="26"/>
        <v/>
      </c>
      <c r="BO34" s="1023"/>
      <c r="BP34" s="1024"/>
      <c r="BQ34" s="1024"/>
      <c r="BR34" s="1024"/>
      <c r="BS34" s="1024"/>
      <c r="BT34" s="1024"/>
      <c r="BU34" s="1025"/>
    </row>
    <row r="35" spans="2:73" s="94" customFormat="1" ht="12.95" customHeight="1" x14ac:dyDescent="0.2">
      <c r="B35" s="151" t="str">
        <f>IF(ISNA(Z35),"",IF(OR(Z35=1,Z35=2),"    ",MAX($B$8:B34)+1))</f>
        <v/>
      </c>
      <c r="C35" s="904" t="str">
        <f t="shared" si="0"/>
        <v/>
      </c>
      <c r="D35" s="904"/>
      <c r="E35" s="904"/>
      <c r="F35" s="905"/>
      <c r="G35" s="133" t="str">
        <f t="shared" si="1"/>
        <v/>
      </c>
      <c r="H35" s="134" t="str">
        <f t="shared" si="2"/>
        <v/>
      </c>
      <c r="I35" s="152" t="str">
        <f t="shared" si="2"/>
        <v/>
      </c>
      <c r="J35" s="158"/>
      <c r="K35" s="159"/>
      <c r="L35" s="1015"/>
      <c r="M35" s="1016"/>
      <c r="N35" s="1016"/>
      <c r="O35" s="1016"/>
      <c r="P35" s="1016"/>
      <c r="Q35" s="1016"/>
      <c r="R35" s="1017"/>
      <c r="T35" s="99">
        <v>28</v>
      </c>
      <c r="U35" s="88" t="e">
        <v>#N/A</v>
      </c>
      <c r="V35" s="453" t="e">
        <v>#N/A</v>
      </c>
      <c r="W35" s="453" t="e">
        <v>#N/A</v>
      </c>
      <c r="X35" s="453" t="e">
        <v>#N/A</v>
      </c>
      <c r="Y35" s="453" t="e">
        <v>#N/A</v>
      </c>
      <c r="Z35" s="146" t="e">
        <v>#N/A</v>
      </c>
      <c r="AA35" s="146" t="e">
        <v>#N/A</v>
      </c>
      <c r="AB35" s="146" t="e">
        <v>#N/A</v>
      </c>
      <c r="AC35" s="453" t="e">
        <v>#N/A</v>
      </c>
      <c r="AD35" s="453" t="e">
        <v>#N/A</v>
      </c>
      <c r="AE35" s="453" t="e">
        <v>#N/A</v>
      </c>
      <c r="AF35" s="453" t="e">
        <v>#N/A</v>
      </c>
      <c r="AG35" s="453" t="e">
        <f t="shared" si="3"/>
        <v>#N/A</v>
      </c>
      <c r="AH35" s="453" t="str">
        <f t="shared" si="4"/>
        <v/>
      </c>
      <c r="AI35" s="138" t="e">
        <f>IF(NOT(OR(Z35=1,Z35=2)),IF(AQ35&gt;0,$AR$44*AQ35/SUMIF($AQ$8:$AQ$39,"&gt;0"),IF(AU35&gt;0,$AV$44*AU35/SUMIF($AU$8:$AU$39,"&gt;0"),IF(AS35&gt;0,$AT$44*AS35/SUMIF($AS$8:$AS$39,"&gt;0"),""))),IF(SUMIF(AJ36:$AJ$39,"=" &amp; AJ35,AI36:$AI$39)=0,"",SUMIF(AJ36:$AJ$39,"=" &amp; AJ35,AI36:$AI$39)))</f>
        <v>#N/A</v>
      </c>
      <c r="AJ35" s="139" t="e">
        <f t="shared" si="34"/>
        <v>#N/A</v>
      </c>
      <c r="AK35" s="453" t="str">
        <f t="shared" si="27"/>
        <v/>
      </c>
      <c r="AL35" s="146" t="str">
        <f t="shared" si="28"/>
        <v/>
      </c>
      <c r="AM35" s="146" t="str">
        <f t="shared" si="35"/>
        <v/>
      </c>
      <c r="AN35" s="146" t="str">
        <f t="shared" si="5"/>
        <v/>
      </c>
      <c r="AO35" s="146" t="e">
        <f t="shared" si="6"/>
        <v>#N/A</v>
      </c>
      <c r="AP35" s="453" t="str">
        <f t="shared" si="7"/>
        <v/>
      </c>
      <c r="AQ35" s="140">
        <f t="shared" si="29"/>
        <v>0</v>
      </c>
      <c r="AR35" s="141" t="str">
        <f t="shared" si="8"/>
        <v/>
      </c>
      <c r="AS35" s="142">
        <f t="shared" si="30"/>
        <v>0</v>
      </c>
      <c r="AT35" s="141" t="str">
        <f t="shared" si="9"/>
        <v/>
      </c>
      <c r="AU35" s="143">
        <f t="shared" si="10"/>
        <v>0</v>
      </c>
      <c r="AV35" s="144" t="str">
        <f t="shared" si="11"/>
        <v/>
      </c>
      <c r="AW35" s="143" t="b">
        <f t="shared" si="12"/>
        <v>0</v>
      </c>
      <c r="AX35" s="145" t="b">
        <f t="shared" si="13"/>
        <v>0</v>
      </c>
      <c r="AY35" s="143" t="b">
        <f t="shared" si="14"/>
        <v>0</v>
      </c>
      <c r="AZ35" s="145" t="b">
        <f t="shared" si="15"/>
        <v>0</v>
      </c>
      <c r="BA35" s="453" t="b">
        <f t="shared" si="16"/>
        <v>0</v>
      </c>
      <c r="BB35" s="453" t="b">
        <f t="shared" si="17"/>
        <v>0</v>
      </c>
      <c r="BC35" s="143" t="b">
        <f t="shared" si="18"/>
        <v>0</v>
      </c>
      <c r="BD35" s="146" t="b">
        <f t="shared" si="31"/>
        <v>0</v>
      </c>
      <c r="BE35" s="145" t="b">
        <f t="shared" si="37"/>
        <v>0</v>
      </c>
      <c r="BF35" s="147" t="b">
        <f t="shared" si="39"/>
        <v>0</v>
      </c>
      <c r="BG35" s="453" t="str">
        <f t="shared" si="38"/>
        <v>NA</v>
      </c>
      <c r="BH35" s="453" t="str">
        <f t="shared" si="32"/>
        <v/>
      </c>
      <c r="BI35" s="453" t="str">
        <f t="shared" si="22"/>
        <v/>
      </c>
      <c r="BJ35" s="453" t="str">
        <f t="shared" si="23"/>
        <v/>
      </c>
      <c r="BK35" s="453" t="str">
        <f t="shared" si="24"/>
        <v/>
      </c>
      <c r="BL35" s="148" t="str">
        <f t="shared" si="33"/>
        <v/>
      </c>
      <c r="BM35" s="453" t="str">
        <f t="shared" si="25"/>
        <v/>
      </c>
      <c r="BN35" s="453" t="str">
        <f t="shared" si="26"/>
        <v/>
      </c>
      <c r="BO35" s="1026"/>
      <c r="BP35" s="1027"/>
      <c r="BQ35" s="1027"/>
      <c r="BR35" s="1027"/>
      <c r="BS35" s="1027"/>
      <c r="BT35" s="1027"/>
      <c r="BU35" s="1028"/>
    </row>
    <row r="36" spans="2:73" s="94" customFormat="1" ht="12.95" customHeight="1" x14ac:dyDescent="0.2">
      <c r="B36" s="151" t="str">
        <f>IF(ISNA(Z36),"",IF(OR(Z36=1,Z36=2),"    ",MAX($B$8:B35)+1))</f>
        <v/>
      </c>
      <c r="C36" s="904" t="str">
        <f t="shared" si="0"/>
        <v/>
      </c>
      <c r="D36" s="904"/>
      <c r="E36" s="904"/>
      <c r="F36" s="905"/>
      <c r="G36" s="133" t="str">
        <f t="shared" si="1"/>
        <v/>
      </c>
      <c r="H36" s="134" t="str">
        <f t="shared" si="2"/>
        <v/>
      </c>
      <c r="I36" s="152" t="str">
        <f t="shared" si="2"/>
        <v/>
      </c>
      <c r="J36" s="158"/>
      <c r="K36" s="159"/>
      <c r="L36" s="1015"/>
      <c r="M36" s="1016"/>
      <c r="N36" s="1016"/>
      <c r="O36" s="1016"/>
      <c r="P36" s="1016"/>
      <c r="Q36" s="1016"/>
      <c r="R36" s="1017"/>
      <c r="T36" s="99">
        <v>29</v>
      </c>
      <c r="U36" s="88" t="e">
        <v>#N/A</v>
      </c>
      <c r="V36" s="453" t="e">
        <v>#N/A</v>
      </c>
      <c r="W36" s="453" t="e">
        <v>#N/A</v>
      </c>
      <c r="X36" s="453" t="e">
        <v>#N/A</v>
      </c>
      <c r="Y36" s="453" t="e">
        <v>#N/A</v>
      </c>
      <c r="Z36" s="146" t="e">
        <v>#N/A</v>
      </c>
      <c r="AA36" s="146" t="e">
        <v>#N/A</v>
      </c>
      <c r="AB36" s="146" t="e">
        <v>#N/A</v>
      </c>
      <c r="AC36" s="453" t="e">
        <v>#N/A</v>
      </c>
      <c r="AD36" s="453" t="e">
        <v>#N/A</v>
      </c>
      <c r="AE36" s="453" t="e">
        <v>#N/A</v>
      </c>
      <c r="AF36" s="453" t="e">
        <v>#N/A</v>
      </c>
      <c r="AG36" s="453" t="e">
        <f t="shared" si="3"/>
        <v>#N/A</v>
      </c>
      <c r="AH36" s="453" t="str">
        <f t="shared" si="4"/>
        <v/>
      </c>
      <c r="AI36" s="138" t="e">
        <f>IF(NOT(OR(Z36=1,Z36=2)),IF(AQ36&gt;0,$AR$44*AQ36/SUMIF($AQ$8:$AQ$39,"&gt;0"),IF(AU36&gt;0,$AV$44*AU36/SUMIF($AU$8:$AU$39,"&gt;0"),IF(AS36&gt;0,$AT$44*AS36/SUMIF($AS$8:$AS$39,"&gt;0"),""))),IF(SUMIF(AJ37:$AJ$39,"=" &amp; AJ36,AI37:$AI$39)=0,"",SUMIF(AJ37:$AJ$39,"=" &amp; AJ36,AI37:$AI$39)))</f>
        <v>#N/A</v>
      </c>
      <c r="AJ36" s="139" t="e">
        <f t="shared" si="34"/>
        <v>#N/A</v>
      </c>
      <c r="AK36" s="453" t="str">
        <f t="shared" si="27"/>
        <v/>
      </c>
      <c r="AL36" s="146" t="str">
        <f t="shared" si="28"/>
        <v/>
      </c>
      <c r="AM36" s="146" t="str">
        <f t="shared" si="35"/>
        <v/>
      </c>
      <c r="AN36" s="146" t="str">
        <f t="shared" si="5"/>
        <v/>
      </c>
      <c r="AO36" s="146" t="e">
        <f t="shared" si="6"/>
        <v>#N/A</v>
      </c>
      <c r="AP36" s="453" t="str">
        <f t="shared" si="7"/>
        <v/>
      </c>
      <c r="AQ36" s="140">
        <f t="shared" si="29"/>
        <v>0</v>
      </c>
      <c r="AR36" s="141" t="str">
        <f t="shared" si="8"/>
        <v/>
      </c>
      <c r="AS36" s="142">
        <f t="shared" si="30"/>
        <v>0</v>
      </c>
      <c r="AT36" s="141" t="str">
        <f t="shared" si="9"/>
        <v/>
      </c>
      <c r="AU36" s="143">
        <f t="shared" si="10"/>
        <v>0</v>
      </c>
      <c r="AV36" s="144" t="str">
        <f t="shared" si="11"/>
        <v/>
      </c>
      <c r="AW36" s="143" t="b">
        <f t="shared" si="12"/>
        <v>0</v>
      </c>
      <c r="AX36" s="145" t="b">
        <f t="shared" si="13"/>
        <v>0</v>
      </c>
      <c r="AY36" s="143" t="b">
        <f t="shared" si="14"/>
        <v>0</v>
      </c>
      <c r="AZ36" s="145" t="b">
        <f t="shared" si="15"/>
        <v>0</v>
      </c>
      <c r="BA36" s="453" t="b">
        <f t="shared" si="16"/>
        <v>0</v>
      </c>
      <c r="BB36" s="453" t="b">
        <f t="shared" si="17"/>
        <v>0</v>
      </c>
      <c r="BC36" s="143" t="b">
        <f t="shared" si="18"/>
        <v>0</v>
      </c>
      <c r="BD36" s="146" t="b">
        <f t="shared" si="31"/>
        <v>0</v>
      </c>
      <c r="BE36" s="145" t="b">
        <f t="shared" si="37"/>
        <v>0</v>
      </c>
      <c r="BF36" s="147" t="b">
        <f t="shared" si="39"/>
        <v>0</v>
      </c>
      <c r="BG36" s="453" t="str">
        <f t="shared" si="38"/>
        <v>NA</v>
      </c>
      <c r="BH36" s="453" t="str">
        <f t="shared" si="32"/>
        <v/>
      </c>
      <c r="BI36" s="453" t="str">
        <f t="shared" si="22"/>
        <v/>
      </c>
      <c r="BJ36" s="453" t="str">
        <f t="shared" si="23"/>
        <v/>
      </c>
      <c r="BK36" s="453" t="str">
        <f t="shared" si="24"/>
        <v/>
      </c>
      <c r="BL36" s="148" t="str">
        <f t="shared" si="33"/>
        <v/>
      </c>
      <c r="BM36" s="453" t="str">
        <f t="shared" si="25"/>
        <v/>
      </c>
      <c r="BN36" s="453" t="str">
        <f t="shared" si="26"/>
        <v/>
      </c>
      <c r="BO36" s="1026"/>
      <c r="BP36" s="1027"/>
      <c r="BQ36" s="1027"/>
      <c r="BR36" s="1027"/>
      <c r="BS36" s="1027"/>
      <c r="BT36" s="1027"/>
      <c r="BU36" s="1028"/>
    </row>
    <row r="37" spans="2:73" s="94" customFormat="1" ht="12.95" customHeight="1" x14ac:dyDescent="0.2">
      <c r="B37" s="151" t="str">
        <f>IF(ISNA(Z37),"",IF(OR(Z37=1,Z37=2),"    ",MAX($B$8:B36)+1))</f>
        <v/>
      </c>
      <c r="C37" s="904" t="str">
        <f>IF(ISNA(Z37),"",CONCATENATE($U37,IF(ISNUMBER(AI37),TEXT(ROUND($AI37,3)," (0.0%)"),""),IF(AU37&gt;0," Bonus","")))</f>
        <v/>
      </c>
      <c r="D37" s="904"/>
      <c r="E37" s="904"/>
      <c r="F37" s="905"/>
      <c r="G37" s="133" t="str">
        <f t="shared" si="1"/>
        <v/>
      </c>
      <c r="H37" s="134" t="str">
        <f t="shared" si="2"/>
        <v/>
      </c>
      <c r="I37" s="152" t="str">
        <f t="shared" si="2"/>
        <v/>
      </c>
      <c r="J37" s="158"/>
      <c r="K37" s="159"/>
      <c r="L37" s="1015"/>
      <c r="M37" s="1016"/>
      <c r="N37" s="1016"/>
      <c r="O37" s="1016"/>
      <c r="P37" s="1016"/>
      <c r="Q37" s="1016"/>
      <c r="R37" s="1017"/>
      <c r="T37" s="99">
        <v>30</v>
      </c>
      <c r="U37" s="88" t="e">
        <v>#N/A</v>
      </c>
      <c r="V37" s="453" t="e">
        <v>#N/A</v>
      </c>
      <c r="W37" s="453" t="e">
        <v>#N/A</v>
      </c>
      <c r="X37" s="453" t="e">
        <v>#N/A</v>
      </c>
      <c r="Y37" s="453" t="e">
        <v>#N/A</v>
      </c>
      <c r="Z37" s="146" t="e">
        <v>#N/A</v>
      </c>
      <c r="AA37" s="146" t="e">
        <v>#N/A</v>
      </c>
      <c r="AB37" s="146" t="e">
        <v>#N/A</v>
      </c>
      <c r="AC37" s="453" t="e">
        <v>#N/A</v>
      </c>
      <c r="AD37" s="453" t="e">
        <v>#N/A</v>
      </c>
      <c r="AE37" s="453" t="e">
        <v>#N/A</v>
      </c>
      <c r="AF37" s="453" t="e">
        <v>#N/A</v>
      </c>
      <c r="AG37" s="453" t="e">
        <f t="shared" si="3"/>
        <v>#N/A</v>
      </c>
      <c r="AH37" s="453" t="str">
        <f t="shared" si="4"/>
        <v/>
      </c>
      <c r="AI37" s="138" t="e">
        <f>IF(NOT(OR(Z37=1,Z37=2)),IF(AQ37&gt;0,$AR$44*AQ37/SUMIF($AQ$8:$AQ$39,"&gt;0"),IF(AU37&gt;0,$AV$44*AU37/SUMIF($AU$8:$AU$39,"&gt;0"),IF(AS37&gt;0,$AT$44*AS37/SUMIF($AS$8:$AS$39,"&gt;0"),""))),IF(SUMIF(AJ38:$AJ$39,"=" &amp; AJ37,AI38:$AI$39)=0,"",SUMIF(AJ38:$AJ$39,"=" &amp; AJ37,AI38:$AI$39)))</f>
        <v>#N/A</v>
      </c>
      <c r="AJ37" s="139" t="e">
        <f t="shared" si="34"/>
        <v>#N/A</v>
      </c>
      <c r="AK37" s="453" t="str">
        <f t="shared" si="27"/>
        <v/>
      </c>
      <c r="AL37" s="146" t="str">
        <f t="shared" si="28"/>
        <v/>
      </c>
      <c r="AM37" s="146" t="str">
        <f t="shared" si="35"/>
        <v/>
      </c>
      <c r="AN37" s="146" t="str">
        <f>IF(ISNUMBER(AH37),IF(AND(AB37=0,ISNUMBER(AC37),ISNUMBER(AL37)),1,""),"")</f>
        <v/>
      </c>
      <c r="AO37" s="146" t="e">
        <f t="shared" si="6"/>
        <v>#N/A</v>
      </c>
      <c r="AP37" s="453" t="str">
        <f t="shared" si="7"/>
        <v/>
      </c>
      <c r="AQ37" s="140">
        <f t="shared" si="29"/>
        <v>0</v>
      </c>
      <c r="AR37" s="141" t="str">
        <f t="shared" si="8"/>
        <v/>
      </c>
      <c r="AS37" s="142">
        <f t="shared" si="30"/>
        <v>0</v>
      </c>
      <c r="AT37" s="141" t="str">
        <f t="shared" si="9"/>
        <v/>
      </c>
      <c r="AU37" s="143">
        <f t="shared" si="10"/>
        <v>0</v>
      </c>
      <c r="AV37" s="144" t="str">
        <f t="shared" si="11"/>
        <v/>
      </c>
      <c r="AW37" s="143" t="b">
        <f t="shared" si="12"/>
        <v>0</v>
      </c>
      <c r="AX37" s="145" t="b">
        <f t="shared" si="13"/>
        <v>0</v>
      </c>
      <c r="AY37" s="143" t="b">
        <f t="shared" si="14"/>
        <v>0</v>
      </c>
      <c r="AZ37" s="145" t="b">
        <f t="shared" si="15"/>
        <v>0</v>
      </c>
      <c r="BA37" s="453" t="b">
        <f t="shared" si="16"/>
        <v>0</v>
      </c>
      <c r="BB37" s="453" t="b">
        <f t="shared" si="17"/>
        <v>0</v>
      </c>
      <c r="BC37" s="143" t="b">
        <f t="shared" si="18"/>
        <v>0</v>
      </c>
      <c r="BD37" s="146" t="b">
        <f t="shared" si="31"/>
        <v>0</v>
      </c>
      <c r="BE37" s="145" t="b">
        <f t="shared" si="37"/>
        <v>0</v>
      </c>
      <c r="BF37" s="147" t="b">
        <f t="shared" si="39"/>
        <v>0</v>
      </c>
      <c r="BG37" s="453" t="str">
        <f t="shared" si="38"/>
        <v>NA</v>
      </c>
      <c r="BH37" s="453" t="str">
        <f t="shared" si="32"/>
        <v/>
      </c>
      <c r="BI37" s="453" t="str">
        <f t="shared" si="22"/>
        <v/>
      </c>
      <c r="BJ37" s="453" t="str">
        <f t="shared" si="23"/>
        <v/>
      </c>
      <c r="BK37" s="453" t="str">
        <f t="shared" si="24"/>
        <v/>
      </c>
      <c r="BL37" s="148" t="str">
        <f t="shared" si="33"/>
        <v/>
      </c>
      <c r="BM37" s="453" t="str">
        <f t="shared" si="25"/>
        <v/>
      </c>
      <c r="BN37" s="453" t="str">
        <f t="shared" si="26"/>
        <v/>
      </c>
      <c r="BO37" s="1029"/>
      <c r="BP37" s="1030"/>
      <c r="BQ37" s="1030"/>
      <c r="BR37" s="1030"/>
      <c r="BS37" s="1030"/>
      <c r="BT37" s="1030"/>
      <c r="BU37" s="1031"/>
    </row>
    <row r="38" spans="2:73" s="94" customFormat="1" ht="12.95" customHeight="1" x14ac:dyDescent="0.2">
      <c r="B38" s="151" t="str">
        <f>IF(ISNA(Z38),"",IF(OR(Z38=1,Z38=2),"    ",MAX($B$8:B37)+1))</f>
        <v/>
      </c>
      <c r="C38" s="904" t="str">
        <f t="shared" ref="C38:C39" si="40">IF(ISNA(Z38),"",CONCATENATE($U38,IF(ISNUMBER(AI38),TEXT(ROUND($AI38,3)," (0.0%)"),""),IF(AU38&gt;0," Bonus","")))</f>
        <v/>
      </c>
      <c r="D38" s="904"/>
      <c r="E38" s="904"/>
      <c r="F38" s="905"/>
      <c r="G38" s="133" t="str">
        <f t="shared" si="1"/>
        <v/>
      </c>
      <c r="H38" s="134" t="str">
        <f t="shared" si="2"/>
        <v/>
      </c>
      <c r="I38" s="152" t="str">
        <f t="shared" si="2"/>
        <v/>
      </c>
      <c r="J38" s="158"/>
      <c r="K38" s="159"/>
      <c r="L38" s="1015"/>
      <c r="M38" s="1016"/>
      <c r="N38" s="1016"/>
      <c r="O38" s="1016"/>
      <c r="P38" s="1016"/>
      <c r="Q38" s="1016"/>
      <c r="R38" s="1017"/>
      <c r="T38" s="99">
        <v>31</v>
      </c>
      <c r="U38" s="88" t="e">
        <v>#N/A</v>
      </c>
      <c r="V38" s="453" t="e">
        <v>#N/A</v>
      </c>
      <c r="W38" s="453" t="e">
        <v>#N/A</v>
      </c>
      <c r="X38" s="453" t="e">
        <v>#N/A</v>
      </c>
      <c r="Y38" s="453" t="e">
        <v>#N/A</v>
      </c>
      <c r="Z38" s="146" t="e">
        <v>#N/A</v>
      </c>
      <c r="AA38" s="146" t="e">
        <v>#N/A</v>
      </c>
      <c r="AB38" s="146" t="e">
        <v>#N/A</v>
      </c>
      <c r="AC38" s="453" t="e">
        <v>#N/A</v>
      </c>
      <c r="AD38" s="453" t="e">
        <v>#N/A</v>
      </c>
      <c r="AE38" s="453" t="e">
        <v>#N/A</v>
      </c>
      <c r="AF38" s="453" t="e">
        <v>#N/A</v>
      </c>
      <c r="AG38" s="453" t="e">
        <f t="shared" si="3"/>
        <v>#N/A</v>
      </c>
      <c r="AH38" s="453" t="str">
        <f t="shared" si="4"/>
        <v/>
      </c>
      <c r="AI38" s="138" t="e">
        <f>IF(NOT(OR(Z38=1,Z38=2)),IF(AQ38&gt;0,$AR$44*AQ38/SUMIF($AQ$8:$AQ$39,"&gt;0"),IF(AU38&gt;0,$AV$44*AU38/SUMIF($AU$8:$AU$39,"&gt;0"),IF(AS38&gt;0,$AT$44*AS38/SUMIF($AS$8:$AS$39,"&gt;0"),""))),IF(SUMIF(AJ39:$AJ$39,"=" &amp; AJ38,AI39:$AI$39)=0,"",SUMIF(AJ39:$AJ$39,"=" &amp; AJ38,AI39:$AI$39)))</f>
        <v>#N/A</v>
      </c>
      <c r="AJ38" s="139" t="e">
        <f t="shared" si="34"/>
        <v>#N/A</v>
      </c>
      <c r="AK38" s="453" t="str">
        <f t="shared" si="27"/>
        <v/>
      </c>
      <c r="AL38" s="146" t="str">
        <f t="shared" si="28"/>
        <v/>
      </c>
      <c r="AM38" s="146" t="str">
        <f t="shared" si="35"/>
        <v/>
      </c>
      <c r="AN38" s="146" t="str">
        <f>IF(ISNUMBER(AH38),IF(AND(AB38=0,ISNUMBER(AC38),ISNUMBER(AL38)),1,""),"")</f>
        <v/>
      </c>
      <c r="AO38" s="146" t="e">
        <f t="shared" si="6"/>
        <v>#N/A</v>
      </c>
      <c r="AP38" s="453" t="str">
        <f t="shared" si="7"/>
        <v/>
      </c>
      <c r="AQ38" s="140">
        <f t="shared" si="29"/>
        <v>0</v>
      </c>
      <c r="AR38" s="141" t="str">
        <f t="shared" si="8"/>
        <v/>
      </c>
      <c r="AS38" s="142">
        <f t="shared" si="30"/>
        <v>0</v>
      </c>
      <c r="AT38" s="141" t="str">
        <f t="shared" si="9"/>
        <v/>
      </c>
      <c r="AU38" s="143">
        <f t="shared" si="10"/>
        <v>0</v>
      </c>
      <c r="AV38" s="144" t="str">
        <f t="shared" si="11"/>
        <v/>
      </c>
      <c r="AW38" s="143" t="b">
        <f t="shared" si="12"/>
        <v>0</v>
      </c>
      <c r="AX38" s="145" t="b">
        <f t="shared" si="13"/>
        <v>0</v>
      </c>
      <c r="AY38" s="143" t="b">
        <f t="shared" si="14"/>
        <v>0</v>
      </c>
      <c r="AZ38" s="145" t="b">
        <f t="shared" si="15"/>
        <v>0</v>
      </c>
      <c r="BA38" s="453" t="b">
        <f t="shared" si="16"/>
        <v>0</v>
      </c>
      <c r="BB38" s="453" t="b">
        <f t="shared" si="17"/>
        <v>0</v>
      </c>
      <c r="BC38" s="143" t="b">
        <f t="shared" si="18"/>
        <v>0</v>
      </c>
      <c r="BD38" s="146" t="b">
        <f t="shared" si="31"/>
        <v>0</v>
      </c>
      <c r="BE38" s="145" t="b">
        <f t="shared" si="37"/>
        <v>0</v>
      </c>
      <c r="BF38" s="147" t="b">
        <f t="shared" si="39"/>
        <v>0</v>
      </c>
      <c r="BG38" s="453" t="str">
        <f t="shared" si="38"/>
        <v>NA</v>
      </c>
      <c r="BH38" s="453" t="str">
        <f t="shared" si="32"/>
        <v/>
      </c>
      <c r="BI38" s="453" t="str">
        <f t="shared" si="22"/>
        <v/>
      </c>
      <c r="BJ38" s="453" t="str">
        <f t="shared" si="23"/>
        <v/>
      </c>
      <c r="BK38" s="453" t="str">
        <f t="shared" si="24"/>
        <v/>
      </c>
      <c r="BL38" s="148" t="str">
        <f t="shared" si="33"/>
        <v/>
      </c>
      <c r="BM38" s="453" t="str">
        <f t="shared" si="25"/>
        <v/>
      </c>
      <c r="BN38" s="453" t="str">
        <f t="shared" si="26"/>
        <v/>
      </c>
      <c r="BO38" s="150" t="s">
        <v>373</v>
      </c>
      <c r="BP38" s="150"/>
      <c r="BQ38" s="150"/>
      <c r="BR38" s="150"/>
      <c r="BS38" s="150"/>
      <c r="BT38" s="150"/>
      <c r="BU38" s="150"/>
    </row>
    <row r="39" spans="2:73" s="94" customFormat="1" ht="12.95" customHeight="1" thickBot="1" x14ac:dyDescent="0.25">
      <c r="B39" s="151" t="str">
        <f>IF(ISNA(Z39),"",IF(OR(Z39=1,Z39=2),"    ",MAX($B$8:B38)+1))</f>
        <v/>
      </c>
      <c r="C39" s="904" t="str">
        <f t="shared" si="40"/>
        <v/>
      </c>
      <c r="D39" s="904"/>
      <c r="E39" s="904"/>
      <c r="F39" s="905"/>
      <c r="G39" s="171" t="str">
        <f t="shared" si="1"/>
        <v/>
      </c>
      <c r="H39" s="134" t="str">
        <f t="shared" si="2"/>
        <v/>
      </c>
      <c r="I39" s="172" t="str">
        <f t="shared" si="2"/>
        <v/>
      </c>
      <c r="J39" s="173"/>
      <c r="K39" s="174"/>
      <c r="L39" s="1018"/>
      <c r="M39" s="1019"/>
      <c r="N39" s="1019"/>
      <c r="O39" s="1019"/>
      <c r="P39" s="1019"/>
      <c r="Q39" s="1019"/>
      <c r="R39" s="1020"/>
      <c r="T39" s="99">
        <v>32</v>
      </c>
      <c r="U39" s="88" t="e">
        <v>#N/A</v>
      </c>
      <c r="V39" s="453" t="e">
        <v>#N/A</v>
      </c>
      <c r="W39" s="453" t="e">
        <v>#N/A</v>
      </c>
      <c r="X39" s="453" t="e">
        <v>#N/A</v>
      </c>
      <c r="Y39" s="453" t="e">
        <v>#N/A</v>
      </c>
      <c r="Z39" s="146" t="e">
        <v>#N/A</v>
      </c>
      <c r="AA39" s="146" t="e">
        <v>#N/A</v>
      </c>
      <c r="AB39" s="146" t="e">
        <v>#N/A</v>
      </c>
      <c r="AC39" s="453" t="e">
        <v>#N/A</v>
      </c>
      <c r="AD39" s="453" t="e">
        <v>#N/A</v>
      </c>
      <c r="AE39" s="453" t="e">
        <v>#N/A</v>
      </c>
      <c r="AF39" s="453" t="e">
        <v>#N/A</v>
      </c>
      <c r="AG39" s="453" t="e">
        <f t="shared" si="3"/>
        <v>#N/A</v>
      </c>
      <c r="AH39" s="453" t="str">
        <f t="shared" si="4"/>
        <v/>
      </c>
      <c r="AI39" s="138" t="e">
        <f>IF(NOT(OR(Z39=1,Z39=2)),IF(AQ39&gt;0,$AR$44*AQ39/SUMIF($AQ$8:$AQ$39,"&gt;0"),IF(AU39&gt;0,$AV$44*AU39/SUMIF($AU$8:$AU$39,"&gt;0"),IF(AS39&gt;0,$AT$44*AS39/SUMIF($AS$8:$AS$39,"&gt;0"),""))),IF(SUMIF(AJ$39:$AJ40,"=" &amp; AJ39,AI$39:$AI40)=0,"",SUMIF(AJ$39:$AJ40,"=" &amp; AJ39,AI$39:$AI40)))</f>
        <v>#N/A</v>
      </c>
      <c r="AJ39" s="139" t="e">
        <f t="shared" si="34"/>
        <v>#N/A</v>
      </c>
      <c r="AK39" s="453" t="str">
        <f t="shared" si="27"/>
        <v/>
      </c>
      <c r="AL39" s="146" t="str">
        <f t="shared" si="28"/>
        <v/>
      </c>
      <c r="AM39" s="146" t="str">
        <f t="shared" si="35"/>
        <v/>
      </c>
      <c r="AN39" s="146" t="str">
        <f>IF(ISNUMBER(AH39),IF(AND(AB39=0,ISNUMBER(AC39),ISNUMBER(AL39)),1,""),"")</f>
        <v/>
      </c>
      <c r="AO39" s="146" t="e">
        <f t="shared" si="6"/>
        <v>#N/A</v>
      </c>
      <c r="AP39" s="453" t="str">
        <f t="shared" si="7"/>
        <v/>
      </c>
      <c r="AQ39" s="140">
        <f t="shared" si="29"/>
        <v>0</v>
      </c>
      <c r="AR39" s="141" t="str">
        <f t="shared" si="8"/>
        <v/>
      </c>
      <c r="AS39" s="142">
        <f t="shared" si="30"/>
        <v>0</v>
      </c>
      <c r="AT39" s="141" t="str">
        <f t="shared" si="9"/>
        <v/>
      </c>
      <c r="AU39" s="143">
        <f t="shared" si="10"/>
        <v>0</v>
      </c>
      <c r="AV39" s="144" t="str">
        <f t="shared" si="11"/>
        <v/>
      </c>
      <c r="AW39" s="143" t="b">
        <f t="shared" si="12"/>
        <v>0</v>
      </c>
      <c r="AX39" s="145" t="b">
        <f t="shared" si="13"/>
        <v>0</v>
      </c>
      <c r="AY39" s="143" t="b">
        <f t="shared" si="14"/>
        <v>0</v>
      </c>
      <c r="AZ39" s="145" t="b">
        <f t="shared" si="15"/>
        <v>0</v>
      </c>
      <c r="BA39" s="453" t="b">
        <f t="shared" si="16"/>
        <v>0</v>
      </c>
      <c r="BB39" s="453" t="b">
        <f t="shared" si="17"/>
        <v>0</v>
      </c>
      <c r="BC39" s="143" t="b">
        <f t="shared" si="18"/>
        <v>0</v>
      </c>
      <c r="BD39" s="146" t="b">
        <f t="shared" si="31"/>
        <v>0</v>
      </c>
      <c r="BE39" s="145" t="b">
        <f t="shared" si="37"/>
        <v>0</v>
      </c>
      <c r="BF39" s="147" t="b">
        <f t="shared" si="39"/>
        <v>0</v>
      </c>
      <c r="BG39" s="453" t="str">
        <f t="shared" si="38"/>
        <v>NA</v>
      </c>
      <c r="BH39" s="453" t="str">
        <f t="shared" si="32"/>
        <v/>
      </c>
      <c r="BI39" s="453" t="str">
        <f t="shared" si="22"/>
        <v/>
      </c>
      <c r="BJ39" s="453" t="str">
        <f t="shared" si="23"/>
        <v/>
      </c>
      <c r="BK39" s="453" t="str">
        <f t="shared" si="24"/>
        <v/>
      </c>
      <c r="BL39" s="453" t="str">
        <f t="shared" si="33"/>
        <v/>
      </c>
      <c r="BM39" s="453" t="str">
        <f t="shared" si="25"/>
        <v/>
      </c>
      <c r="BN39" s="453" t="str">
        <f t="shared" si="26"/>
        <v/>
      </c>
      <c r="BO39" s="1023"/>
      <c r="BP39" s="1024"/>
      <c r="BQ39" s="1024"/>
      <c r="BR39" s="1024"/>
      <c r="BS39" s="1024"/>
      <c r="BT39" s="1024"/>
      <c r="BU39" s="1025"/>
    </row>
    <row r="40" spans="2:73" s="91" customFormat="1" ht="8.25" customHeight="1" x14ac:dyDescent="0.2">
      <c r="B40" s="915" t="s">
        <v>374</v>
      </c>
      <c r="C40" s="916"/>
      <c r="D40" s="917"/>
      <c r="E40" s="452" t="s">
        <v>375</v>
      </c>
      <c r="F40" s="918" t="s">
        <v>376</v>
      </c>
      <c r="G40" s="919"/>
      <c r="H40" s="919" t="s">
        <v>377</v>
      </c>
      <c r="I40" s="919"/>
      <c r="J40" s="920" t="s">
        <v>378</v>
      </c>
      <c r="K40" s="921"/>
      <c r="L40" s="175" t="s">
        <v>379</v>
      </c>
      <c r="M40" s="922" t="s">
        <v>380</v>
      </c>
      <c r="N40" s="922"/>
      <c r="O40" s="923" t="str">
        <f>IF(U44,"DO REVIEW","DO REV N/A")</f>
        <v>DO REVIEW</v>
      </c>
      <c r="P40" s="924"/>
      <c r="Q40" s="176" t="str">
        <f>IF(U45,"ED REVIEW","ED REV N/A")</f>
        <v>ED REVIEW</v>
      </c>
      <c r="R40" s="177"/>
      <c r="S40" s="178">
        <v>0</v>
      </c>
      <c r="AI40" s="179"/>
      <c r="AJ40" s="92"/>
      <c r="AK40" s="92"/>
      <c r="AL40" s="92"/>
      <c r="AM40" s="92"/>
      <c r="AN40" s="92"/>
      <c r="AO40" s="88"/>
      <c r="AP40" s="92"/>
      <c r="AQ40" s="180"/>
      <c r="AR40" s="92"/>
      <c r="AS40" s="180"/>
      <c r="AT40" s="92"/>
      <c r="AU40" s="180"/>
      <c r="AV40" s="181"/>
      <c r="AW40" s="92"/>
      <c r="AX40" s="92"/>
      <c r="AY40" s="92"/>
      <c r="AZ40" s="92"/>
      <c r="BA40" s="92"/>
      <c r="BB40" s="92"/>
      <c r="BC40" s="92"/>
      <c r="BD40" s="92"/>
      <c r="BE40" s="92"/>
      <c r="BF40" s="92"/>
      <c r="BG40" s="92"/>
      <c r="BH40" s="88"/>
      <c r="BI40" s="88"/>
      <c r="BJ40" s="88"/>
      <c r="BK40" s="88"/>
      <c r="BL40" s="88"/>
      <c r="BM40" s="88"/>
      <c r="BN40" s="88"/>
      <c r="BO40" s="1026"/>
      <c r="BP40" s="1027"/>
      <c r="BQ40" s="1027"/>
      <c r="BR40" s="1027"/>
      <c r="BS40" s="1027"/>
      <c r="BT40" s="1027"/>
      <c r="BU40" s="1028"/>
    </row>
    <row r="41" spans="2:73" ht="18.75" customHeight="1" thickBot="1" x14ac:dyDescent="0.25">
      <c r="B41" s="925" t="str">
        <f>IF(ISERROR(AR46),"",TEXT(AR45,"0.0%"))</f>
        <v>0.0%</v>
      </c>
      <c r="C41" s="926"/>
      <c r="D41" s="927"/>
      <c r="E41" s="182" t="str">
        <f>IF(AU41=0,"N/A",CONCATENATE(TEXT(AV45,"0.0%")," of ",TEXT(AV44,"0.0%")))</f>
        <v>N/A</v>
      </c>
      <c r="F41" s="929" t="str">
        <f>IF((graded_aca_events+graded_amn_events)&lt;1,"---",IF(AND(AW4,AX4),"INCOMPLETE",IF(AND(NOT(AW4),AX4),"ACA INC",IF(AND(AW4,NOT(AX4)),"AMN INC","COMPLETE"))))</f>
        <v>---</v>
      </c>
      <c r="G41" s="929"/>
      <c r="H41" s="929" t="str">
        <f>IF(AU4,IF(OR(AY4="UNK",NOT(AN6)),"---",IF(AY4,"UNSAT",IF(AVERAGEIFS(AT8:AT39,AS8:AS39,"&gt;0")&lt;0.9,"MARG","SAT"))),"N/A")</f>
        <v>---</v>
      </c>
      <c r="I41" s="929"/>
      <c r="J41" s="930" t="str">
        <f>IF(OR(AZ4="UNK",NOT(AM6)),"---",IF(OR(AZ4,AR45&lt;0.7),"FAIL","PASS"))</f>
        <v>---</v>
      </c>
      <c r="K41" s="931"/>
      <c r="L41" s="430"/>
      <c r="M41" s="932"/>
      <c r="N41" s="932"/>
      <c r="O41" s="1021" t="s">
        <v>265</v>
      </c>
      <c r="P41" s="1021"/>
      <c r="Q41" s="1021" t="s">
        <v>265</v>
      </c>
      <c r="R41" s="1022"/>
      <c r="S41" s="183"/>
      <c r="T41" s="99" t="s">
        <v>381</v>
      </c>
      <c r="U41" s="146" t="s">
        <v>382</v>
      </c>
      <c r="V41" s="184"/>
      <c r="W41" s="184"/>
      <c r="X41" s="184"/>
      <c r="Y41" s="184"/>
      <c r="Z41" s="184"/>
      <c r="AA41" s="184"/>
      <c r="AB41" s="184"/>
      <c r="AC41" s="184"/>
      <c r="AD41" s="184"/>
      <c r="AE41" s="184"/>
      <c r="AF41" s="184"/>
      <c r="AG41" s="184"/>
      <c r="AH41" s="184"/>
      <c r="AI41" s="86"/>
      <c r="AJ41" s="85"/>
      <c r="AK41" s="184"/>
      <c r="AL41" s="184"/>
      <c r="AM41" s="184">
        <f>SUM(AM8:AM39)</f>
        <v>0</v>
      </c>
      <c r="AN41" s="184">
        <f>SUM(AN8:AN39)</f>
        <v>0</v>
      </c>
      <c r="AO41" s="99"/>
      <c r="AP41" s="85"/>
      <c r="AQ41" s="185">
        <f>SUMIF(AQ8:AQ39,"&gt;0")</f>
        <v>84</v>
      </c>
      <c r="AR41" s="186">
        <f>IF(AQ41=0,0,SUMPRODUCT($AQ$8:$AQ$39,AR8:AR39)/SUM($AQ$8:$AQ$39))</f>
        <v>0</v>
      </c>
      <c r="AS41" s="187">
        <f>SUMIF(AS8:AS39,"&gt;0")</f>
        <v>15</v>
      </c>
      <c r="AT41" s="186">
        <f>IF(AS41=0,0,SUMPRODUCT($AS$8:$AS$39,AT8:AT39)/SUM($AS$8:$AS$39))</f>
        <v>0</v>
      </c>
      <c r="AU41" s="187">
        <f>SUM(AU9:AU39)</f>
        <v>0</v>
      </c>
      <c r="AV41" s="186">
        <f>IF(AU41=0,0,SUMPRODUCT($AU$8:$AU$39,AV8:AV39)/SUM($AU$8:$AU$39))</f>
        <v>0</v>
      </c>
      <c r="AW41" s="188"/>
      <c r="AX41" s="188"/>
      <c r="AY41" s="188"/>
      <c r="AZ41" s="188"/>
      <c r="BA41" s="188"/>
      <c r="BB41" s="188"/>
      <c r="BC41" s="88" t="s">
        <v>383</v>
      </c>
      <c r="BD41" s="88" t="s">
        <v>384</v>
      </c>
      <c r="BE41" s="88" t="s">
        <v>385</v>
      </c>
      <c r="BO41" s="1026"/>
      <c r="BP41" s="1027"/>
      <c r="BQ41" s="1027"/>
      <c r="BR41" s="1027"/>
      <c r="BS41" s="1027"/>
      <c r="BT41" s="1027"/>
      <c r="BU41" s="1028"/>
    </row>
    <row r="42" spans="2:73" ht="7.5" customHeight="1" thickTop="1" x14ac:dyDescent="0.2">
      <c r="L42" s="928" t="s">
        <v>720</v>
      </c>
      <c r="M42" s="928"/>
      <c r="N42" s="928"/>
      <c r="O42" s="928"/>
      <c r="P42" s="928"/>
      <c r="Q42" s="928"/>
      <c r="R42" s="928"/>
      <c r="AP42" s="184"/>
      <c r="AQ42" s="85"/>
      <c r="AR42" s="85"/>
      <c r="AT42" s="186"/>
      <c r="AU42" s="186"/>
      <c r="AV42" s="186"/>
      <c r="AW42" s="85"/>
      <c r="AX42" s="186"/>
      <c r="BO42" s="1029"/>
      <c r="BP42" s="1030"/>
      <c r="BQ42" s="1030"/>
      <c r="BR42" s="1030"/>
      <c r="BS42" s="1030"/>
      <c r="BT42" s="1030"/>
      <c r="BU42" s="1031"/>
    </row>
    <row r="43" spans="2:73" ht="30.75" customHeight="1" x14ac:dyDescent="0.2">
      <c r="T43" s="189" t="s">
        <v>386</v>
      </c>
      <c r="U43" s="146" t="b">
        <v>0</v>
      </c>
      <c r="AI43" s="89">
        <f ca="1">SUMIF(AJ8:$AJ$39,"=" &amp; AJ8,AI9:$AI$39)</f>
        <v>0.16</v>
      </c>
      <c r="AO43" s="190"/>
      <c r="AS43" s="118" t="s">
        <v>387</v>
      </c>
      <c r="AT43" s="191">
        <f>SUMIF(X8:X39,"&gt;0")/SUMIF(W8:W39,"&gt;0")</f>
        <v>0.17857142857142858</v>
      </c>
      <c r="AU43" s="118" t="s">
        <v>388</v>
      </c>
      <c r="AV43" s="192">
        <f>SUMIF(AU8:AU39,"&gt;0")/SUMIF(AQ8:AQ39,"&gt;0")</f>
        <v>0</v>
      </c>
      <c r="AW43" s="193"/>
      <c r="BE43" s="88" t="b">
        <f>AND(ISBLANK($K30),J30&gt;0)</f>
        <v>0</v>
      </c>
      <c r="BO43" s="88"/>
      <c r="BP43" s="88"/>
      <c r="BQ43" s="90"/>
    </row>
    <row r="44" spans="2:73" ht="30.75" customHeight="1" x14ac:dyDescent="0.2">
      <c r="J44" s="194"/>
      <c r="T44" s="195" t="s">
        <v>389</v>
      </c>
      <c r="U44" s="88" t="b">
        <f>IF(AND(Flight?,OR(AW4,AY4,BA4,AZ4,AR45&lt;0.7,H41="MARG")),TRUE,FALSE)</f>
        <v>1</v>
      </c>
      <c r="AO44" s="196"/>
      <c r="AQ44" s="118" t="s">
        <v>390</v>
      </c>
      <c r="AR44" s="191">
        <f>1-AT44</f>
        <v>0.84</v>
      </c>
      <c r="AS44" s="118" t="s">
        <v>391</v>
      </c>
      <c r="AT44" s="191">
        <f>MIN(AT43,AT6)</f>
        <v>0.16</v>
      </c>
      <c r="AU44" s="118" t="s">
        <v>392</v>
      </c>
      <c r="AV44" s="89">
        <f>MIN(AV43,AV6)</f>
        <v>0</v>
      </c>
      <c r="BO44" s="88"/>
      <c r="BP44" s="88"/>
      <c r="BQ44" s="90"/>
    </row>
    <row r="45" spans="2:73" ht="25.5" x14ac:dyDescent="0.2">
      <c r="T45" s="195" t="s">
        <v>393</v>
      </c>
      <c r="U45" s="88" t="b">
        <f>IF(OR(AX4,AY4,AZ4,BB4,AR45&lt;0.7),TRUE,FALSE)</f>
        <v>1</v>
      </c>
      <c r="AO45" s="197"/>
      <c r="AQ45" s="118" t="s">
        <v>394</v>
      </c>
      <c r="AR45" s="89">
        <f>AR41*(1-AT44)+(AT41*AT44)</f>
        <v>0</v>
      </c>
      <c r="AU45" s="88" t="s">
        <v>324</v>
      </c>
      <c r="AV45" s="89">
        <f>AV41*AV44</f>
        <v>0</v>
      </c>
      <c r="BO45" s="88"/>
      <c r="BP45" s="88"/>
      <c r="BQ45" s="90"/>
    </row>
    <row r="46" spans="2:73" ht="25.5" x14ac:dyDescent="0.2">
      <c r="T46" s="195" t="s">
        <v>395</v>
      </c>
      <c r="U46" s="88" t="b">
        <v>0</v>
      </c>
      <c r="AO46" s="197"/>
      <c r="AQ46" s="118" t="s">
        <v>396</v>
      </c>
      <c r="AR46" s="89">
        <f>MIN(1,IF(NOT(OR(AY4,AZ4)),AR45+AV45,MIN(0.69,AR45+AV45)))</f>
        <v>0</v>
      </c>
      <c r="BO46" s="88"/>
      <c r="BP46" s="88"/>
      <c r="BQ46" s="90"/>
    </row>
    <row r="47" spans="2:73" x14ac:dyDescent="0.2">
      <c r="T47" s="195" t="s">
        <v>397</v>
      </c>
      <c r="U47" s="88" t="b">
        <f>IF(NOT(Flight?),TRUE,NOT(OR(ISBLANK(comments),ISBLANK(hdr_class),ISBLANK(hdr_date),ISBLANK(hdr_stud),ISBLANK(hdr_instr),ISBLANK(hdr_acft),ISBLANK(hdr_time),F41="---")))</f>
        <v>0</v>
      </c>
      <c r="AO47" s="197"/>
      <c r="AR47" s="118"/>
      <c r="AS47" s="89"/>
    </row>
    <row r="48" spans="2:73" x14ac:dyDescent="0.2">
      <c r="T48" s="195" t="s">
        <v>398</v>
      </c>
      <c r="U48" s="88" t="b">
        <f>IF(Flight?,TRUE,NOT(OR(ISBLANK(comments),ISBLANK(hdr_class),ISBLANK(hdr_date),ISBLANK(hdr_stud),ISBLANK(hdr_instr),F41="---")))</f>
        <v>1</v>
      </c>
      <c r="AO48" s="196"/>
      <c r="AP48" s="85" t="s">
        <v>399</v>
      </c>
      <c r="AQ48" s="85"/>
      <c r="AR48" s="85"/>
      <c r="AS48" s="85"/>
      <c r="AT48" s="85"/>
    </row>
    <row r="49" spans="20:50" x14ac:dyDescent="0.2">
      <c r="T49" s="195" t="s">
        <v>400</v>
      </c>
      <c r="U49" s="88" t="b">
        <f>AND(U47:U48)</f>
        <v>0</v>
      </c>
      <c r="AO49" s="196"/>
      <c r="AP49" s="85"/>
      <c r="AQ49" s="85"/>
      <c r="AR49" s="85">
        <v>0</v>
      </c>
      <c r="AS49" s="85">
        <v>1</v>
      </c>
      <c r="AT49" s="85">
        <v>2</v>
      </c>
      <c r="AU49" s="85">
        <v>3</v>
      </c>
      <c r="AV49" s="85">
        <v>4</v>
      </c>
    </row>
    <row r="50" spans="20:50" x14ac:dyDescent="0.2">
      <c r="AO50" s="196"/>
      <c r="AP50" s="85" t="s">
        <v>359</v>
      </c>
      <c r="AQ50" s="85">
        <v>1</v>
      </c>
      <c r="AR50" s="198">
        <v>0.7</v>
      </c>
      <c r="AS50" s="198">
        <v>0.9</v>
      </c>
      <c r="AT50" s="198">
        <v>0.93330000000000002</v>
      </c>
      <c r="AU50" s="198">
        <v>0.9667</v>
      </c>
      <c r="AV50" s="198">
        <v>1</v>
      </c>
    </row>
    <row r="51" spans="20:50" x14ac:dyDescent="0.2">
      <c r="AO51" s="196"/>
      <c r="AP51" s="85" t="s">
        <v>360</v>
      </c>
      <c r="AQ51" s="85">
        <v>2</v>
      </c>
      <c r="AR51" s="198">
        <v>0.7</v>
      </c>
      <c r="AS51" s="198">
        <v>0.8</v>
      </c>
      <c r="AT51" s="198">
        <v>0.9</v>
      </c>
      <c r="AU51" s="198">
        <v>0.95</v>
      </c>
      <c r="AV51" s="198">
        <v>1</v>
      </c>
    </row>
    <row r="52" spans="20:50" x14ac:dyDescent="0.2">
      <c r="AO52" s="196"/>
      <c r="AP52" s="85" t="s">
        <v>361</v>
      </c>
      <c r="AQ52" s="85">
        <v>3</v>
      </c>
      <c r="AR52" s="198">
        <v>0.7</v>
      </c>
      <c r="AS52" s="198">
        <v>0.76670000000000005</v>
      </c>
      <c r="AT52" s="198">
        <v>0.83330000000000004</v>
      </c>
      <c r="AU52" s="198">
        <v>0.9</v>
      </c>
      <c r="AV52" s="198">
        <v>1</v>
      </c>
    </row>
    <row r="53" spans="20:50" x14ac:dyDescent="0.2">
      <c r="AP53" s="199" t="s">
        <v>362</v>
      </c>
      <c r="AQ53" s="85">
        <v>11</v>
      </c>
      <c r="AR53" s="198">
        <v>0.6</v>
      </c>
      <c r="AS53" s="198">
        <v>0.9</v>
      </c>
      <c r="AT53" s="198">
        <v>0.93330000000000002</v>
      </c>
      <c r="AU53" s="198">
        <v>0.9667</v>
      </c>
      <c r="AV53" s="198">
        <v>1</v>
      </c>
    </row>
    <row r="54" spans="20:50" x14ac:dyDescent="0.2">
      <c r="AP54" s="199" t="s">
        <v>363</v>
      </c>
      <c r="AQ54" s="85">
        <v>12</v>
      </c>
      <c r="AR54" s="198">
        <v>0.6</v>
      </c>
      <c r="AS54" s="198">
        <v>0.7</v>
      </c>
      <c r="AT54" s="198">
        <v>0.9</v>
      </c>
      <c r="AU54" s="198">
        <v>0.95</v>
      </c>
      <c r="AV54" s="198">
        <v>1</v>
      </c>
    </row>
    <row r="55" spans="20:50" x14ac:dyDescent="0.2">
      <c r="AP55" s="199" t="s">
        <v>364</v>
      </c>
      <c r="AQ55" s="85">
        <v>13</v>
      </c>
      <c r="AR55" s="198">
        <v>0.6</v>
      </c>
      <c r="AS55" s="198">
        <v>0.7</v>
      </c>
      <c r="AT55" s="198">
        <v>0.8</v>
      </c>
      <c r="AU55" s="198">
        <v>0.9</v>
      </c>
      <c r="AV55" s="198">
        <v>1</v>
      </c>
    </row>
    <row r="56" spans="20:50" x14ac:dyDescent="0.2">
      <c r="AP56" s="199" t="s">
        <v>365</v>
      </c>
      <c r="AQ56" s="85">
        <v>22</v>
      </c>
      <c r="AR56" s="198">
        <v>0.3</v>
      </c>
      <c r="AS56" s="198">
        <v>0.6</v>
      </c>
      <c r="AT56" s="198">
        <v>0.9</v>
      </c>
      <c r="AU56" s="198">
        <v>0.95</v>
      </c>
      <c r="AV56" s="198">
        <v>1</v>
      </c>
    </row>
    <row r="57" spans="20:50" x14ac:dyDescent="0.2">
      <c r="AP57" s="199" t="s">
        <v>366</v>
      </c>
      <c r="AQ57" s="85">
        <v>23</v>
      </c>
      <c r="AR57" s="198">
        <v>0.3</v>
      </c>
      <c r="AS57" s="198">
        <v>0.6</v>
      </c>
      <c r="AT57" s="198">
        <v>0.7</v>
      </c>
      <c r="AU57" s="198">
        <v>0.9</v>
      </c>
      <c r="AV57" s="198">
        <v>1</v>
      </c>
    </row>
    <row r="58" spans="20:50" x14ac:dyDescent="0.2">
      <c r="AP58" s="199" t="s">
        <v>367</v>
      </c>
      <c r="AQ58" s="85">
        <v>33</v>
      </c>
      <c r="AR58" s="198">
        <v>0</v>
      </c>
      <c r="AS58" s="198">
        <v>0.3</v>
      </c>
      <c r="AT58" s="198">
        <v>0.6</v>
      </c>
      <c r="AU58" s="198">
        <v>0.9</v>
      </c>
      <c r="AV58" s="198">
        <v>1</v>
      </c>
      <c r="AW58" s="85"/>
    </row>
    <row r="60" spans="20:50" x14ac:dyDescent="0.2">
      <c r="AQ60" s="85"/>
      <c r="AW60" s="85"/>
      <c r="AX60" s="85"/>
    </row>
    <row r="61" spans="20:50" x14ac:dyDescent="0.2">
      <c r="AP61" s="200"/>
      <c r="AQ61" s="85"/>
      <c r="AW61" s="85"/>
      <c r="AX61" s="85"/>
    </row>
    <row r="62" spans="20:50" x14ac:dyDescent="0.2">
      <c r="AP62" s="85"/>
      <c r="AQ62" s="85"/>
      <c r="AW62" s="85"/>
      <c r="AX62" s="85"/>
    </row>
    <row r="63" spans="20:50" x14ac:dyDescent="0.2">
      <c r="AP63" s="85"/>
      <c r="AQ63" s="85"/>
      <c r="AW63" s="85"/>
    </row>
    <row r="64" spans="20:50" x14ac:dyDescent="0.2">
      <c r="AP64" s="85"/>
      <c r="AQ64" s="85"/>
      <c r="AW64" s="85"/>
    </row>
    <row r="65" spans="42:43" x14ac:dyDescent="0.2">
      <c r="AP65" s="85"/>
      <c r="AQ65" s="85"/>
    </row>
    <row r="66" spans="42:43" x14ac:dyDescent="0.2">
      <c r="AP66" s="85"/>
      <c r="AQ66" s="85"/>
    </row>
  </sheetData>
  <sheetProtection algorithmName="SHA-512" hashValue="BoPbuOwPiDTBDHTVmN/u85KhUHW9pS3IUYpyFjy100ElCBQvA6NNv8BOo8zOOmw61bEIas7NU5kkE+ZJA9ejAA==" saltValue="yc4NQlmwG5An531H3+t2Ow==" spinCount="100000" sheet="1" selectLockedCells="1"/>
  <mergeCells count="76">
    <mergeCell ref="Q41:R41"/>
    <mergeCell ref="BP3:BU4"/>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C32:F32"/>
    <mergeCell ref="C33:F33"/>
    <mergeCell ref="C34:F34"/>
    <mergeCell ref="BO34:BU37"/>
    <mergeCell ref="C35:F35"/>
    <mergeCell ref="C36:F36"/>
    <mergeCell ref="C37:F37"/>
    <mergeCell ref="C31:F31"/>
    <mergeCell ref="C18:F18"/>
    <mergeCell ref="C19:F19"/>
    <mergeCell ref="BQ19:BU19"/>
    <mergeCell ref="C20:F20"/>
    <mergeCell ref="C21:F21"/>
    <mergeCell ref="BO21:BO29"/>
    <mergeCell ref="C22:F22"/>
    <mergeCell ref="C23:F23"/>
    <mergeCell ref="C24:F24"/>
    <mergeCell ref="C25:F25"/>
    <mergeCell ref="C26:F26"/>
    <mergeCell ref="C27:F27"/>
    <mergeCell ref="C28:F28"/>
    <mergeCell ref="C29:F29"/>
    <mergeCell ref="C30:F30"/>
    <mergeCell ref="C17:F17"/>
    <mergeCell ref="M6:N6"/>
    <mergeCell ref="O6:P6"/>
    <mergeCell ref="Q6:R6"/>
    <mergeCell ref="B7:F7"/>
    <mergeCell ref="L7:R7"/>
    <mergeCell ref="C8:F8"/>
    <mergeCell ref="L8:R39"/>
    <mergeCell ref="C9:F9"/>
    <mergeCell ref="C10:F10"/>
    <mergeCell ref="C11:F11"/>
    <mergeCell ref="C12:F12"/>
    <mergeCell ref="C13:F13"/>
    <mergeCell ref="C14:F14"/>
    <mergeCell ref="C15:F15"/>
    <mergeCell ref="BL4:BN6"/>
    <mergeCell ref="B5:E5"/>
    <mergeCell ref="F5:G5"/>
    <mergeCell ref="H5:L5"/>
    <mergeCell ref="M5:N5"/>
    <mergeCell ref="O5:P5"/>
    <mergeCell ref="Q5:R5"/>
    <mergeCell ref="B6:E6"/>
    <mergeCell ref="F6:G6"/>
    <mergeCell ref="H6:L6"/>
    <mergeCell ref="B4:G4"/>
    <mergeCell ref="H4:N4"/>
    <mergeCell ref="O4:P4"/>
    <mergeCell ref="Q4:R4"/>
    <mergeCell ref="BH4:BK6"/>
    <mergeCell ref="B3:G3"/>
    <mergeCell ref="H3:N3"/>
    <mergeCell ref="O3:P3"/>
    <mergeCell ref="Q3:R3"/>
    <mergeCell ref="C16:F16"/>
  </mergeCells>
  <conditionalFormatting sqref="B8:F39">
    <cfRule type="expression" dxfId="144" priority="8" stopIfTrue="1">
      <formula>IF($Z8=1,TRUE,FALSE)</formula>
    </cfRule>
    <cfRule type="expression" dxfId="143" priority="9">
      <formula>IF($Z8=2,TRUE,FALSE)</formula>
    </cfRule>
  </conditionalFormatting>
  <conditionalFormatting sqref="C8:F39">
    <cfRule type="expression" dxfId="142" priority="1" stopIfTrue="1">
      <formula>IF($AF8=FALSE,TRUE,FALSE)</formula>
    </cfRule>
  </conditionalFormatting>
  <conditionalFormatting sqref="F5:G6 M5:P6">
    <cfRule type="expression" dxfId="141" priority="4" stopIfTrue="1">
      <formula>NOT($AU$4)</formula>
    </cfRule>
  </conditionalFormatting>
  <conditionalFormatting sqref="F6:G6">
    <cfRule type="cellIs" dxfId="140" priority="3" operator="equal">
      <formula>""</formula>
    </cfRule>
  </conditionalFormatting>
  <conditionalFormatting sqref="G8:K39">
    <cfRule type="expression" dxfId="139" priority="6" stopIfTrue="1">
      <formula>IF($Z8=1,TRUE,FALSE)</formula>
    </cfRule>
    <cfRule type="expression" dxfId="138" priority="7" stopIfTrue="1">
      <formula>IF($Z8=2,TRUE,FALSE)</formula>
    </cfRule>
  </conditionalFormatting>
  <conditionalFormatting sqref="H8:H39">
    <cfRule type="expression" dxfId="137" priority="10" stopIfTrue="1">
      <formula>IF($AB8=0,TRUE,FALSE)</formula>
    </cfRule>
  </conditionalFormatting>
  <conditionalFormatting sqref="H40:I41">
    <cfRule type="expression" dxfId="136" priority="2" stopIfTrue="1">
      <formula>IF($H$41="N/A",TRUE,FALSE)</formula>
    </cfRule>
  </conditionalFormatting>
  <conditionalFormatting sqref="H6:P6 O4:R4 B6 L8 L41 O41:R41">
    <cfRule type="containsBlanks" dxfId="135" priority="5">
      <formula>LEN(TRIM(B4))=0</formula>
    </cfRule>
  </conditionalFormatting>
  <conditionalFormatting sqref="J8:J39">
    <cfRule type="expression" dxfId="134" priority="14">
      <formula>IF($Z8=1,FALSE,OR($BE8,$BD8))</formula>
    </cfRule>
  </conditionalFormatting>
  <conditionalFormatting sqref="J8:K39 C8:F39">
    <cfRule type="expression" dxfId="133" priority="13">
      <formula>IF($Z8=1,FALSE,OR($AW8,$AX8,$AY8,$AZ8))</formula>
    </cfRule>
  </conditionalFormatting>
  <conditionalFormatting sqref="J8:K39">
    <cfRule type="expression" dxfId="132" priority="11" stopIfTrue="1">
      <formula>IF(ISNA($Z8),TRUE,FALSE)</formula>
    </cfRule>
  </conditionalFormatting>
  <conditionalFormatting sqref="K8:K39">
    <cfRule type="expression" dxfId="131" priority="12">
      <formula>IF(OR($Z8=1,$Z8=2),FALSE,OR($BC8,$BE8,$BF8))</formula>
    </cfRule>
  </conditionalFormatting>
  <dataValidations count="6">
    <dataValidation type="list" allowBlank="1" showInputMessage="1" showErrorMessage="1" sqref="F6:G6" xr:uid="{739BC735-8D20-4C04-ACE3-45980A857866}">
      <formula1>"No,Yes"</formula1>
    </dataValidation>
    <dataValidation type="list" allowBlank="1" showInputMessage="1" showErrorMessage="1" sqref="J8:J39" xr:uid="{B55731EF-2769-4333-8456-F881C0638743}">
      <formula1>"NA,0,1,2,3,4,5,6,7,8,9,10,11,12,13,14,15"</formula1>
    </dataValidation>
    <dataValidation type="list" allowBlank="1" showInputMessage="1" showErrorMessage="1" sqref="K8:K39" xr:uid="{E422F3B3-921F-444E-9CD3-473D6A2F4595}">
      <formula1>"D,0,1,2,3,4"</formula1>
    </dataValidation>
    <dataValidation showInputMessage="1" showErrorMessage="1" sqref="O41:R41" xr:uid="{DAF9F11B-15E4-494B-A244-4FCCCE7797AE}"/>
    <dataValidation type="decimal" allowBlank="1" showInputMessage="1" showErrorMessage="1" sqref="O6:P6" xr:uid="{5A05EE62-770F-4572-A72C-6DA9DF06CAA0}">
      <formula1>0</formula1>
      <formula2>10</formula2>
    </dataValidation>
    <dataValidation type="date" allowBlank="1" showInputMessage="1" showErrorMessage="1" sqref="Q4:R4" xr:uid="{BF1A46DE-419B-437D-A6C6-711FC2FF4D70}">
      <formula1>41151</formula1>
      <formula2>77433</formula2>
    </dataValidation>
  </dataValidations>
  <hyperlinks>
    <hyperlink ref="BP3" location="PF!A1" display="PF phase Summary Page" xr:uid="{B87A5F20-5BCE-4856-86FC-D87E7C44358B}"/>
    <hyperlink ref="BP3:BU4" location="SY!A1" display="SY Summary Page" xr:uid="{E504F613-7674-4A3F-B28B-A506571B7178}"/>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2755"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202756"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202757"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202758"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202759"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5632C-2025-4EE3-AA2C-B9A4AC85E04D}">
  <sheetPr codeName="Sheet25">
    <tabColor rgb="FFFF0000"/>
    <pageSetUpPr autoPageBreaks="0"/>
  </sheetPr>
  <dimension ref="B1:BU66"/>
  <sheetViews>
    <sheetView showGridLines="0" showRowColHeaders="0" topLeftCell="A2" zoomScaleNormal="100" zoomScaleSheetLayoutView="100" workbookViewId="0">
      <selection activeCell="BP3" sqref="BP3:BU4"/>
    </sheetView>
  </sheetViews>
  <sheetFormatPr defaultColWidth="9.140625" defaultRowHeight="12.75" x14ac:dyDescent="0.2"/>
  <cols>
    <col min="1" max="1" width="1.5703125" style="593" customWidth="1"/>
    <col min="2" max="2" width="3.5703125" style="593" customWidth="1"/>
    <col min="3" max="3" width="5.5703125" style="593" customWidth="1"/>
    <col min="4" max="4" width="9.140625" style="593" customWidth="1"/>
    <col min="5" max="5" width="14" style="593" customWidth="1"/>
    <col min="6" max="6" width="7.85546875" style="593" customWidth="1"/>
    <col min="7" max="11" width="5.140625" style="593" customWidth="1"/>
    <col min="12" max="12" width="21.5703125" style="593" customWidth="1"/>
    <col min="13" max="13" width="6.5703125" style="593" customWidth="1"/>
    <col min="14" max="14" width="12.5703125" style="593" customWidth="1"/>
    <col min="15" max="15" width="7.85546875" style="593" customWidth="1"/>
    <col min="16" max="16" width="2.7109375" style="593" customWidth="1"/>
    <col min="17" max="17" width="4.85546875" style="593" customWidth="1"/>
    <col min="18" max="18" width="7.28515625" style="593" customWidth="1"/>
    <col min="19" max="19" width="1.7109375" style="593" customWidth="1"/>
    <col min="20" max="20" width="19.140625" style="594" hidden="1" customWidth="1"/>
    <col min="21" max="21" width="31.140625" style="594" hidden="1" customWidth="1"/>
    <col min="22" max="22" width="5.140625" style="594" hidden="1" customWidth="1"/>
    <col min="23" max="24" width="6.28515625" style="594" hidden="1" customWidth="1"/>
    <col min="25" max="25" width="8.42578125" style="594" hidden="1" customWidth="1"/>
    <col min="26" max="26" width="7.85546875" style="594" hidden="1" customWidth="1"/>
    <col min="27" max="27" width="10.7109375" style="594" hidden="1" customWidth="1"/>
    <col min="28" max="28" width="8" style="594" hidden="1" customWidth="1"/>
    <col min="29" max="31" width="5.140625" style="594" hidden="1" customWidth="1"/>
    <col min="32" max="34" width="5.85546875" style="594" hidden="1" customWidth="1"/>
    <col min="35" max="35" width="8.5703125" style="595" hidden="1" customWidth="1"/>
    <col min="36" max="36" width="7" style="594" hidden="1" customWidth="1"/>
    <col min="37" max="38" width="5.28515625" style="594" hidden="1" customWidth="1"/>
    <col min="39" max="40" width="7" style="594" hidden="1" customWidth="1"/>
    <col min="41" max="41" width="5.140625" style="594" hidden="1" customWidth="1"/>
    <col min="42" max="42" width="11.28515625" style="594" hidden="1" customWidth="1"/>
    <col min="43" max="43" width="6.42578125" style="594" hidden="1" customWidth="1"/>
    <col min="44" max="44" width="8.28515625" style="594" hidden="1" customWidth="1"/>
    <col min="45" max="45" width="8.85546875" style="594" hidden="1" customWidth="1"/>
    <col min="46" max="46" width="10.7109375" style="594" hidden="1" customWidth="1"/>
    <col min="47" max="47" width="8.85546875" style="594" hidden="1" customWidth="1"/>
    <col min="48" max="48" width="6.28515625" style="594" hidden="1" customWidth="1"/>
    <col min="49" max="49" width="10" style="594" hidden="1" customWidth="1"/>
    <col min="50" max="50" width="7.5703125" style="594" hidden="1" customWidth="1"/>
    <col min="51" max="51" width="7" style="594" hidden="1" customWidth="1"/>
    <col min="52" max="52" width="8.140625" style="594" hidden="1" customWidth="1"/>
    <col min="53" max="53" width="12.5703125" style="594" hidden="1" customWidth="1"/>
    <col min="54" max="54" width="7.7109375" style="594" hidden="1" customWidth="1"/>
    <col min="55" max="55" width="12.7109375" style="594" hidden="1" customWidth="1"/>
    <col min="56" max="56" width="7" style="594" hidden="1" customWidth="1"/>
    <col min="57" max="57" width="15.5703125" style="594" hidden="1" customWidth="1"/>
    <col min="58" max="58" width="9.140625" style="594" hidden="1" customWidth="1"/>
    <col min="59" max="59" width="10" style="594" hidden="1" customWidth="1"/>
    <col min="60" max="60" width="5.28515625" style="594" hidden="1" customWidth="1"/>
    <col min="61" max="61" width="4" style="594" hidden="1" customWidth="1"/>
    <col min="62" max="62" width="4.7109375" style="594" hidden="1" customWidth="1"/>
    <col min="63" max="63" width="5.5703125" style="594" hidden="1" customWidth="1"/>
    <col min="64" max="64" width="5.28515625" style="594" hidden="1" customWidth="1"/>
    <col min="65" max="65" width="4" style="594" hidden="1" customWidth="1"/>
    <col min="66" max="66" width="5.5703125" style="594" hidden="1" customWidth="1"/>
    <col min="67" max="67" width="5" style="596" customWidth="1"/>
    <col min="68" max="73" width="5" style="593" customWidth="1"/>
    <col min="74" max="16384" width="9.140625" style="593"/>
  </cols>
  <sheetData>
    <row r="1" spans="2:73" s="590" customFormat="1" ht="12" hidden="1" x14ac:dyDescent="0.2">
      <c r="T1" s="591"/>
      <c r="U1" s="591"/>
      <c r="V1" s="591"/>
      <c r="W1" s="591"/>
      <c r="X1" s="591"/>
      <c r="Y1" s="591"/>
      <c r="Z1" s="591"/>
      <c r="AA1" s="591"/>
      <c r="AB1" s="591"/>
      <c r="AC1" s="591"/>
      <c r="AD1" s="591"/>
      <c r="AE1" s="591"/>
      <c r="AF1" s="591"/>
      <c r="AG1" s="591"/>
      <c r="AH1" s="591"/>
      <c r="AI1" s="592"/>
      <c r="AJ1" s="591"/>
      <c r="AK1" s="591"/>
      <c r="AL1" s="591"/>
      <c r="AM1" s="591"/>
      <c r="AN1" s="591"/>
      <c r="AO1" s="591"/>
      <c r="AP1" s="591"/>
      <c r="AQ1" s="591"/>
      <c r="AR1" s="591"/>
      <c r="AS1" s="591"/>
      <c r="AT1" s="591"/>
      <c r="AU1" s="591"/>
      <c r="AV1" s="591"/>
      <c r="AW1" s="591"/>
      <c r="AX1" s="591"/>
      <c r="AY1" s="591"/>
      <c r="AZ1" s="591"/>
      <c r="BA1" s="591"/>
      <c r="BB1" s="591"/>
      <c r="BC1" s="591"/>
      <c r="BD1" s="591"/>
      <c r="BE1" s="591"/>
      <c r="BF1" s="591"/>
      <c r="BG1" s="591"/>
      <c r="BH1" s="591"/>
      <c r="BI1" s="591"/>
      <c r="BJ1" s="591"/>
      <c r="BK1" s="591"/>
      <c r="BL1" s="591"/>
      <c r="BM1" s="591"/>
      <c r="BN1" s="591"/>
    </row>
    <row r="2" spans="2:73" ht="13.5" thickBot="1" x14ac:dyDescent="0.25"/>
    <row r="3" spans="2:73" ht="13.5" customHeight="1" thickTop="1" x14ac:dyDescent="0.2">
      <c r="B3" s="1359" t="s">
        <v>267</v>
      </c>
      <c r="C3" s="1360"/>
      <c r="D3" s="1360"/>
      <c r="E3" s="1360"/>
      <c r="F3" s="1360"/>
      <c r="G3" s="1361"/>
      <c r="H3" s="1362" t="s">
        <v>824</v>
      </c>
      <c r="I3" s="1363"/>
      <c r="J3" s="1363"/>
      <c r="K3" s="1363"/>
      <c r="L3" s="1363"/>
      <c r="M3" s="1363"/>
      <c r="N3" s="1364"/>
      <c r="O3" s="1365" t="s">
        <v>269</v>
      </c>
      <c r="P3" s="1366"/>
      <c r="Q3" s="1365" t="s">
        <v>270</v>
      </c>
      <c r="R3" s="1367"/>
      <c r="S3" s="597"/>
      <c r="T3" s="598"/>
      <c r="U3" s="598"/>
      <c r="V3" s="598"/>
      <c r="W3" s="598"/>
      <c r="X3" s="598"/>
      <c r="Y3" s="598"/>
      <c r="Z3" s="598"/>
      <c r="AA3" s="598"/>
      <c r="AB3" s="598"/>
      <c r="AC3" s="598"/>
      <c r="AD3" s="598"/>
      <c r="AE3" s="598"/>
      <c r="AF3" s="598"/>
      <c r="AG3" s="598"/>
      <c r="AH3" s="598"/>
      <c r="AI3" s="599"/>
      <c r="AJ3" s="598"/>
      <c r="AK3" s="598"/>
      <c r="AL3" s="598"/>
      <c r="AM3" s="598"/>
      <c r="AN3" s="598"/>
      <c r="AO3" s="598"/>
      <c r="AP3" s="598"/>
      <c r="AQ3" s="591"/>
      <c r="AR3" s="591"/>
      <c r="AW3" s="594" t="s">
        <v>271</v>
      </c>
      <c r="AX3" s="594" t="s">
        <v>272</v>
      </c>
      <c r="AY3" s="594" t="s">
        <v>273</v>
      </c>
      <c r="AZ3" s="594" t="s">
        <v>274</v>
      </c>
      <c r="BA3" s="594" t="s">
        <v>275</v>
      </c>
      <c r="BB3" s="594" t="s">
        <v>276</v>
      </c>
      <c r="BP3" s="1032" t="s">
        <v>844</v>
      </c>
      <c r="BQ3" s="1032"/>
      <c r="BR3" s="1032"/>
      <c r="BS3" s="1032"/>
      <c r="BT3" s="1032"/>
      <c r="BU3" s="1032"/>
    </row>
    <row r="4" spans="2:73" s="608" customFormat="1" ht="15.75" customHeight="1" x14ac:dyDescent="0.2">
      <c r="B4" s="1380" t="s">
        <v>462</v>
      </c>
      <c r="C4" s="1381"/>
      <c r="D4" s="1381"/>
      <c r="E4" s="1381"/>
      <c r="F4" s="1381"/>
      <c r="G4" s="1382"/>
      <c r="H4" s="1383" t="s">
        <v>722</v>
      </c>
      <c r="I4" s="1384"/>
      <c r="J4" s="1384"/>
      <c r="K4" s="1384"/>
      <c r="L4" s="1384"/>
      <c r="M4" s="1384"/>
      <c r="N4" s="1385"/>
      <c r="O4" s="1386"/>
      <c r="P4" s="1387"/>
      <c r="Q4" s="1388"/>
      <c r="R4" s="1389"/>
      <c r="S4" s="600"/>
      <c r="T4" s="601"/>
      <c r="U4" s="601"/>
      <c r="V4" s="601"/>
      <c r="W4" s="601"/>
      <c r="X4" s="601"/>
      <c r="Y4" s="601"/>
      <c r="Z4" s="601"/>
      <c r="AA4" s="601"/>
      <c r="AB4" s="601"/>
      <c r="AC4" s="601"/>
      <c r="AD4" s="601"/>
      <c r="AE4" s="601"/>
      <c r="AF4" s="601"/>
      <c r="AG4" s="601"/>
      <c r="AH4" s="601"/>
      <c r="AI4" s="602"/>
      <c r="AJ4" s="601"/>
      <c r="AK4" s="601"/>
      <c r="AL4" s="601"/>
      <c r="AM4" s="601"/>
      <c r="AN4" s="601"/>
      <c r="AO4" s="601"/>
      <c r="AP4" s="601"/>
      <c r="AQ4" s="603"/>
      <c r="AR4" s="603"/>
      <c r="AS4" s="604"/>
      <c r="AT4" s="605" t="s">
        <v>278</v>
      </c>
      <c r="AU4" s="606" t="b">
        <v>1</v>
      </c>
      <c r="AV4" s="604">
        <v>1</v>
      </c>
      <c r="AW4" s="604" t="b">
        <f>IF(ISERR(OR(AW8:AW39)),"UNK",IF(AND(graded_aca_events&gt;=1,input_test),FALSE,OR(AW8:AW39)))</f>
        <v>1</v>
      </c>
      <c r="AX4" s="604" t="b">
        <f>IF(ISERR(OR(AX8:AX39)),"UNK",IF(AND(graded_aca_events&gt;=1,input_test),FALSE,OR(AX8:AX39)))</f>
        <v>1</v>
      </c>
      <c r="AY4" s="604" t="b">
        <f>IF(ISERR(OR(AY8:AY39)),"UNK",OR(AY8:AY39))</f>
        <v>0</v>
      </c>
      <c r="AZ4" s="604" t="b">
        <f>IF(ISERR(OR(AZ8:AZ39)),"UNK",OR(AZ8:AZ39))</f>
        <v>0</v>
      </c>
      <c r="BA4" s="604" t="b">
        <f>IF(ISERR(OR(BA8:BA39)),"UNK",OR(BA8:BA39))</f>
        <v>0</v>
      </c>
      <c r="BB4" s="604" t="b">
        <f>IF(ISERR(OR(BB8:BB39)),"UNK",OR(BB8:BB39))</f>
        <v>0</v>
      </c>
      <c r="BC4" s="607" t="b">
        <f>OR(BC8:BC39)</f>
        <v>0</v>
      </c>
      <c r="BD4" s="607" t="b">
        <f>OR(BD8:BD39)</f>
        <v>0</v>
      </c>
      <c r="BE4" s="607" t="b">
        <f>OR(BE8:BE39)</f>
        <v>0</v>
      </c>
      <c r="BF4" s="607"/>
      <c r="BG4" s="604"/>
      <c r="BH4" s="1373" t="s">
        <v>279</v>
      </c>
      <c r="BI4" s="1373"/>
      <c r="BJ4" s="1373"/>
      <c r="BK4" s="1373"/>
      <c r="BL4" s="1374" t="s">
        <v>280</v>
      </c>
      <c r="BM4" s="1374"/>
      <c r="BN4" s="1374"/>
      <c r="BO4" s="596"/>
      <c r="BP4" s="1032"/>
      <c r="BQ4" s="1032"/>
      <c r="BR4" s="1032"/>
      <c r="BS4" s="1032"/>
      <c r="BT4" s="1032"/>
      <c r="BU4" s="1032"/>
    </row>
    <row r="5" spans="2:73" s="597" customFormat="1" ht="7.5" customHeight="1" x14ac:dyDescent="0.25">
      <c r="B5" s="1390" t="s">
        <v>281</v>
      </c>
      <c r="C5" s="1391"/>
      <c r="D5" s="1391"/>
      <c r="E5" s="1392"/>
      <c r="F5" s="1375" t="s">
        <v>282</v>
      </c>
      <c r="G5" s="1392"/>
      <c r="H5" s="1375" t="s">
        <v>283</v>
      </c>
      <c r="I5" s="1391"/>
      <c r="J5" s="1391"/>
      <c r="K5" s="1391"/>
      <c r="L5" s="1392"/>
      <c r="M5" s="1393" t="s">
        <v>284</v>
      </c>
      <c r="N5" s="1394"/>
      <c r="O5" s="1395" t="s">
        <v>285</v>
      </c>
      <c r="P5" s="1396"/>
      <c r="Q5" s="1375" t="str">
        <f>IF(AU41=0,"GRADE","GRADE (inc. bonus)")</f>
        <v>GRADE</v>
      </c>
      <c r="R5" s="1376"/>
      <c r="T5" s="598"/>
      <c r="U5" s="598"/>
      <c r="V5" s="598"/>
      <c r="W5" s="598"/>
      <c r="X5" s="598"/>
      <c r="Y5" s="598"/>
      <c r="Z5" s="598"/>
      <c r="AA5" s="598"/>
      <c r="AB5" s="598"/>
      <c r="AC5" s="598"/>
      <c r="AD5" s="598"/>
      <c r="AE5" s="598"/>
      <c r="AF5" s="598"/>
      <c r="AG5" s="598"/>
      <c r="AH5" s="598"/>
      <c r="AI5" s="599"/>
      <c r="AJ5" s="598"/>
      <c r="AK5" s="598"/>
      <c r="AL5" s="598"/>
      <c r="AM5" s="598"/>
      <c r="AN5" s="598"/>
      <c r="AO5" s="598"/>
      <c r="AP5" s="598"/>
      <c r="AQ5" s="598"/>
      <c r="AR5" s="598"/>
      <c r="AS5" s="598"/>
      <c r="AT5" s="598"/>
      <c r="AU5" s="598"/>
      <c r="AV5" s="598"/>
      <c r="AW5" s="598"/>
      <c r="AX5" s="598"/>
      <c r="AY5" s="598"/>
      <c r="AZ5" s="598"/>
      <c r="BA5" s="598"/>
      <c r="BB5" s="598"/>
      <c r="BC5" s="598"/>
      <c r="BD5" s="598"/>
      <c r="BE5" s="598"/>
      <c r="BF5" s="598"/>
      <c r="BG5" s="598"/>
      <c r="BH5" s="1373"/>
      <c r="BI5" s="1373"/>
      <c r="BJ5" s="1373"/>
      <c r="BK5" s="1373"/>
      <c r="BL5" s="1374"/>
      <c r="BM5" s="1374"/>
      <c r="BN5" s="1374"/>
      <c r="BO5" s="609"/>
    </row>
    <row r="6" spans="2:73" s="608" customFormat="1" ht="15.75" customHeight="1" thickBot="1" x14ac:dyDescent="0.25">
      <c r="B6" s="1377"/>
      <c r="C6" s="1378"/>
      <c r="D6" s="1378"/>
      <c r="E6" s="1379"/>
      <c r="F6" s="1349" t="s">
        <v>457</v>
      </c>
      <c r="G6" s="1350"/>
      <c r="H6" s="1351"/>
      <c r="I6" s="1352"/>
      <c r="J6" s="1352"/>
      <c r="K6" s="1352"/>
      <c r="L6" s="1350"/>
      <c r="M6" s="1353"/>
      <c r="N6" s="1354"/>
      <c r="O6" s="1355"/>
      <c r="P6" s="1356"/>
      <c r="Q6" s="1357" t="str">
        <f>IF((graded_aca_events+graded_amn_events)&lt;1,"0",IF(ISERROR(AR46),"",IF(F41&lt;&gt;"COMPLETE","INCOMPLETE",AR46)))</f>
        <v>0</v>
      </c>
      <c r="R6" s="1358"/>
      <c r="S6" s="593"/>
      <c r="T6" s="604"/>
      <c r="U6" s="604">
        <v>2</v>
      </c>
      <c r="V6" s="604">
        <v>3</v>
      </c>
      <c r="W6" s="604">
        <v>6</v>
      </c>
      <c r="X6" s="604">
        <v>7</v>
      </c>
      <c r="Y6" s="604">
        <v>11</v>
      </c>
      <c r="Z6" s="604">
        <v>8</v>
      </c>
      <c r="AA6" s="604">
        <v>9</v>
      </c>
      <c r="AB6" s="604">
        <v>10</v>
      </c>
      <c r="AC6" s="604">
        <v>5</v>
      </c>
      <c r="AD6" s="604">
        <v>4</v>
      </c>
      <c r="AE6" s="604">
        <v>12</v>
      </c>
      <c r="AF6" s="604">
        <v>13</v>
      </c>
      <c r="AG6" s="604"/>
      <c r="AH6" s="604"/>
      <c r="AI6" s="610"/>
      <c r="AJ6" s="611"/>
      <c r="AK6" s="611"/>
      <c r="AL6" s="611"/>
      <c r="AM6" s="611" t="b">
        <f>IF(COUNT(AM8:AM39)&gt;0,TRUE,FALSE)</f>
        <v>0</v>
      </c>
      <c r="AN6" s="611" t="b">
        <f>IF(COUNT(AN8:AN39)&gt;0,TRUE,FALSE)</f>
        <v>0</v>
      </c>
      <c r="AO6" s="604"/>
      <c r="AP6" s="604"/>
      <c r="AQ6" s="603"/>
      <c r="AR6" s="603"/>
      <c r="AS6" s="604"/>
      <c r="AT6" s="106">
        <v>0.1</v>
      </c>
      <c r="AU6" s="604"/>
      <c r="AV6" s="612">
        <f>0.01*input_maxb</f>
        <v>0.01</v>
      </c>
      <c r="AW6" s="613" t="s">
        <v>287</v>
      </c>
      <c r="AX6" s="614"/>
      <c r="AY6" s="613" t="s">
        <v>288</v>
      </c>
      <c r="AZ6" s="614"/>
      <c r="BA6" s="615" t="s">
        <v>289</v>
      </c>
      <c r="BB6" s="615"/>
      <c r="BC6" s="613" t="s">
        <v>290</v>
      </c>
      <c r="BD6" s="615"/>
      <c r="BE6" s="616"/>
      <c r="BF6" s="617"/>
      <c r="BG6" s="604" t="s">
        <v>291</v>
      </c>
      <c r="BH6" s="1373"/>
      <c r="BI6" s="1373"/>
      <c r="BJ6" s="1373"/>
      <c r="BK6" s="1373"/>
      <c r="BL6" s="1374"/>
      <c r="BM6" s="1374"/>
      <c r="BN6" s="1374"/>
      <c r="BO6" s="596"/>
    </row>
    <row r="7" spans="2:73" ht="27" customHeight="1" thickBot="1" x14ac:dyDescent="0.25">
      <c r="B7" s="1368" t="s">
        <v>292</v>
      </c>
      <c r="C7" s="1369"/>
      <c r="D7" s="1369"/>
      <c r="E7" s="1369"/>
      <c r="F7" s="1370"/>
      <c r="G7" s="618" t="s">
        <v>293</v>
      </c>
      <c r="H7" s="619" t="s">
        <v>294</v>
      </c>
      <c r="I7" s="620" t="s">
        <v>295</v>
      </c>
      <c r="J7" s="621" t="s">
        <v>296</v>
      </c>
      <c r="K7" s="622" t="s">
        <v>297</v>
      </c>
      <c r="L7" s="1371" t="s">
        <v>298</v>
      </c>
      <c r="M7" s="1369"/>
      <c r="N7" s="1369"/>
      <c r="O7" s="1369"/>
      <c r="P7" s="1369"/>
      <c r="Q7" s="1369"/>
      <c r="R7" s="1372"/>
      <c r="T7" s="623" t="s">
        <v>299</v>
      </c>
      <c r="U7" s="623"/>
      <c r="V7" s="623" t="s">
        <v>300</v>
      </c>
      <c r="W7" s="623" t="s">
        <v>301</v>
      </c>
      <c r="X7" s="623" t="s">
        <v>302</v>
      </c>
      <c r="Y7" s="623" t="s">
        <v>303</v>
      </c>
      <c r="Z7" s="623" t="s">
        <v>304</v>
      </c>
      <c r="AA7" s="623" t="s">
        <v>305</v>
      </c>
      <c r="AB7" s="623" t="s">
        <v>306</v>
      </c>
      <c r="AC7" s="623" t="s">
        <v>307</v>
      </c>
      <c r="AD7" s="623" t="s">
        <v>308</v>
      </c>
      <c r="AE7" s="623" t="s">
        <v>309</v>
      </c>
      <c r="AF7" s="623" t="s">
        <v>310</v>
      </c>
      <c r="AG7" s="623" t="s">
        <v>311</v>
      </c>
      <c r="AH7" s="623" t="s">
        <v>312</v>
      </c>
      <c r="AI7" s="624" t="s">
        <v>313</v>
      </c>
      <c r="AJ7" s="625" t="s">
        <v>314</v>
      </c>
      <c r="AK7" s="626" t="s">
        <v>315</v>
      </c>
      <c r="AL7" s="626" t="s">
        <v>316</v>
      </c>
      <c r="AM7" s="626" t="s">
        <v>317</v>
      </c>
      <c r="AN7" s="626" t="s">
        <v>318</v>
      </c>
      <c r="AO7" s="625" t="s">
        <v>319</v>
      </c>
      <c r="AP7" s="625" t="s">
        <v>320</v>
      </c>
      <c r="AQ7" s="627" t="s">
        <v>321</v>
      </c>
      <c r="AR7" s="628" t="s">
        <v>1</v>
      </c>
      <c r="AS7" s="627" t="s">
        <v>322</v>
      </c>
      <c r="AT7" s="628" t="s">
        <v>1</v>
      </c>
      <c r="AU7" s="627" t="s">
        <v>323</v>
      </c>
      <c r="AV7" s="629" t="s">
        <v>324</v>
      </c>
      <c r="AW7" s="630" t="s">
        <v>325</v>
      </c>
      <c r="AX7" s="631" t="s">
        <v>326</v>
      </c>
      <c r="AY7" s="630" t="s">
        <v>327</v>
      </c>
      <c r="AZ7" s="631" t="s">
        <v>328</v>
      </c>
      <c r="BA7" s="632" t="s">
        <v>329</v>
      </c>
      <c r="BB7" s="632" t="s">
        <v>330</v>
      </c>
      <c r="BC7" s="633" t="s">
        <v>331</v>
      </c>
      <c r="BD7" s="634" t="s">
        <v>332</v>
      </c>
      <c r="BE7" s="635" t="s">
        <v>333</v>
      </c>
      <c r="BF7" s="636" t="s">
        <v>334</v>
      </c>
      <c r="BH7" s="594" t="s">
        <v>335</v>
      </c>
      <c r="BI7" s="594" t="s">
        <v>336</v>
      </c>
      <c r="BJ7" s="623" t="s">
        <v>337</v>
      </c>
      <c r="BK7" s="594" t="s">
        <v>338</v>
      </c>
      <c r="BL7" s="594" t="s">
        <v>335</v>
      </c>
      <c r="BM7" s="594" t="s">
        <v>336</v>
      </c>
      <c r="BN7" s="594" t="s">
        <v>338</v>
      </c>
    </row>
    <row r="8" spans="2:73" ht="12.95" customHeight="1" x14ac:dyDescent="0.2">
      <c r="B8" s="637" t="str">
        <f>IF(ISNA(Z8),"",IF(OR(Z8=1,Z8=2),"",1))</f>
        <v/>
      </c>
      <c r="C8" s="1338" t="str">
        <f t="shared" ref="C8:C36" si="0">IF(ISNA(Z8),"",CONCATENATE($U8,IF(ISNUMBER(AI8),TEXT(ROUND($AI8,3)," (0.0%)"),""),IF(AU8&gt;0," Bonus","")))</f>
        <v>Airmanship Tasks (10.0%)</v>
      </c>
      <c r="D8" s="1338"/>
      <c r="E8" s="1338"/>
      <c r="F8" s="1339"/>
      <c r="G8" s="638" t="str">
        <f t="shared" ref="G8:G39" si="1">BH8</f>
        <v/>
      </c>
      <c r="H8" s="639" t="str">
        <f t="shared" ref="H8:I39" si="2">BJ8</f>
        <v/>
      </c>
      <c r="I8" s="640" t="str">
        <f t="shared" si="2"/>
        <v/>
      </c>
      <c r="J8" s="641"/>
      <c r="K8" s="642"/>
      <c r="L8" s="1340"/>
      <c r="M8" s="1341"/>
      <c r="N8" s="1341"/>
      <c r="O8" s="1341"/>
      <c r="P8" s="1341"/>
      <c r="Q8" s="1341"/>
      <c r="R8" s="1342"/>
      <c r="T8" s="594">
        <v>1</v>
      </c>
      <c r="U8" s="594" t="s">
        <v>339</v>
      </c>
      <c r="V8" s="643" t="s">
        <v>340</v>
      </c>
      <c r="W8" s="643" t="s">
        <v>340</v>
      </c>
      <c r="X8" s="643" t="s">
        <v>340</v>
      </c>
      <c r="Y8" s="643" t="s">
        <v>340</v>
      </c>
      <c r="Z8" s="643">
        <v>1</v>
      </c>
      <c r="AA8" s="643">
        <v>0</v>
      </c>
      <c r="AB8" s="643">
        <v>0</v>
      </c>
      <c r="AC8" s="643" t="s">
        <v>340</v>
      </c>
      <c r="AD8" s="643" t="s">
        <v>340</v>
      </c>
      <c r="AE8" s="643">
        <v>0</v>
      </c>
      <c r="AF8" s="643" t="s">
        <v>340</v>
      </c>
      <c r="AG8" s="643" t="str">
        <f t="shared" ref="AG8:AG39" si="3">IF(CrewSoloQual="Yes",$AC8,$AD8)</f>
        <v/>
      </c>
      <c r="AH8" s="643" t="str">
        <f t="shared" ref="AH8:AH39" si="4">IF(ISNUMBER(AC8),IF(CrewSoloQual="Yes",$AC8-1,$AD8-1),"")</f>
        <v/>
      </c>
      <c r="AI8" s="138">
        <f>IF(NOT(OR(Z8=1,Z8=2)),IF(AQ8&gt;0,$AR$44*AQ8/SUMIF($AQ$8:$AQ$39,"&gt;0"),IF(AU8&gt;0,$AV$44*AU8/SUMIF($AU$8:$AU$39,"&gt;0"),IF(AS8&gt;0,$AT$44*AS8/SUMIF($AS$8:$AS$39,"&gt;0"),""))),IF(SUMIF(AJ9:$AJ$39,"=" &amp; AJ8,AI9:$AI$39)=0,"",SUMIF(AJ9:$AJ$39,"=" &amp; AJ8,AI9:$AI$39)))</f>
        <v>0.1</v>
      </c>
      <c r="AJ8" s="139">
        <f>0</f>
        <v>0</v>
      </c>
      <c r="AK8" s="643" t="str">
        <f>BI8</f>
        <v/>
      </c>
      <c r="AL8" s="643" t="str">
        <f>IF(ISBLANK(K8),"",K8)</f>
        <v/>
      </c>
      <c r="AM8" s="643" t="str">
        <f>IF(ISNUMBER(AK8),IF(ISNUMBER(AL8),1,""),"")</f>
        <v/>
      </c>
      <c r="AN8" s="643" t="str">
        <f t="shared" ref="AN8:AN36" si="5">IF(ISNUMBER(AH8),IF(AND(AB8=0,ISNUMBER(AC8),ISNUMBER(AL8)),1,""),"")</f>
        <v/>
      </c>
      <c r="AO8" s="643" t="str">
        <f t="shared" ref="AO8:AO39" si="6">IF(AB8=0,IF(CrewSoloQual="No",BI8,BK8),"")</f>
        <v/>
      </c>
      <c r="AP8" s="643" t="str">
        <f t="shared" ref="AP8:AP39" si="7">IF(ISNA(Z8),"",IF(AND(ISNUMBER(B8),G8&gt;=1,H8&lt;&gt;"NG"),IF(K8&lt;BK8,TRUE,FALSE),IF(AND(G8&gt;=1,J8="NA"),TRUE,IF(AND(AM8=1,G8=0,AL8&lt;BI8),TRUE,""))))</f>
        <v/>
      </c>
      <c r="AQ8" s="644">
        <f>IF(ISNA(Z8),0,IF(OR(J8="NA",W8="",AB8=0),0,W8))</f>
        <v>0</v>
      </c>
      <c r="AR8" s="141" t="str">
        <f t="shared" ref="AR8:AR39" si="8">IF(ISNA(Z8),"",IF(AND(NOT(OR(Z8=1,Z8=2,AK8="NG",AB8=0)),IF(ISNUMBER(AL8),AL8&gt;=0,FALSE)),VLOOKUP((10*AD8+AC8),$AQ$50:$AV$58,2+AL8,FALSE),IF(AND(input_test=TRUE,ISNUMBER(AD8),V8&lt;&gt;0),VLOOKUP((10*AD8+AC8),$AQ$50:$AV$58,2,FALSE),"")))</f>
        <v/>
      </c>
      <c r="AS8" s="142">
        <f>IF(ISNA(Z8),0,IF(OR(J8="NA",X8="",AB8=1),0,X8))</f>
        <v>0</v>
      </c>
      <c r="AT8" s="141" t="str">
        <f t="shared" ref="AT8:AT39" si="9">IF(ISNA(Z8),"",IF(AND(NOT(OR(Z8=1,Z8=2,AK8="NG",AB8=1)),IF(ISNUMBER(AL8),AL8&gt;=0,FALSE)),VLOOKUP((10*AH8+AG8),$AQ$50:$AV$58,2+AL8,FALSE),IF(AND(input_test=TRUE,ISNUMBER(AD8),V8&lt;&gt;0),VLOOKUP((10*AH8+AG8),$AQ$50:$AV$58,2,FALSE),"")))</f>
        <v/>
      </c>
      <c r="AU8" s="645">
        <f t="shared" ref="AU8:AU39" si="10">IF(ISNA(Z8),0,IF(OR(J8="NA",Y8=""),0,Y8))</f>
        <v>0</v>
      </c>
      <c r="AV8" s="144" t="str">
        <f t="shared" ref="AV8:AV39" si="11">AR8</f>
        <v/>
      </c>
      <c r="AW8" s="645" t="b">
        <f t="shared" ref="AW8:AW39" si="12">IF(ISNA(Z8),FALSE,IF(OR(AB8=1,G8=0,Z8=1,Z8=2),FALSE,IF(OR(J8="NA",J8&gt;=G8),FALSE,TRUE)))</f>
        <v>0</v>
      </c>
      <c r="AX8" s="646" t="b">
        <f t="shared" ref="AX8:AX39" si="13">IF(ISNA(Z8),FALSE,IF(OR(AB8=0,G8=0,Z8=1,Z8=2,J8="NA"),FALSE,IF(AK8="NG",IF(NOT(ISBLANK(K8)),FALSE,TRUE),IF(J8&gt;=G8,FALSE,TRUE))))</f>
        <v>0</v>
      </c>
      <c r="AY8" s="645" t="b">
        <f t="shared" ref="AY8:AY39" si="14">IF(ISNA(Z8),FALSE,IF(OR(AB8=1,G8&lt;1,Z8=1,Z8=2,AE8=0,ISBLANK(K8)),FALSE,IF(OR(J8="NA",K8&gt;=BI8),FALSE,TRUE)))</f>
        <v>0</v>
      </c>
      <c r="AZ8" s="646" t="b">
        <f t="shared" ref="AZ8:AZ39" si="15">IF(ISNA(Z8),FALSE,IF(OR(AB8=0,G8=0,Z8=1,Z8=2,AE8=0,BI8="NG",K8="",ISBLANK(K8)),FALSE,IF(OR(J8="NA",K8&gt;=AK8),FALSE,TRUE)))</f>
        <v>0</v>
      </c>
      <c r="BA8" s="643" t="b">
        <f t="shared" ref="BA8:BA39" si="16">IF(ISNA(Z8),FALSE,IF(OR(AB8=1,G8&lt;1,Z8=1,Z8=2,AE8=0),FALSE,IF(J8="NA",TRUE,FALSE)))</f>
        <v>0</v>
      </c>
      <c r="BB8" s="643" t="b">
        <f t="shared" ref="BB8:BB39" si="17">IF(ISNA(Z8),FALSE,IF(OR(AB8=0,G8=0,Z8=1,Z8=2),FALSE,IF(J8="NA",TRUE,FALSE)))</f>
        <v>0</v>
      </c>
      <c r="BC8" s="645" t="b">
        <f t="shared" ref="BC8:BC39" si="18">IF(OR(ISNA($Z8),ISNUMBER($Z8),NOT(ISNUMBER($J8)),K8="D"),FALSE,IF(AND(NOT(ISNUMBER($K8)),J8&gt;0),TRUE,FALSE))</f>
        <v>0</v>
      </c>
      <c r="BD8" s="647" t="b">
        <f>IF(OR(ISNA($Z8),ISNUMBER($Z8),NOT(ISNUMBER(K8))),FALSE,OR(NOT(ISNUMBER(J8)),J8=0,AND(J8=0,K8&lt;&gt;0)))</f>
        <v>0</v>
      </c>
      <c r="BE8" s="646" t="b">
        <f t="shared" ref="BE8:BE21" si="19">IF(OR(ISNA($Z8),K8&lt;&gt;"D"),FALSE,IF(OR(AND(H8="NG",J8=0),AND(H8&lt;&gt;"NG",NOT(OR(J8="NA",J8=0)))),TRUE,FALSE))</f>
        <v>0</v>
      </c>
      <c r="BF8" s="648" t="b">
        <f t="shared" ref="BF8:BF30" si="20">IF(OR(ISNA($Z8),H8&lt;&gt;"NG"),FALSE,IF(AND(J8="NA",K8&lt;&gt;""),TRUE,FALSE))</f>
        <v>0</v>
      </c>
      <c r="BG8" s="643" t="b">
        <f t="shared" ref="BG8:BG21" si="21">IF(ISNA($Z8),"NA",IF(OR(AZ8,AY8,AX8,AW8,AP8,BA8,BB8),TRUE,FALSE))</f>
        <v>0</v>
      </c>
      <c r="BH8" s="649" t="str">
        <f>IF(ISNA($Z8),"",IF(OR($Z8=1,$Z8=2),"",$V8))</f>
        <v/>
      </c>
      <c r="BI8" s="643" t="str">
        <f t="shared" ref="BI8:BI39" si="22">IF(ISNA($Z8),"",IF(OR($Z8=1,$Z8=2,$G8=""),"",IF(AB8=0,AH8,$AD8)))</f>
        <v/>
      </c>
      <c r="BJ8" s="643" t="str">
        <f t="shared" ref="BJ8:BJ39" si="23">IF(ISNA(AE8),"",IF(OR(Z8=1,Z8=2),"",IF(OR(AE8=0,AD8="NG"),TEXT(BI8,"0"),CONCATENATE(TEXT(BI8,"0"),"*"))))</f>
        <v/>
      </c>
      <c r="BK8" s="643" t="str">
        <f t="shared" ref="BK8:BK39" si="24">IF(ISNA($Z8),"",IF(OR($Z8=1,$Z8=2,$G8=""),"",IF(AB8=0,AG8,$AC8)))</f>
        <v/>
      </c>
      <c r="BL8" s="649" t="str">
        <f>IF(ISBLANK(BH8),"",IF(BH8=0,"",BH8))</f>
        <v/>
      </c>
      <c r="BM8" s="643" t="str">
        <f t="shared" ref="BM8:BM39" si="25">IF($BH8=0,"",IF($BI8="NG","D",$BI8))</f>
        <v/>
      </c>
      <c r="BN8" s="643" t="str">
        <f t="shared" ref="BN8:BN39" si="26">IF(ISNA(U8),"",IF($BH8=0,"",IF($BI8="NG","D",BK8)))</f>
        <v/>
      </c>
      <c r="BO8" s="650" t="s">
        <v>341</v>
      </c>
      <c r="BP8" s="651"/>
    </row>
    <row r="9" spans="2:73" s="608" customFormat="1" ht="12.95" customHeight="1" x14ac:dyDescent="0.2">
      <c r="B9" s="652">
        <f>IF(ISNA(Z9),"",IF(OR(Z9=1,Z9=2),"    ",MAX($B$8:B8)+1))</f>
        <v>1</v>
      </c>
      <c r="C9" s="1334" t="str">
        <f t="shared" si="0"/>
        <v>Basic Aircraft Procedures (2.0%)</v>
      </c>
      <c r="D9" s="1334"/>
      <c r="E9" s="1334"/>
      <c r="F9" s="1335"/>
      <c r="G9" s="638">
        <f t="shared" si="1"/>
        <v>1</v>
      </c>
      <c r="H9" s="639" t="str">
        <f t="shared" si="2"/>
        <v>2*</v>
      </c>
      <c r="I9" s="653">
        <f t="shared" si="2"/>
        <v>3</v>
      </c>
      <c r="J9" s="654"/>
      <c r="K9" s="655"/>
      <c r="L9" s="1343"/>
      <c r="M9" s="1344"/>
      <c r="N9" s="1344"/>
      <c r="O9" s="1344"/>
      <c r="P9" s="1344"/>
      <c r="Q9" s="1344"/>
      <c r="R9" s="1345"/>
      <c r="T9" s="604">
        <v>2</v>
      </c>
      <c r="U9" s="594" t="s">
        <v>342</v>
      </c>
      <c r="V9" s="643">
        <v>1</v>
      </c>
      <c r="W9" s="643" t="s">
        <v>340</v>
      </c>
      <c r="X9" s="643">
        <v>2</v>
      </c>
      <c r="Y9" s="643" t="s">
        <v>340</v>
      </c>
      <c r="Z9" s="647" t="s">
        <v>340</v>
      </c>
      <c r="AA9" s="647">
        <v>1</v>
      </c>
      <c r="AB9" s="647">
        <v>0</v>
      </c>
      <c r="AC9" s="643">
        <v>3</v>
      </c>
      <c r="AD9" s="643">
        <v>3</v>
      </c>
      <c r="AE9" s="643">
        <v>1</v>
      </c>
      <c r="AF9" s="643" t="b">
        <v>1</v>
      </c>
      <c r="AG9" s="643">
        <f t="shared" si="3"/>
        <v>3</v>
      </c>
      <c r="AH9" s="643">
        <f t="shared" si="4"/>
        <v>2</v>
      </c>
      <c r="AI9" s="138">
        <f>IF(NOT(OR(Z9=1,Z9=2)),IF(AQ9&gt;0,$AR$44*AQ9/SUMIF($AQ$8:$AQ$39,"&gt;0"),IF(AU9&gt;0,$AV$44*AU9/SUMIF($AU$8:$AU$39,"&gt;0"),IF(AS9&gt;0,$AT$44*AS9/SUMIF($AS$8:$AS$39,"&gt;0"),""))),IF(SUMIF(AJ10:$AJ$39,"=" &amp; AJ9,AI10:$AI$39)=0,"",SUMIF(AJ10:$AJ$39,"=" &amp; AJ9,AI10:$AI$39)))</f>
        <v>0.02</v>
      </c>
      <c r="AJ9" s="139">
        <f>IF(OR(Z9=1,Z9=2,AA9&lt;AA8),AJ8+1,AJ8)</f>
        <v>0</v>
      </c>
      <c r="AK9" s="643">
        <f t="shared" ref="AK9:AK39" si="27">BI9</f>
        <v>2</v>
      </c>
      <c r="AL9" s="647" t="str">
        <f t="shared" ref="AL9:AL39" si="28">IF(ISBLANK(K9),"",K9)</f>
        <v/>
      </c>
      <c r="AM9" s="647" t="str">
        <f>IF(ISNUMBER(AK9),IF(ISNUMBER(AL9),1,""),"")</f>
        <v/>
      </c>
      <c r="AN9" s="647" t="str">
        <f t="shared" si="5"/>
        <v/>
      </c>
      <c r="AO9" s="647">
        <f t="shared" si="6"/>
        <v>2</v>
      </c>
      <c r="AP9" s="643" t="b">
        <f>IF(ISNA(Z9),"",IF(AND(ISNUMBER(B9),G9&gt;=1,H9&lt;&gt;"NG"),IF(K9&lt;BK9,TRUE,FALSE),IF(AND(G9&gt;=1,J9="NA"),TRUE,IF(AND(AM9=1,G9=0,AL9&lt;BI9),TRUE,""))))</f>
        <v>1</v>
      </c>
      <c r="AQ9" s="644">
        <f t="shared" ref="AQ9:AQ39" si="29">IF(ISNA(Z9),0,IF(OR(J9="NA",W9="",AB9=0),0,W9))</f>
        <v>0</v>
      </c>
      <c r="AR9" s="141">
        <f>IF(ISNA(Z9),"",IF(AND(NOT(OR(Z9=1,Z9=2,AK9="NG",AB9=0)),IF(ISNUMBER(AL9),AL9&gt;=0,FALSE)),VLOOKUP((10*AD9+AC9),$AQ$50:$AV$58,2+AL9,FALSE),IF(AND(input_test=TRUE,ISNUMBER(AD9),V9&lt;&gt;0),VLOOKUP((10*AD9+AC9),$AQ$50:$AV$58,2,FALSE),"")))</f>
        <v>0</v>
      </c>
      <c r="AS9" s="142">
        <f t="shared" ref="AS9:AS39" si="30">IF(ISNA(Z9),0,IF(OR(J9="NA",X9="",AB9=1),0,X9))</f>
        <v>2</v>
      </c>
      <c r="AT9" s="141">
        <f>IF(ISNA(Z9),"",IF(AND(NOT(OR(Z9=1,Z9=2,AK9="NG",AB9=1)),IF(ISNUMBER(AL9),AL9&gt;=0,FALSE)),VLOOKUP((10*AH9+AG9),$AQ$50:$AV$58,2+AL9,FALSE),IF(AND(input_test=TRUE,ISNUMBER(AD9),V9&lt;&gt;0),VLOOKUP((10*AH9+AG9),$AQ$50:$AV$58,2,FALSE),"")))</f>
        <v>0.3</v>
      </c>
      <c r="AU9" s="645">
        <f t="shared" si="10"/>
        <v>0</v>
      </c>
      <c r="AV9" s="144">
        <f t="shared" si="11"/>
        <v>0</v>
      </c>
      <c r="AW9" s="645" t="b">
        <f t="shared" si="12"/>
        <v>1</v>
      </c>
      <c r="AX9" s="646" t="b">
        <f t="shared" si="13"/>
        <v>0</v>
      </c>
      <c r="AY9" s="645" t="b">
        <f t="shared" si="14"/>
        <v>0</v>
      </c>
      <c r="AZ9" s="646" t="b">
        <f t="shared" si="15"/>
        <v>0</v>
      </c>
      <c r="BA9" s="643" t="b">
        <f t="shared" si="16"/>
        <v>0</v>
      </c>
      <c r="BB9" s="643" t="b">
        <f t="shared" si="17"/>
        <v>0</v>
      </c>
      <c r="BC9" s="645" t="b">
        <f t="shared" si="18"/>
        <v>0</v>
      </c>
      <c r="BD9" s="647" t="b">
        <f t="shared" ref="BD9:BD39" si="31">IF(OR(ISNA($Z9),ISNUMBER($Z9),NOT(ISNUMBER(K9))),FALSE,OR(NOT(ISNUMBER(J9)),J9=0,AND(J9=0,K9&lt;&gt;0)))</f>
        <v>0</v>
      </c>
      <c r="BE9" s="646" t="b">
        <f t="shared" si="19"/>
        <v>0</v>
      </c>
      <c r="BF9" s="648" t="b">
        <f t="shared" si="20"/>
        <v>0</v>
      </c>
      <c r="BG9" s="643" t="b">
        <f t="shared" si="21"/>
        <v>1</v>
      </c>
      <c r="BH9" s="643">
        <f t="shared" ref="BH9:BH39" si="32">IF(ISNA($Z9),"",IF(OR($Z9=1,$Z9=2),"",$V9))</f>
        <v>1</v>
      </c>
      <c r="BI9" s="643">
        <f t="shared" si="22"/>
        <v>2</v>
      </c>
      <c r="BJ9" s="643" t="str">
        <f t="shared" si="23"/>
        <v>2*</v>
      </c>
      <c r="BK9" s="643">
        <f t="shared" si="24"/>
        <v>3</v>
      </c>
      <c r="BL9" s="649">
        <f t="shared" ref="BL9:BL39" si="33">IF(ISBLANK(BH9),"",IF(BH9=0,"",BH9))</f>
        <v>1</v>
      </c>
      <c r="BM9" s="643">
        <f t="shared" si="25"/>
        <v>2</v>
      </c>
      <c r="BN9" s="643">
        <f t="shared" si="26"/>
        <v>3</v>
      </c>
      <c r="BO9" s="656" t="s">
        <v>343</v>
      </c>
      <c r="BP9" s="657" t="s">
        <v>344</v>
      </c>
    </row>
    <row r="10" spans="2:73" s="608" customFormat="1" ht="12.95" customHeight="1" x14ac:dyDescent="0.2">
      <c r="B10" s="652">
        <f>IF(ISNA(Z10),"",IF(OR(Z10=1,Z10=2),"    ",MAX($B$8:B9)+1))</f>
        <v>2</v>
      </c>
      <c r="C10" s="1334" t="str">
        <f t="shared" si="0"/>
        <v>Basic Aircraft Handling (2.0%)</v>
      </c>
      <c r="D10" s="1334"/>
      <c r="E10" s="1334"/>
      <c r="F10" s="1335"/>
      <c r="G10" s="638">
        <f t="shared" si="1"/>
        <v>1</v>
      </c>
      <c r="H10" s="639" t="str">
        <f t="shared" si="2"/>
        <v>2*</v>
      </c>
      <c r="I10" s="653">
        <f t="shared" si="2"/>
        <v>3</v>
      </c>
      <c r="J10" s="658"/>
      <c r="K10" s="655"/>
      <c r="L10" s="1343"/>
      <c r="M10" s="1344"/>
      <c r="N10" s="1344"/>
      <c r="O10" s="1344"/>
      <c r="P10" s="1344"/>
      <c r="Q10" s="1344"/>
      <c r="R10" s="1345"/>
      <c r="T10" s="604">
        <v>3</v>
      </c>
      <c r="U10" s="594" t="s">
        <v>551</v>
      </c>
      <c r="V10" s="643">
        <v>1</v>
      </c>
      <c r="W10" s="643" t="s">
        <v>340</v>
      </c>
      <c r="X10" s="643">
        <v>2</v>
      </c>
      <c r="Y10" s="643" t="s">
        <v>340</v>
      </c>
      <c r="Z10" s="647" t="s">
        <v>340</v>
      </c>
      <c r="AA10" s="647">
        <v>1</v>
      </c>
      <c r="AB10" s="647">
        <v>0</v>
      </c>
      <c r="AC10" s="643">
        <v>3</v>
      </c>
      <c r="AD10" s="643">
        <v>3</v>
      </c>
      <c r="AE10" s="643">
        <v>1</v>
      </c>
      <c r="AF10" s="643" t="b">
        <v>1</v>
      </c>
      <c r="AG10" s="643">
        <f t="shared" si="3"/>
        <v>3</v>
      </c>
      <c r="AH10" s="643">
        <f t="shared" si="4"/>
        <v>2</v>
      </c>
      <c r="AI10" s="138">
        <f>IF(NOT(OR(Z10=1,Z10=2)),IF(AQ10&gt;0,$AR$44*AQ10/SUMIF($AQ$8:$AQ$39,"&gt;0"),IF(AU10&gt;0,$AV$44*AU10/SUMIF($AU$8:$AU$39,"&gt;0"),IF(AS10&gt;0,$AT$44*AS10/SUMIF($AS$8:$AS$39,"&gt;0"),""))),IF(SUMIF(AJ11:$AJ$39,"=" &amp; AJ10,AI11:$AI$39)=0,"",SUMIF(AJ11:$AJ$39,"=" &amp; AJ10,AI11:$AI$39)))</f>
        <v>0.02</v>
      </c>
      <c r="AJ10" s="139">
        <f t="shared" ref="AJ10:AJ39" si="34">IF(OR(Z10=1,Z10=2,AA10&lt;AA9),AJ9+1,AJ9)</f>
        <v>0</v>
      </c>
      <c r="AK10" s="643">
        <f t="shared" si="27"/>
        <v>2</v>
      </c>
      <c r="AL10" s="647" t="str">
        <f t="shared" si="28"/>
        <v/>
      </c>
      <c r="AM10" s="647" t="str">
        <f t="shared" ref="AM10:AM39" si="35">IF(ISNUMBER(AK10),IF(ISNUMBER(AL10),1,""),"")</f>
        <v/>
      </c>
      <c r="AN10" s="647" t="str">
        <f t="shared" si="5"/>
        <v/>
      </c>
      <c r="AO10" s="647">
        <f t="shared" si="6"/>
        <v>2</v>
      </c>
      <c r="AP10" s="643" t="b">
        <f t="shared" si="7"/>
        <v>1</v>
      </c>
      <c r="AQ10" s="644">
        <f t="shared" si="29"/>
        <v>0</v>
      </c>
      <c r="AR10" s="141">
        <f t="shared" si="8"/>
        <v>0</v>
      </c>
      <c r="AS10" s="142">
        <f t="shared" si="30"/>
        <v>2</v>
      </c>
      <c r="AT10" s="141">
        <f t="shared" si="9"/>
        <v>0.3</v>
      </c>
      <c r="AU10" s="645">
        <f t="shared" si="10"/>
        <v>0</v>
      </c>
      <c r="AV10" s="144">
        <f t="shared" si="11"/>
        <v>0</v>
      </c>
      <c r="AW10" s="645" t="b">
        <f t="shared" si="12"/>
        <v>1</v>
      </c>
      <c r="AX10" s="646" t="b">
        <f t="shared" si="13"/>
        <v>0</v>
      </c>
      <c r="AY10" s="645" t="b">
        <f t="shared" si="14"/>
        <v>0</v>
      </c>
      <c r="AZ10" s="646" t="b">
        <f t="shared" si="15"/>
        <v>0</v>
      </c>
      <c r="BA10" s="643" t="b">
        <f t="shared" si="16"/>
        <v>0</v>
      </c>
      <c r="BB10" s="643" t="b">
        <f t="shared" si="17"/>
        <v>0</v>
      </c>
      <c r="BC10" s="645" t="b">
        <f t="shared" si="18"/>
        <v>0</v>
      </c>
      <c r="BD10" s="647" t="b">
        <f t="shared" si="31"/>
        <v>0</v>
      </c>
      <c r="BE10" s="646" t="b">
        <f t="shared" si="19"/>
        <v>0</v>
      </c>
      <c r="BF10" s="648" t="b">
        <f t="shared" si="20"/>
        <v>0</v>
      </c>
      <c r="BG10" s="643" t="b">
        <f t="shared" si="21"/>
        <v>1</v>
      </c>
      <c r="BH10" s="643">
        <f t="shared" si="32"/>
        <v>1</v>
      </c>
      <c r="BI10" s="643">
        <f t="shared" si="22"/>
        <v>2</v>
      </c>
      <c r="BJ10" s="643" t="str">
        <f t="shared" si="23"/>
        <v>2*</v>
      </c>
      <c r="BK10" s="643">
        <f t="shared" si="24"/>
        <v>3</v>
      </c>
      <c r="BL10" s="649">
        <f t="shared" si="33"/>
        <v>1</v>
      </c>
      <c r="BM10" s="643">
        <f t="shared" si="25"/>
        <v>2</v>
      </c>
      <c r="BN10" s="643">
        <f t="shared" si="26"/>
        <v>3</v>
      </c>
      <c r="BO10" s="656">
        <v>0</v>
      </c>
      <c r="BP10" s="657" t="s">
        <v>346</v>
      </c>
    </row>
    <row r="11" spans="2:73" s="608" customFormat="1" ht="12.95" customHeight="1" x14ac:dyDescent="0.2">
      <c r="B11" s="652">
        <f>IF(ISNA(Z11),"",IF(OR(Z11=1,Z11=2),"    ",MAX($B$8:B10)+1))</f>
        <v>3</v>
      </c>
      <c r="C11" s="1334" t="str">
        <f t="shared" si="0"/>
        <v>Local Area Proc/Orientation/Comm (2.0%)</v>
      </c>
      <c r="D11" s="1334"/>
      <c r="E11" s="1334"/>
      <c r="F11" s="1335"/>
      <c r="G11" s="638">
        <f t="shared" si="1"/>
        <v>1</v>
      </c>
      <c r="H11" s="639" t="str">
        <f t="shared" si="2"/>
        <v>2*</v>
      </c>
      <c r="I11" s="653">
        <f t="shared" si="2"/>
        <v>3</v>
      </c>
      <c r="J11" s="658"/>
      <c r="K11" s="655"/>
      <c r="L11" s="1343"/>
      <c r="M11" s="1344"/>
      <c r="N11" s="1344"/>
      <c r="O11" s="1344"/>
      <c r="P11" s="1344"/>
      <c r="Q11" s="1344"/>
      <c r="R11" s="1345"/>
      <c r="T11" s="604">
        <v>4</v>
      </c>
      <c r="U11" s="594" t="s">
        <v>825</v>
      </c>
      <c r="V11" s="643">
        <v>1</v>
      </c>
      <c r="W11" s="643" t="s">
        <v>340</v>
      </c>
      <c r="X11" s="643">
        <v>2</v>
      </c>
      <c r="Y11" s="643" t="s">
        <v>340</v>
      </c>
      <c r="Z11" s="647" t="s">
        <v>340</v>
      </c>
      <c r="AA11" s="647">
        <v>1</v>
      </c>
      <c r="AB11" s="647">
        <v>0</v>
      </c>
      <c r="AC11" s="643">
        <v>3</v>
      </c>
      <c r="AD11" s="643">
        <v>3</v>
      </c>
      <c r="AE11" s="643">
        <v>1</v>
      </c>
      <c r="AF11" s="643" t="b">
        <v>1</v>
      </c>
      <c r="AG11" s="643">
        <f t="shared" si="3"/>
        <v>3</v>
      </c>
      <c r="AH11" s="643">
        <f t="shared" si="4"/>
        <v>2</v>
      </c>
      <c r="AI11" s="138">
        <f>IF(NOT(OR(Z11=1,Z11=2)),IF(AQ11&gt;0,$AR$44*AQ11/SUMIF($AQ$8:$AQ$39,"&gt;0"),IF(AU11&gt;0,$AV$44*AU11/SUMIF($AU$8:$AU$39,"&gt;0"),IF(AS11&gt;0,$AT$44*AS11/SUMIF($AS$8:$AS$39,"&gt;0"),""))),IF(SUMIF(AJ12:$AJ$39,"=" &amp; AJ11,AI12:$AI$39)=0,"",SUMIF(AJ12:$AJ$39,"=" &amp; AJ11,AI12:$AI$39)))</f>
        <v>0.02</v>
      </c>
      <c r="AJ11" s="139">
        <f t="shared" si="34"/>
        <v>0</v>
      </c>
      <c r="AK11" s="643">
        <f t="shared" si="27"/>
        <v>2</v>
      </c>
      <c r="AL11" s="647" t="str">
        <f t="shared" si="28"/>
        <v/>
      </c>
      <c r="AM11" s="647" t="str">
        <f t="shared" si="35"/>
        <v/>
      </c>
      <c r="AN11" s="647" t="str">
        <f t="shared" si="5"/>
        <v/>
      </c>
      <c r="AO11" s="647">
        <f t="shared" si="6"/>
        <v>2</v>
      </c>
      <c r="AP11" s="643" t="b">
        <f t="shared" si="7"/>
        <v>1</v>
      </c>
      <c r="AQ11" s="644">
        <f t="shared" si="29"/>
        <v>0</v>
      </c>
      <c r="AR11" s="141">
        <f t="shared" si="8"/>
        <v>0</v>
      </c>
      <c r="AS11" s="142">
        <f t="shared" si="30"/>
        <v>2</v>
      </c>
      <c r="AT11" s="141">
        <f t="shared" si="9"/>
        <v>0.3</v>
      </c>
      <c r="AU11" s="645">
        <f t="shared" si="10"/>
        <v>0</v>
      </c>
      <c r="AV11" s="144">
        <f t="shared" si="11"/>
        <v>0</v>
      </c>
      <c r="AW11" s="645" t="b">
        <f t="shared" si="12"/>
        <v>1</v>
      </c>
      <c r="AX11" s="646" t="b">
        <f t="shared" si="13"/>
        <v>0</v>
      </c>
      <c r="AY11" s="645" t="b">
        <f t="shared" si="14"/>
        <v>0</v>
      </c>
      <c r="AZ11" s="646" t="b">
        <f t="shared" si="15"/>
        <v>0</v>
      </c>
      <c r="BA11" s="643" t="b">
        <f t="shared" si="16"/>
        <v>0</v>
      </c>
      <c r="BB11" s="643" t="b">
        <f t="shared" si="17"/>
        <v>0</v>
      </c>
      <c r="BC11" s="645" t="b">
        <f t="shared" si="18"/>
        <v>0</v>
      </c>
      <c r="BD11" s="647" t="b">
        <f t="shared" si="31"/>
        <v>0</v>
      </c>
      <c r="BE11" s="646" t="b">
        <f t="shared" si="19"/>
        <v>0</v>
      </c>
      <c r="BF11" s="648" t="b">
        <f t="shared" si="20"/>
        <v>0</v>
      </c>
      <c r="BG11" s="643" t="b">
        <f t="shared" si="21"/>
        <v>1</v>
      </c>
      <c r="BH11" s="643">
        <f t="shared" si="32"/>
        <v>1</v>
      </c>
      <c r="BI11" s="643">
        <f t="shared" si="22"/>
        <v>2</v>
      </c>
      <c r="BJ11" s="643" t="str">
        <f t="shared" si="23"/>
        <v>2*</v>
      </c>
      <c r="BK11" s="643">
        <f t="shared" si="24"/>
        <v>3</v>
      </c>
      <c r="BL11" s="649">
        <f t="shared" si="33"/>
        <v>1</v>
      </c>
      <c r="BM11" s="643">
        <f t="shared" si="25"/>
        <v>2</v>
      </c>
      <c r="BN11" s="643">
        <f t="shared" si="26"/>
        <v>3</v>
      </c>
      <c r="BO11" s="656">
        <v>1</v>
      </c>
      <c r="BP11" s="657" t="s">
        <v>348</v>
      </c>
    </row>
    <row r="12" spans="2:73" s="608" customFormat="1" ht="12.95" customHeight="1" x14ac:dyDescent="0.2">
      <c r="B12" s="652">
        <f>IF(ISNA(Z12),"",IF(OR(Z12=1,Z12=2),"    ",MAX($B$8:B11)+1))</f>
        <v>4</v>
      </c>
      <c r="C12" s="1334" t="str">
        <f t="shared" si="0"/>
        <v>Situational Awareness/Judgement (2.0%)</v>
      </c>
      <c r="D12" s="1334"/>
      <c r="E12" s="1334"/>
      <c r="F12" s="1335"/>
      <c r="G12" s="638">
        <f t="shared" si="1"/>
        <v>1</v>
      </c>
      <c r="H12" s="639" t="str">
        <f t="shared" si="2"/>
        <v>2*</v>
      </c>
      <c r="I12" s="653">
        <f t="shared" si="2"/>
        <v>3</v>
      </c>
      <c r="J12" s="658"/>
      <c r="K12" s="655"/>
      <c r="L12" s="1343"/>
      <c r="M12" s="1344"/>
      <c r="N12" s="1344"/>
      <c r="O12" s="1344"/>
      <c r="P12" s="1344"/>
      <c r="Q12" s="1344"/>
      <c r="R12" s="1345"/>
      <c r="T12" s="604">
        <v>5</v>
      </c>
      <c r="U12" s="594" t="s">
        <v>347</v>
      </c>
      <c r="V12" s="643">
        <v>1</v>
      </c>
      <c r="W12" s="643" t="s">
        <v>340</v>
      </c>
      <c r="X12" s="643">
        <v>2</v>
      </c>
      <c r="Y12" s="643" t="s">
        <v>340</v>
      </c>
      <c r="Z12" s="647" t="s">
        <v>340</v>
      </c>
      <c r="AA12" s="647">
        <v>1</v>
      </c>
      <c r="AB12" s="647">
        <v>0</v>
      </c>
      <c r="AC12" s="643">
        <v>3</v>
      </c>
      <c r="AD12" s="643">
        <v>3</v>
      </c>
      <c r="AE12" s="643">
        <v>1</v>
      </c>
      <c r="AF12" s="643" t="b">
        <v>1</v>
      </c>
      <c r="AG12" s="643">
        <f t="shared" si="3"/>
        <v>3</v>
      </c>
      <c r="AH12" s="643">
        <f t="shared" si="4"/>
        <v>2</v>
      </c>
      <c r="AI12" s="138">
        <f>IF(NOT(OR(Z12=1,Z12=2)),IF(AQ12&gt;0,$AR$44*AQ12/SUMIF($AQ$8:$AQ$39,"&gt;0"),IF(AU12&gt;0,$AV$44*AU12/SUMIF($AU$8:$AU$39,"&gt;0"),IF(AS12&gt;0,$AT$44*AS12/SUMIF($AS$8:$AS$39,"&gt;0"),""))),IF(SUMIF(AJ13:$AJ$39,"=" &amp; AJ12,AI13:$AI$39)=0,"",SUMIF(AJ13:$AJ$39,"=" &amp; AJ12,AI13:$AI$39)))</f>
        <v>0.02</v>
      </c>
      <c r="AJ12" s="139">
        <f t="shared" si="34"/>
        <v>0</v>
      </c>
      <c r="AK12" s="643">
        <f t="shared" si="27"/>
        <v>2</v>
      </c>
      <c r="AL12" s="647" t="str">
        <f t="shared" si="28"/>
        <v/>
      </c>
      <c r="AM12" s="647" t="str">
        <f t="shared" si="35"/>
        <v/>
      </c>
      <c r="AN12" s="647" t="str">
        <f t="shared" si="5"/>
        <v/>
      </c>
      <c r="AO12" s="647">
        <f t="shared" si="6"/>
        <v>2</v>
      </c>
      <c r="AP12" s="643" t="b">
        <f t="shared" si="7"/>
        <v>1</v>
      </c>
      <c r="AQ12" s="644">
        <f t="shared" si="29"/>
        <v>0</v>
      </c>
      <c r="AR12" s="141">
        <f t="shared" si="8"/>
        <v>0</v>
      </c>
      <c r="AS12" s="142">
        <f t="shared" si="30"/>
        <v>2</v>
      </c>
      <c r="AT12" s="141">
        <f t="shared" si="9"/>
        <v>0.3</v>
      </c>
      <c r="AU12" s="645">
        <f t="shared" si="10"/>
        <v>0</v>
      </c>
      <c r="AV12" s="144">
        <f t="shared" si="11"/>
        <v>0</v>
      </c>
      <c r="AW12" s="645" t="b">
        <f t="shared" si="12"/>
        <v>1</v>
      </c>
      <c r="AX12" s="646" t="b">
        <f t="shared" si="13"/>
        <v>0</v>
      </c>
      <c r="AY12" s="645" t="b">
        <f t="shared" si="14"/>
        <v>0</v>
      </c>
      <c r="AZ12" s="646" t="b">
        <f t="shared" si="15"/>
        <v>0</v>
      </c>
      <c r="BA12" s="643" t="b">
        <f t="shared" si="16"/>
        <v>0</v>
      </c>
      <c r="BB12" s="643" t="b">
        <f t="shared" si="17"/>
        <v>0</v>
      </c>
      <c r="BC12" s="645" t="b">
        <f t="shared" si="18"/>
        <v>0</v>
      </c>
      <c r="BD12" s="647" t="b">
        <f t="shared" si="31"/>
        <v>0</v>
      </c>
      <c r="BE12" s="646" t="b">
        <f t="shared" si="19"/>
        <v>0</v>
      </c>
      <c r="BF12" s="648" t="b">
        <f t="shared" si="20"/>
        <v>0</v>
      </c>
      <c r="BG12" s="643" t="b">
        <f t="shared" si="21"/>
        <v>1</v>
      </c>
      <c r="BH12" s="643">
        <f t="shared" si="32"/>
        <v>1</v>
      </c>
      <c r="BI12" s="643">
        <f t="shared" si="22"/>
        <v>2</v>
      </c>
      <c r="BJ12" s="643" t="str">
        <f t="shared" si="23"/>
        <v>2*</v>
      </c>
      <c r="BK12" s="643">
        <f t="shared" si="24"/>
        <v>3</v>
      </c>
      <c r="BL12" s="649">
        <f t="shared" si="33"/>
        <v>1</v>
      </c>
      <c r="BM12" s="643">
        <f t="shared" si="25"/>
        <v>2</v>
      </c>
      <c r="BN12" s="643">
        <f t="shared" si="26"/>
        <v>3</v>
      </c>
      <c r="BO12" s="656">
        <v>2</v>
      </c>
      <c r="BP12" s="657" t="s">
        <v>350</v>
      </c>
    </row>
    <row r="13" spans="2:73" s="608" customFormat="1" ht="12.95" customHeight="1" x14ac:dyDescent="0.2">
      <c r="B13" s="652">
        <f>IF(ISNA(Z13),"",IF(OR(Z13=1,Z13=2),"    ",MAX($B$8:B12)+1))</f>
        <v>5</v>
      </c>
      <c r="C13" s="1334" t="str">
        <f t="shared" si="0"/>
        <v>Clearing/Visual Lookout (2.0%)</v>
      </c>
      <c r="D13" s="1334"/>
      <c r="E13" s="1334"/>
      <c r="F13" s="1335"/>
      <c r="G13" s="638">
        <f t="shared" si="1"/>
        <v>1</v>
      </c>
      <c r="H13" s="639" t="str">
        <f t="shared" si="2"/>
        <v>2*</v>
      </c>
      <c r="I13" s="653">
        <f t="shared" si="2"/>
        <v>3</v>
      </c>
      <c r="J13" s="658"/>
      <c r="K13" s="655"/>
      <c r="L13" s="1343"/>
      <c r="M13" s="1344"/>
      <c r="N13" s="1344"/>
      <c r="O13" s="1344"/>
      <c r="P13" s="1344"/>
      <c r="Q13" s="1344"/>
      <c r="R13" s="1345"/>
      <c r="T13" s="604">
        <v>6</v>
      </c>
      <c r="U13" s="594" t="s">
        <v>349</v>
      </c>
      <c r="V13" s="643">
        <v>1</v>
      </c>
      <c r="W13" s="643" t="s">
        <v>340</v>
      </c>
      <c r="X13" s="643">
        <v>2</v>
      </c>
      <c r="Y13" s="643" t="s">
        <v>340</v>
      </c>
      <c r="Z13" s="647" t="s">
        <v>340</v>
      </c>
      <c r="AA13" s="647">
        <v>1</v>
      </c>
      <c r="AB13" s="647">
        <v>0</v>
      </c>
      <c r="AC13" s="643">
        <v>3</v>
      </c>
      <c r="AD13" s="643">
        <v>3</v>
      </c>
      <c r="AE13" s="643">
        <v>1</v>
      </c>
      <c r="AF13" s="643" t="b">
        <v>1</v>
      </c>
      <c r="AG13" s="643">
        <f t="shared" si="3"/>
        <v>3</v>
      </c>
      <c r="AH13" s="643">
        <f t="shared" si="4"/>
        <v>2</v>
      </c>
      <c r="AI13" s="138">
        <f>IF(NOT(OR(Z13=1,Z13=2)),IF(AQ13&gt;0,$AR$44*AQ13/SUMIF($AQ$8:$AQ$39,"&gt;0"),IF(AU13&gt;0,$AV$44*AU13/SUMIF($AU$8:$AU$39,"&gt;0"),IF(AS13&gt;0,$AT$44*AS13/SUMIF($AS$8:$AS$39,"&gt;0"),""))),IF(SUMIF(AJ14:$AJ$39,"=" &amp; AJ13,AI14:$AI$39)=0,"",SUMIF(AJ14:$AJ$39,"=" &amp; AJ13,AI14:$AI$39)))</f>
        <v>0.02</v>
      </c>
      <c r="AJ13" s="139">
        <f t="shared" si="34"/>
        <v>0</v>
      </c>
      <c r="AK13" s="643">
        <f t="shared" si="27"/>
        <v>2</v>
      </c>
      <c r="AL13" s="647" t="str">
        <f t="shared" si="28"/>
        <v/>
      </c>
      <c r="AM13" s="647" t="str">
        <f t="shared" si="35"/>
        <v/>
      </c>
      <c r="AN13" s="647" t="str">
        <f t="shared" si="5"/>
        <v/>
      </c>
      <c r="AO13" s="647">
        <f t="shared" si="6"/>
        <v>2</v>
      </c>
      <c r="AP13" s="643" t="b">
        <f t="shared" si="7"/>
        <v>1</v>
      </c>
      <c r="AQ13" s="644">
        <f t="shared" si="29"/>
        <v>0</v>
      </c>
      <c r="AR13" s="141">
        <f t="shared" si="8"/>
        <v>0</v>
      </c>
      <c r="AS13" s="142">
        <f t="shared" si="30"/>
        <v>2</v>
      </c>
      <c r="AT13" s="141">
        <f t="shared" si="9"/>
        <v>0.3</v>
      </c>
      <c r="AU13" s="645">
        <f t="shared" si="10"/>
        <v>0</v>
      </c>
      <c r="AV13" s="144">
        <f t="shared" si="11"/>
        <v>0</v>
      </c>
      <c r="AW13" s="645" t="b">
        <f t="shared" si="12"/>
        <v>1</v>
      </c>
      <c r="AX13" s="646" t="b">
        <f t="shared" si="13"/>
        <v>0</v>
      </c>
      <c r="AY13" s="645" t="b">
        <f t="shared" si="14"/>
        <v>0</v>
      </c>
      <c r="AZ13" s="646" t="b">
        <f t="shared" si="15"/>
        <v>0</v>
      </c>
      <c r="BA13" s="643" t="b">
        <f t="shared" si="16"/>
        <v>0</v>
      </c>
      <c r="BB13" s="643" t="b">
        <f t="shared" si="17"/>
        <v>0</v>
      </c>
      <c r="BC13" s="645" t="b">
        <f t="shared" si="18"/>
        <v>0</v>
      </c>
      <c r="BD13" s="647" t="b">
        <f t="shared" si="31"/>
        <v>0</v>
      </c>
      <c r="BE13" s="646" t="b">
        <f t="shared" si="19"/>
        <v>0</v>
      </c>
      <c r="BF13" s="648" t="b">
        <f t="shared" si="20"/>
        <v>0</v>
      </c>
      <c r="BG13" s="643" t="b">
        <f t="shared" si="21"/>
        <v>1</v>
      </c>
      <c r="BH13" s="643">
        <f t="shared" si="32"/>
        <v>1</v>
      </c>
      <c r="BI13" s="643">
        <f t="shared" si="22"/>
        <v>2</v>
      </c>
      <c r="BJ13" s="643" t="str">
        <f t="shared" si="23"/>
        <v>2*</v>
      </c>
      <c r="BK13" s="643">
        <f t="shared" si="24"/>
        <v>3</v>
      </c>
      <c r="BL13" s="649">
        <f t="shared" si="33"/>
        <v>1</v>
      </c>
      <c r="BM13" s="643">
        <f t="shared" si="25"/>
        <v>2</v>
      </c>
      <c r="BN13" s="643">
        <f t="shared" si="26"/>
        <v>3</v>
      </c>
      <c r="BO13" s="656">
        <v>3</v>
      </c>
      <c r="BP13" s="657" t="s">
        <v>352</v>
      </c>
    </row>
    <row r="14" spans="2:73" s="608" customFormat="1" ht="12.95" customHeight="1" x14ac:dyDescent="0.2">
      <c r="B14" s="652" t="str">
        <f>IF(ISNA(Z14),"",IF(OR(Z14=1,Z14=2),"    ",MAX($B$8:B13)+1))</f>
        <v xml:space="preserve">    </v>
      </c>
      <c r="C14" s="1334" t="str">
        <f t="shared" si="0"/>
        <v>Academic Tasks</v>
      </c>
      <c r="D14" s="1334"/>
      <c r="E14" s="1334"/>
      <c r="F14" s="1335"/>
      <c r="G14" s="638" t="str">
        <f t="shared" si="1"/>
        <v/>
      </c>
      <c r="H14" s="639" t="str">
        <f t="shared" si="2"/>
        <v/>
      </c>
      <c r="I14" s="653" t="str">
        <f t="shared" si="2"/>
        <v/>
      </c>
      <c r="J14" s="659"/>
      <c r="K14" s="660"/>
      <c r="L14" s="1343"/>
      <c r="M14" s="1344"/>
      <c r="N14" s="1344"/>
      <c r="O14" s="1344"/>
      <c r="P14" s="1344"/>
      <c r="Q14" s="1344"/>
      <c r="R14" s="1345"/>
      <c r="T14" s="604">
        <v>7</v>
      </c>
      <c r="U14" s="594" t="s">
        <v>351</v>
      </c>
      <c r="V14" s="643" t="s">
        <v>340</v>
      </c>
      <c r="W14" s="643" t="s">
        <v>340</v>
      </c>
      <c r="X14" s="643" t="s">
        <v>340</v>
      </c>
      <c r="Y14" s="643" t="s">
        <v>340</v>
      </c>
      <c r="Z14" s="647">
        <v>1</v>
      </c>
      <c r="AA14" s="647">
        <v>0</v>
      </c>
      <c r="AB14" s="647">
        <v>1</v>
      </c>
      <c r="AC14" s="643" t="s">
        <v>340</v>
      </c>
      <c r="AD14" s="643" t="s">
        <v>340</v>
      </c>
      <c r="AE14" s="643">
        <v>0</v>
      </c>
      <c r="AF14" s="643" t="s">
        <v>340</v>
      </c>
      <c r="AG14" s="643" t="str">
        <f t="shared" si="3"/>
        <v/>
      </c>
      <c r="AH14" s="643" t="str">
        <f t="shared" si="4"/>
        <v/>
      </c>
      <c r="AI14" s="138" t="str">
        <f>IF(NOT(OR(Z14=1,Z14=2)),IF(AQ14&gt;0,$AR$44*AQ14/SUMIF($AQ$8:$AQ$39,"&gt;0"),IF(AU14&gt;0,$AV$44*AU14/SUMIF($AU$8:$AU$39,"&gt;0"),IF(AS14&gt;0,$AT$44*AS14/SUMIF($AS$8:$AS$39,"&gt;0"),""))),IF(SUMIF(AJ15:$AJ$39,"=" &amp; AJ14,AI15:$AI$39)=0,"",SUMIF(AJ15:$AJ$39,"=" &amp; AJ14,AI15:$AI$39)))</f>
        <v/>
      </c>
      <c r="AJ14" s="139">
        <f t="shared" si="34"/>
        <v>1</v>
      </c>
      <c r="AK14" s="643" t="str">
        <f t="shared" si="27"/>
        <v/>
      </c>
      <c r="AL14" s="647" t="str">
        <f t="shared" si="28"/>
        <v/>
      </c>
      <c r="AM14" s="647" t="str">
        <f t="shared" si="35"/>
        <v/>
      </c>
      <c r="AN14" s="647" t="str">
        <f t="shared" si="5"/>
        <v/>
      </c>
      <c r="AO14" s="647" t="str">
        <f t="shared" si="6"/>
        <v/>
      </c>
      <c r="AP14" s="643" t="str">
        <f t="shared" si="7"/>
        <v/>
      </c>
      <c r="AQ14" s="644">
        <f t="shared" si="29"/>
        <v>0</v>
      </c>
      <c r="AR14" s="141" t="str">
        <f t="shared" si="8"/>
        <v/>
      </c>
      <c r="AS14" s="142">
        <f t="shared" si="30"/>
        <v>0</v>
      </c>
      <c r="AT14" s="141" t="str">
        <f t="shared" si="9"/>
        <v/>
      </c>
      <c r="AU14" s="645">
        <f t="shared" si="10"/>
        <v>0</v>
      </c>
      <c r="AV14" s="144" t="str">
        <f t="shared" si="11"/>
        <v/>
      </c>
      <c r="AW14" s="645" t="b">
        <f t="shared" si="12"/>
        <v>0</v>
      </c>
      <c r="AX14" s="646" t="b">
        <f t="shared" si="13"/>
        <v>0</v>
      </c>
      <c r="AY14" s="645" t="b">
        <f t="shared" si="14"/>
        <v>0</v>
      </c>
      <c r="AZ14" s="646" t="b">
        <f t="shared" si="15"/>
        <v>0</v>
      </c>
      <c r="BA14" s="643" t="b">
        <f t="shared" si="16"/>
        <v>0</v>
      </c>
      <c r="BB14" s="643" t="b">
        <f t="shared" si="17"/>
        <v>0</v>
      </c>
      <c r="BC14" s="645" t="b">
        <f t="shared" si="18"/>
        <v>0</v>
      </c>
      <c r="BD14" s="647" t="b">
        <f t="shared" si="31"/>
        <v>0</v>
      </c>
      <c r="BE14" s="646" t="b">
        <f t="shared" si="19"/>
        <v>0</v>
      </c>
      <c r="BF14" s="648" t="b">
        <f t="shared" si="20"/>
        <v>0</v>
      </c>
      <c r="BG14" s="643" t="b">
        <f t="shared" si="21"/>
        <v>0</v>
      </c>
      <c r="BH14" s="643" t="str">
        <f t="shared" si="32"/>
        <v/>
      </c>
      <c r="BI14" s="643" t="str">
        <f t="shared" si="22"/>
        <v/>
      </c>
      <c r="BJ14" s="643" t="str">
        <f t="shared" si="23"/>
        <v/>
      </c>
      <c r="BK14" s="643" t="str">
        <f t="shared" si="24"/>
        <v/>
      </c>
      <c r="BL14" s="649" t="str">
        <f t="shared" si="33"/>
        <v/>
      </c>
      <c r="BM14" s="643" t="str">
        <f t="shared" si="25"/>
        <v/>
      </c>
      <c r="BN14" s="643" t="str">
        <f t="shared" si="26"/>
        <v/>
      </c>
      <c r="BO14" s="656">
        <v>4</v>
      </c>
      <c r="BP14" s="657" t="s">
        <v>354</v>
      </c>
    </row>
    <row r="15" spans="2:73" s="608" customFormat="1" ht="12.95" customHeight="1" x14ac:dyDescent="0.2">
      <c r="B15" s="652" t="str">
        <f>IF(ISNA(Z15),"",IF(OR(Z15=1,Z15=2),"    ",MAX($B$8:B14)+1))</f>
        <v xml:space="preserve">    </v>
      </c>
      <c r="C15" s="1334" t="str">
        <f t="shared" si="0"/>
        <v>Test Conduct (25.0%)</v>
      </c>
      <c r="D15" s="1334"/>
      <c r="E15" s="1334"/>
      <c r="F15" s="1335"/>
      <c r="G15" s="638" t="str">
        <f t="shared" si="1"/>
        <v/>
      </c>
      <c r="H15" s="639" t="str">
        <f t="shared" si="2"/>
        <v/>
      </c>
      <c r="I15" s="653" t="str">
        <f t="shared" si="2"/>
        <v/>
      </c>
      <c r="J15" s="659"/>
      <c r="K15" s="660"/>
      <c r="L15" s="1343"/>
      <c r="M15" s="1344"/>
      <c r="N15" s="1344"/>
      <c r="O15" s="1344"/>
      <c r="P15" s="1344"/>
      <c r="Q15" s="1344"/>
      <c r="R15" s="1345"/>
      <c r="T15" s="604">
        <v>8</v>
      </c>
      <c r="U15" s="594" t="s">
        <v>353</v>
      </c>
      <c r="V15" s="643" t="s">
        <v>340</v>
      </c>
      <c r="W15" s="643" t="s">
        <v>340</v>
      </c>
      <c r="X15" s="643" t="s">
        <v>340</v>
      </c>
      <c r="Y15" s="643" t="s">
        <v>340</v>
      </c>
      <c r="Z15" s="647">
        <v>2</v>
      </c>
      <c r="AA15" s="647">
        <v>1</v>
      </c>
      <c r="AB15" s="647">
        <v>1</v>
      </c>
      <c r="AC15" s="643" t="s">
        <v>340</v>
      </c>
      <c r="AD15" s="643" t="s">
        <v>340</v>
      </c>
      <c r="AE15" s="643" t="s">
        <v>340</v>
      </c>
      <c r="AF15" s="643" t="s">
        <v>340</v>
      </c>
      <c r="AG15" s="643" t="str">
        <f t="shared" si="3"/>
        <v/>
      </c>
      <c r="AH15" s="643" t="str">
        <f t="shared" si="4"/>
        <v/>
      </c>
      <c r="AI15" s="138">
        <f>IF(NOT(OR(Z15=1,Z15=2)),IF(AQ15&gt;0,$AR$44*AQ15/SUMIF($AQ$8:$AQ$39,"&gt;0"),IF(AU15&gt;0,$AV$44*AU15/SUMIF($AU$8:$AU$39,"&gt;0"),IF(AS15&gt;0,$AT$44*AS15/SUMIF($AS$8:$AS$39,"&gt;0"),""))),IF(SUMIF(AJ16:$AJ$39,"=" &amp; AJ15,AI16:$AI$39)=0,"",SUMIF(AJ16:$AJ$39,"=" &amp; AJ15,AI16:$AI$39)))</f>
        <v>0.25</v>
      </c>
      <c r="AJ15" s="139">
        <f t="shared" si="34"/>
        <v>2</v>
      </c>
      <c r="AK15" s="643" t="str">
        <f t="shared" si="27"/>
        <v/>
      </c>
      <c r="AL15" s="647" t="str">
        <f t="shared" si="28"/>
        <v/>
      </c>
      <c r="AM15" s="647" t="str">
        <f t="shared" si="35"/>
        <v/>
      </c>
      <c r="AN15" s="647" t="str">
        <f t="shared" si="5"/>
        <v/>
      </c>
      <c r="AO15" s="647" t="str">
        <f t="shared" si="6"/>
        <v/>
      </c>
      <c r="AP15" s="643" t="str">
        <f t="shared" si="7"/>
        <v/>
      </c>
      <c r="AQ15" s="644">
        <f t="shared" si="29"/>
        <v>0</v>
      </c>
      <c r="AR15" s="141" t="str">
        <f t="shared" si="8"/>
        <v/>
      </c>
      <c r="AS15" s="142">
        <f t="shared" si="30"/>
        <v>0</v>
      </c>
      <c r="AT15" s="141" t="str">
        <f t="shared" si="9"/>
        <v/>
      </c>
      <c r="AU15" s="645">
        <f t="shared" si="10"/>
        <v>0</v>
      </c>
      <c r="AV15" s="144" t="str">
        <f t="shared" si="11"/>
        <v/>
      </c>
      <c r="AW15" s="645" t="b">
        <f t="shared" si="12"/>
        <v>0</v>
      </c>
      <c r="AX15" s="646" t="b">
        <f t="shared" si="13"/>
        <v>0</v>
      </c>
      <c r="AY15" s="645" t="b">
        <f t="shared" si="14"/>
        <v>0</v>
      </c>
      <c r="AZ15" s="646" t="b">
        <f t="shared" si="15"/>
        <v>0</v>
      </c>
      <c r="BA15" s="643" t="b">
        <f t="shared" si="16"/>
        <v>0</v>
      </c>
      <c r="BB15" s="643" t="b">
        <f t="shared" si="17"/>
        <v>0</v>
      </c>
      <c r="BC15" s="645" t="b">
        <f t="shared" si="18"/>
        <v>0</v>
      </c>
      <c r="BD15" s="647" t="b">
        <f t="shared" si="31"/>
        <v>0</v>
      </c>
      <c r="BE15" s="646" t="b">
        <f t="shared" si="19"/>
        <v>0</v>
      </c>
      <c r="BF15" s="648" t="b">
        <f t="shared" si="20"/>
        <v>0</v>
      </c>
      <c r="BG15" s="643" t="b">
        <f t="shared" si="21"/>
        <v>0</v>
      </c>
      <c r="BH15" s="643" t="str">
        <f t="shared" si="32"/>
        <v/>
      </c>
      <c r="BI15" s="643" t="str">
        <f t="shared" si="22"/>
        <v/>
      </c>
      <c r="BJ15" s="643" t="str">
        <f t="shared" si="23"/>
        <v/>
      </c>
      <c r="BK15" s="643" t="str">
        <f t="shared" si="24"/>
        <v/>
      </c>
      <c r="BL15" s="649" t="str">
        <f t="shared" si="33"/>
        <v/>
      </c>
      <c r="BM15" s="643" t="str">
        <f t="shared" si="25"/>
        <v/>
      </c>
      <c r="BN15" s="643" t="str">
        <f t="shared" si="26"/>
        <v/>
      </c>
      <c r="BO15" s="596"/>
    </row>
    <row r="16" spans="2:73" s="608" customFormat="1" ht="12.95" customHeight="1" x14ac:dyDescent="0.2">
      <c r="B16" s="652">
        <f>IF(ISNA(Z16),"",IF(OR(Z16=1,Z16=2),"    ",MAX($B$8:B15)+1))</f>
        <v>6</v>
      </c>
      <c r="C16" s="1334" t="str">
        <f t="shared" si="0"/>
        <v xml:space="preserve">      - Mission Materials/Briefing (5.0%)</v>
      </c>
      <c r="D16" s="1334"/>
      <c r="E16" s="1334"/>
      <c r="F16" s="1335"/>
      <c r="G16" s="638">
        <f t="shared" si="1"/>
        <v>1</v>
      </c>
      <c r="H16" s="639" t="str">
        <f t="shared" si="2"/>
        <v>2*</v>
      </c>
      <c r="I16" s="653">
        <f t="shared" si="2"/>
        <v>3</v>
      </c>
      <c r="J16" s="658"/>
      <c r="K16" s="655"/>
      <c r="L16" s="1343"/>
      <c r="M16" s="1344"/>
      <c r="N16" s="1344"/>
      <c r="O16" s="1344"/>
      <c r="P16" s="1344"/>
      <c r="Q16" s="1344"/>
      <c r="R16" s="1345"/>
      <c r="T16" s="604">
        <v>9</v>
      </c>
      <c r="U16" s="594" t="s">
        <v>458</v>
      </c>
      <c r="V16" s="643">
        <v>1</v>
      </c>
      <c r="W16" s="643">
        <v>5</v>
      </c>
      <c r="X16" s="643" t="s">
        <v>340</v>
      </c>
      <c r="Y16" s="643" t="s">
        <v>340</v>
      </c>
      <c r="Z16" s="647" t="s">
        <v>340</v>
      </c>
      <c r="AA16" s="647">
        <v>2</v>
      </c>
      <c r="AB16" s="647">
        <v>1</v>
      </c>
      <c r="AC16" s="643">
        <v>3</v>
      </c>
      <c r="AD16" s="643">
        <v>2</v>
      </c>
      <c r="AE16" s="643">
        <v>1</v>
      </c>
      <c r="AF16" s="643" t="b">
        <v>1</v>
      </c>
      <c r="AG16" s="643">
        <f t="shared" si="3"/>
        <v>2</v>
      </c>
      <c r="AH16" s="643">
        <f t="shared" si="4"/>
        <v>1</v>
      </c>
      <c r="AI16" s="138">
        <f>IF(NOT(OR(Z16=1,Z16=2)),IF(AQ16&gt;0,$AR$44*AQ16/SUMIF($AQ$8:$AQ$39,"&gt;0"),IF(AU16&gt;0,$AV$44*AU16/SUMIF($AU$8:$AU$39,"&gt;0"),IF(AS16&gt;0,$AT$44*AS16/SUMIF($AS$8:$AS$39,"&gt;0"),""))),IF(SUMIF(AJ17:$AJ$39,"=" &amp; AJ16,AI17:$AI$39)=0,"",SUMIF(AJ17:$AJ$39,"=" &amp; AJ16,AI17:$AI$39)))</f>
        <v>0.05</v>
      </c>
      <c r="AJ16" s="139">
        <f t="shared" si="34"/>
        <v>2</v>
      </c>
      <c r="AK16" s="643">
        <f t="shared" si="27"/>
        <v>2</v>
      </c>
      <c r="AL16" s="647" t="str">
        <f t="shared" si="28"/>
        <v/>
      </c>
      <c r="AM16" s="647" t="str">
        <f t="shared" si="35"/>
        <v/>
      </c>
      <c r="AN16" s="647" t="str">
        <f t="shared" si="5"/>
        <v/>
      </c>
      <c r="AO16" s="647" t="str">
        <f t="shared" si="6"/>
        <v/>
      </c>
      <c r="AP16" s="643" t="b">
        <f t="shared" si="7"/>
        <v>1</v>
      </c>
      <c r="AQ16" s="644">
        <f t="shared" si="29"/>
        <v>5</v>
      </c>
      <c r="AR16" s="141">
        <f t="shared" si="8"/>
        <v>0.3</v>
      </c>
      <c r="AS16" s="142">
        <f t="shared" si="30"/>
        <v>0</v>
      </c>
      <c r="AT16" s="141">
        <f t="shared" si="9"/>
        <v>0.6</v>
      </c>
      <c r="AU16" s="645">
        <f t="shared" si="10"/>
        <v>0</v>
      </c>
      <c r="AV16" s="144">
        <f t="shared" si="11"/>
        <v>0.3</v>
      </c>
      <c r="AW16" s="645" t="b">
        <f t="shared" si="12"/>
        <v>0</v>
      </c>
      <c r="AX16" s="646" t="b">
        <f t="shared" si="13"/>
        <v>1</v>
      </c>
      <c r="AY16" s="645" t="b">
        <f t="shared" si="14"/>
        <v>0</v>
      </c>
      <c r="AZ16" s="646" t="b">
        <f t="shared" si="15"/>
        <v>0</v>
      </c>
      <c r="BA16" s="643" t="b">
        <f t="shared" si="16"/>
        <v>0</v>
      </c>
      <c r="BB16" s="643" t="b">
        <f t="shared" si="17"/>
        <v>0</v>
      </c>
      <c r="BC16" s="645" t="b">
        <f t="shared" si="18"/>
        <v>0</v>
      </c>
      <c r="BD16" s="647" t="b">
        <f t="shared" si="31"/>
        <v>0</v>
      </c>
      <c r="BE16" s="646" t="b">
        <f t="shared" si="19"/>
        <v>0</v>
      </c>
      <c r="BF16" s="648" t="b">
        <f t="shared" si="20"/>
        <v>0</v>
      </c>
      <c r="BG16" s="643" t="b">
        <f t="shared" si="21"/>
        <v>1</v>
      </c>
      <c r="BH16" s="643">
        <f t="shared" si="32"/>
        <v>1</v>
      </c>
      <c r="BI16" s="643">
        <f t="shared" si="22"/>
        <v>2</v>
      </c>
      <c r="BJ16" s="643" t="str">
        <f t="shared" si="23"/>
        <v>2*</v>
      </c>
      <c r="BK16" s="643">
        <f t="shared" si="24"/>
        <v>3</v>
      </c>
      <c r="BL16" s="649">
        <f t="shared" si="33"/>
        <v>1</v>
      </c>
      <c r="BM16" s="643">
        <f t="shared" si="25"/>
        <v>2</v>
      </c>
      <c r="BN16" s="643">
        <f t="shared" si="26"/>
        <v>3</v>
      </c>
      <c r="BO16" s="656"/>
      <c r="BP16" s="661"/>
    </row>
    <row r="17" spans="2:73" s="608" customFormat="1" ht="12.95" customHeight="1" x14ac:dyDescent="0.2">
      <c r="B17" s="652">
        <f>IF(ISNA(Z17),"",IF(OR(Z17=1,Z17=2),"    ",MAX($B$8:B16)+1))</f>
        <v>7</v>
      </c>
      <c r="C17" s="1334" t="str">
        <f t="shared" si="0"/>
        <v xml:space="preserve">      - Mission Management/Adaptability (10.0%)</v>
      </c>
      <c r="D17" s="1334"/>
      <c r="E17" s="1334"/>
      <c r="F17" s="1335"/>
      <c r="G17" s="638">
        <f t="shared" si="1"/>
        <v>1</v>
      </c>
      <c r="H17" s="639" t="str">
        <f t="shared" si="2"/>
        <v>2*</v>
      </c>
      <c r="I17" s="653">
        <f t="shared" si="2"/>
        <v>3</v>
      </c>
      <c r="J17" s="658"/>
      <c r="K17" s="655"/>
      <c r="L17" s="1343"/>
      <c r="M17" s="1344"/>
      <c r="N17" s="1344"/>
      <c r="O17" s="1344"/>
      <c r="P17" s="1344"/>
      <c r="Q17" s="1344"/>
      <c r="R17" s="1345"/>
      <c r="T17" s="604">
        <v>10</v>
      </c>
      <c r="U17" s="594" t="s">
        <v>459</v>
      </c>
      <c r="V17" s="643">
        <v>1</v>
      </c>
      <c r="W17" s="643">
        <v>10</v>
      </c>
      <c r="X17" s="643" t="s">
        <v>340</v>
      </c>
      <c r="Y17" s="643" t="s">
        <v>340</v>
      </c>
      <c r="Z17" s="647" t="s">
        <v>340</v>
      </c>
      <c r="AA17" s="647">
        <v>2</v>
      </c>
      <c r="AB17" s="647">
        <v>1</v>
      </c>
      <c r="AC17" s="643">
        <v>3</v>
      </c>
      <c r="AD17" s="643">
        <v>2</v>
      </c>
      <c r="AE17" s="643">
        <v>1</v>
      </c>
      <c r="AF17" s="643" t="b">
        <v>1</v>
      </c>
      <c r="AG17" s="643">
        <f t="shared" si="3"/>
        <v>2</v>
      </c>
      <c r="AH17" s="643">
        <f t="shared" si="4"/>
        <v>1</v>
      </c>
      <c r="AI17" s="138">
        <f>IF(NOT(OR(Z17=1,Z17=2)),IF(AQ17&gt;0,$AR$44*AQ17/SUMIF($AQ$8:$AQ$39,"&gt;0"),IF(AU17&gt;0,$AV$44*AU17/SUMIF($AU$8:$AU$39,"&gt;0"),IF(AS17&gt;0,$AT$44*AS17/SUMIF($AS$8:$AS$39,"&gt;0"),""))),IF(SUMIF(AJ18:$AJ$39,"=" &amp; AJ17,AI18:$AI$39)=0,"",SUMIF(AJ18:$AJ$39,"=" &amp; AJ17,AI18:$AI$39)))</f>
        <v>0.1</v>
      </c>
      <c r="AJ17" s="139">
        <f t="shared" si="34"/>
        <v>2</v>
      </c>
      <c r="AK17" s="643">
        <f t="shared" si="27"/>
        <v>2</v>
      </c>
      <c r="AL17" s="647" t="str">
        <f t="shared" si="28"/>
        <v/>
      </c>
      <c r="AM17" s="647" t="str">
        <f t="shared" si="35"/>
        <v/>
      </c>
      <c r="AN17" s="647" t="str">
        <f t="shared" si="5"/>
        <v/>
      </c>
      <c r="AO17" s="647" t="str">
        <f t="shared" si="6"/>
        <v/>
      </c>
      <c r="AP17" s="643" t="b">
        <f t="shared" si="7"/>
        <v>1</v>
      </c>
      <c r="AQ17" s="644">
        <f t="shared" si="29"/>
        <v>10</v>
      </c>
      <c r="AR17" s="141">
        <f t="shared" si="8"/>
        <v>0.3</v>
      </c>
      <c r="AS17" s="142">
        <f t="shared" si="30"/>
        <v>0</v>
      </c>
      <c r="AT17" s="141">
        <f t="shared" si="9"/>
        <v>0.6</v>
      </c>
      <c r="AU17" s="645">
        <f t="shared" si="10"/>
        <v>0</v>
      </c>
      <c r="AV17" s="144">
        <f t="shared" si="11"/>
        <v>0.3</v>
      </c>
      <c r="AW17" s="645" t="b">
        <f t="shared" si="12"/>
        <v>0</v>
      </c>
      <c r="AX17" s="646" t="b">
        <f t="shared" si="13"/>
        <v>1</v>
      </c>
      <c r="AY17" s="645" t="b">
        <f t="shared" si="14"/>
        <v>0</v>
      </c>
      <c r="AZ17" s="646" t="b">
        <f t="shared" si="15"/>
        <v>0</v>
      </c>
      <c r="BA17" s="643" t="b">
        <f t="shared" si="16"/>
        <v>0</v>
      </c>
      <c r="BB17" s="643" t="b">
        <f t="shared" si="17"/>
        <v>0</v>
      </c>
      <c r="BC17" s="645" t="b">
        <f t="shared" si="18"/>
        <v>0</v>
      </c>
      <c r="BD17" s="647" t="b">
        <f t="shared" si="31"/>
        <v>0</v>
      </c>
      <c r="BE17" s="646" t="b">
        <f t="shared" si="19"/>
        <v>0</v>
      </c>
      <c r="BF17" s="648" t="b">
        <f t="shared" si="20"/>
        <v>0</v>
      </c>
      <c r="BG17" s="643" t="b">
        <f t="shared" si="21"/>
        <v>1</v>
      </c>
      <c r="BH17" s="643">
        <f t="shared" si="32"/>
        <v>1</v>
      </c>
      <c r="BI17" s="643">
        <f t="shared" si="22"/>
        <v>2</v>
      </c>
      <c r="BJ17" s="643" t="str">
        <f t="shared" si="23"/>
        <v>2*</v>
      </c>
      <c r="BK17" s="643">
        <f t="shared" si="24"/>
        <v>3</v>
      </c>
      <c r="BL17" s="649">
        <f t="shared" si="33"/>
        <v>1</v>
      </c>
      <c r="BM17" s="643">
        <f t="shared" si="25"/>
        <v>2</v>
      </c>
      <c r="BN17" s="643">
        <f t="shared" si="26"/>
        <v>3</v>
      </c>
      <c r="BO17" s="596"/>
    </row>
    <row r="18" spans="2:73" s="608" customFormat="1" ht="12.95" customHeight="1" x14ac:dyDescent="0.2">
      <c r="B18" s="652">
        <f>IF(ISNA(Z18),"",IF(OR(Z18=1,Z18=2),"    ",MAX($B$8:B17)+1))</f>
        <v>8</v>
      </c>
      <c r="C18" s="1334" t="str">
        <f t="shared" si="0"/>
        <v xml:space="preserve">      - Test Specific comm/CRM (10.0%)</v>
      </c>
      <c r="D18" s="1334"/>
      <c r="E18" s="1334"/>
      <c r="F18" s="1335"/>
      <c r="G18" s="638">
        <f t="shared" si="1"/>
        <v>1</v>
      </c>
      <c r="H18" s="639" t="str">
        <f t="shared" si="2"/>
        <v>2*</v>
      </c>
      <c r="I18" s="653">
        <f t="shared" si="2"/>
        <v>3</v>
      </c>
      <c r="J18" s="658"/>
      <c r="K18" s="655"/>
      <c r="L18" s="1343"/>
      <c r="M18" s="1344"/>
      <c r="N18" s="1344"/>
      <c r="O18" s="1344"/>
      <c r="P18" s="1344"/>
      <c r="Q18" s="1344"/>
      <c r="R18" s="1345"/>
      <c r="T18" s="604">
        <v>11</v>
      </c>
      <c r="U18" s="594" t="s">
        <v>826</v>
      </c>
      <c r="V18" s="643">
        <v>1</v>
      </c>
      <c r="W18" s="643">
        <v>10</v>
      </c>
      <c r="X18" s="643" t="s">
        <v>340</v>
      </c>
      <c r="Y18" s="643" t="s">
        <v>340</v>
      </c>
      <c r="Z18" s="647" t="s">
        <v>340</v>
      </c>
      <c r="AA18" s="647">
        <v>2</v>
      </c>
      <c r="AB18" s="647">
        <v>1</v>
      </c>
      <c r="AC18" s="643">
        <v>3</v>
      </c>
      <c r="AD18" s="643">
        <v>2</v>
      </c>
      <c r="AE18" s="643">
        <v>1</v>
      </c>
      <c r="AF18" s="643" t="b">
        <v>1</v>
      </c>
      <c r="AG18" s="643">
        <f t="shared" si="3"/>
        <v>2</v>
      </c>
      <c r="AH18" s="643">
        <f t="shared" si="4"/>
        <v>1</v>
      </c>
      <c r="AI18" s="138">
        <f>IF(NOT(OR(Z18=1,Z18=2)),IF(AQ18&gt;0,$AR$44*AQ18/SUMIF($AQ$8:$AQ$39,"&gt;0"),IF(AU18&gt;0,$AV$44*AU18/SUMIF($AU$8:$AU$39,"&gt;0"),IF(AS18&gt;0,$AT$44*AS18/SUMIF($AS$8:$AS$39,"&gt;0"),""))),IF(SUMIF(AJ19:$AJ$39,"=" &amp; AJ18,AI19:$AI$39)=0,"",SUMIF(AJ19:$AJ$39,"=" &amp; AJ18,AI19:$AI$39)))</f>
        <v>0.1</v>
      </c>
      <c r="AJ18" s="139">
        <f t="shared" si="34"/>
        <v>2</v>
      </c>
      <c r="AK18" s="643">
        <f t="shared" si="27"/>
        <v>2</v>
      </c>
      <c r="AL18" s="647" t="str">
        <f t="shared" si="28"/>
        <v/>
      </c>
      <c r="AM18" s="647" t="str">
        <f t="shared" si="35"/>
        <v/>
      </c>
      <c r="AN18" s="647" t="str">
        <f t="shared" si="5"/>
        <v/>
      </c>
      <c r="AO18" s="647" t="str">
        <f t="shared" si="6"/>
        <v/>
      </c>
      <c r="AP18" s="643" t="b">
        <f t="shared" si="7"/>
        <v>1</v>
      </c>
      <c r="AQ18" s="644">
        <f t="shared" si="29"/>
        <v>10</v>
      </c>
      <c r="AR18" s="141">
        <f t="shared" si="8"/>
        <v>0.3</v>
      </c>
      <c r="AS18" s="142">
        <f t="shared" si="30"/>
        <v>0</v>
      </c>
      <c r="AT18" s="141">
        <f t="shared" si="9"/>
        <v>0.6</v>
      </c>
      <c r="AU18" s="645">
        <f t="shared" si="10"/>
        <v>0</v>
      </c>
      <c r="AV18" s="144">
        <f t="shared" si="11"/>
        <v>0.3</v>
      </c>
      <c r="AW18" s="645" t="b">
        <f t="shared" si="12"/>
        <v>0</v>
      </c>
      <c r="AX18" s="646" t="b">
        <f t="shared" si="13"/>
        <v>1</v>
      </c>
      <c r="AY18" s="645" t="b">
        <f t="shared" si="14"/>
        <v>0</v>
      </c>
      <c r="AZ18" s="646" t="b">
        <f t="shared" si="15"/>
        <v>0</v>
      </c>
      <c r="BA18" s="643" t="b">
        <f t="shared" si="16"/>
        <v>0</v>
      </c>
      <c r="BB18" s="643" t="b">
        <f t="shared" si="17"/>
        <v>0</v>
      </c>
      <c r="BC18" s="645" t="b">
        <f t="shared" si="18"/>
        <v>0</v>
      </c>
      <c r="BD18" s="647" t="b">
        <f t="shared" si="31"/>
        <v>0</v>
      </c>
      <c r="BE18" s="646" t="b">
        <f t="shared" si="19"/>
        <v>0</v>
      </c>
      <c r="BF18" s="648" t="b">
        <f t="shared" si="20"/>
        <v>0</v>
      </c>
      <c r="BG18" s="643" t="b">
        <f t="shared" si="21"/>
        <v>1</v>
      </c>
      <c r="BH18" s="643">
        <f t="shared" si="32"/>
        <v>1</v>
      </c>
      <c r="BI18" s="643">
        <f t="shared" si="22"/>
        <v>2</v>
      </c>
      <c r="BJ18" s="643" t="str">
        <f t="shared" si="23"/>
        <v>2*</v>
      </c>
      <c r="BK18" s="643">
        <f t="shared" si="24"/>
        <v>3</v>
      </c>
      <c r="BL18" s="649">
        <f t="shared" si="33"/>
        <v>1</v>
      </c>
      <c r="BM18" s="643">
        <f t="shared" si="25"/>
        <v>2</v>
      </c>
      <c r="BN18" s="643">
        <f t="shared" si="26"/>
        <v>3</v>
      </c>
      <c r="BO18" s="662"/>
      <c r="BP18" s="661" t="s">
        <v>355</v>
      </c>
      <c r="BQ18" s="663"/>
      <c r="BR18" s="663"/>
      <c r="BS18" s="663"/>
      <c r="BT18" s="663"/>
      <c r="BU18" s="663"/>
    </row>
    <row r="19" spans="2:73" s="608" customFormat="1" ht="12.95" customHeight="1" x14ac:dyDescent="0.2">
      <c r="B19" s="652" t="str">
        <f>IF(ISNA(Z19),"",IF(OR(Z19=1,Z19=2),"    ",MAX($B$8:B18)+1))</f>
        <v xml:space="preserve">    </v>
      </c>
      <c r="C19" s="1334" t="str">
        <f t="shared" si="0"/>
        <v>Specific Learning Objectives (55.0%)</v>
      </c>
      <c r="D19" s="1334"/>
      <c r="E19" s="1334"/>
      <c r="F19" s="1335"/>
      <c r="G19" s="638" t="str">
        <f t="shared" si="1"/>
        <v/>
      </c>
      <c r="H19" s="639" t="str">
        <f t="shared" si="2"/>
        <v/>
      </c>
      <c r="I19" s="653" t="str">
        <f t="shared" si="2"/>
        <v/>
      </c>
      <c r="J19" s="659"/>
      <c r="K19" s="660"/>
      <c r="L19" s="1343"/>
      <c r="M19" s="1344"/>
      <c r="N19" s="1344"/>
      <c r="O19" s="1344"/>
      <c r="P19" s="1344"/>
      <c r="Q19" s="1344"/>
      <c r="R19" s="1345"/>
      <c r="T19" s="604">
        <v>12</v>
      </c>
      <c r="U19" s="594" t="s">
        <v>827</v>
      </c>
      <c r="V19" s="643" t="s">
        <v>340</v>
      </c>
      <c r="W19" s="643" t="s">
        <v>340</v>
      </c>
      <c r="X19" s="643" t="s">
        <v>340</v>
      </c>
      <c r="Y19" s="643" t="s">
        <v>340</v>
      </c>
      <c r="Z19" s="647">
        <v>2</v>
      </c>
      <c r="AA19" s="647">
        <v>1</v>
      </c>
      <c r="AB19" s="647">
        <v>1</v>
      </c>
      <c r="AC19" s="643" t="s">
        <v>340</v>
      </c>
      <c r="AD19" s="643" t="s">
        <v>340</v>
      </c>
      <c r="AE19" s="643" t="s">
        <v>340</v>
      </c>
      <c r="AF19" s="643" t="s">
        <v>340</v>
      </c>
      <c r="AG19" s="643" t="str">
        <f t="shared" si="3"/>
        <v/>
      </c>
      <c r="AH19" s="643" t="str">
        <f t="shared" si="4"/>
        <v/>
      </c>
      <c r="AI19" s="138">
        <f>IF(NOT(OR(Z19=1,Z19=2)),IF(AQ19&gt;0,$AR$44*AQ19/SUMIF($AQ$8:$AQ$39,"&gt;0"),IF(AU19&gt;0,$AV$44*AU19/SUMIF($AU$8:$AU$39,"&gt;0"),IF(AS19&gt;0,$AT$44*AS19/SUMIF($AS$8:$AS$39,"&gt;0"),""))),IF(SUMIF(AJ20:$AJ$39,"=" &amp; AJ19,AI20:$AI$39)=0,"",SUMIF(AJ20:$AJ$39,"=" &amp; AJ19,AI20:$AI$39)))</f>
        <v>0.55000000000000004</v>
      </c>
      <c r="AJ19" s="139">
        <f t="shared" si="34"/>
        <v>3</v>
      </c>
      <c r="AK19" s="643" t="str">
        <f t="shared" si="27"/>
        <v/>
      </c>
      <c r="AL19" s="647" t="str">
        <f t="shared" si="28"/>
        <v/>
      </c>
      <c r="AM19" s="647" t="str">
        <f t="shared" si="35"/>
        <v/>
      </c>
      <c r="AN19" s="647" t="str">
        <f t="shared" si="5"/>
        <v/>
      </c>
      <c r="AO19" s="647" t="str">
        <f t="shared" si="6"/>
        <v/>
      </c>
      <c r="AP19" s="643" t="str">
        <f t="shared" si="7"/>
        <v/>
      </c>
      <c r="AQ19" s="644">
        <f t="shared" si="29"/>
        <v>0</v>
      </c>
      <c r="AR19" s="141" t="str">
        <f t="shared" si="8"/>
        <v/>
      </c>
      <c r="AS19" s="142">
        <f t="shared" si="30"/>
        <v>0</v>
      </c>
      <c r="AT19" s="141" t="str">
        <f t="shared" si="9"/>
        <v/>
      </c>
      <c r="AU19" s="645">
        <f t="shared" si="10"/>
        <v>0</v>
      </c>
      <c r="AV19" s="144" t="str">
        <f t="shared" si="11"/>
        <v/>
      </c>
      <c r="AW19" s="645" t="b">
        <f t="shared" si="12"/>
        <v>0</v>
      </c>
      <c r="AX19" s="646" t="b">
        <f t="shared" si="13"/>
        <v>0</v>
      </c>
      <c r="AY19" s="645" t="b">
        <f t="shared" si="14"/>
        <v>0</v>
      </c>
      <c r="AZ19" s="646" t="b">
        <f t="shared" si="15"/>
        <v>0</v>
      </c>
      <c r="BA19" s="643" t="b">
        <f t="shared" si="16"/>
        <v>0</v>
      </c>
      <c r="BB19" s="643" t="b">
        <f t="shared" si="17"/>
        <v>0</v>
      </c>
      <c r="BC19" s="645" t="b">
        <f t="shared" si="18"/>
        <v>0</v>
      </c>
      <c r="BD19" s="647" t="b">
        <f t="shared" si="31"/>
        <v>0</v>
      </c>
      <c r="BE19" s="646" t="b">
        <f t="shared" si="19"/>
        <v>0</v>
      </c>
      <c r="BF19" s="648" t="b">
        <f t="shared" si="20"/>
        <v>0</v>
      </c>
      <c r="BG19" s="643" t="b">
        <f t="shared" si="21"/>
        <v>0</v>
      </c>
      <c r="BH19" s="643" t="str">
        <f t="shared" si="32"/>
        <v/>
      </c>
      <c r="BI19" s="643" t="str">
        <f t="shared" si="22"/>
        <v/>
      </c>
      <c r="BJ19" s="643" t="str">
        <f t="shared" si="23"/>
        <v/>
      </c>
      <c r="BK19" s="643" t="str">
        <f t="shared" si="24"/>
        <v/>
      </c>
      <c r="BL19" s="649" t="str">
        <f t="shared" si="33"/>
        <v/>
      </c>
      <c r="BM19" s="643" t="str">
        <f t="shared" si="25"/>
        <v/>
      </c>
      <c r="BN19" s="643" t="str">
        <f t="shared" si="26"/>
        <v/>
      </c>
      <c r="BO19" s="662"/>
      <c r="BP19" s="651"/>
      <c r="BQ19" s="1336" t="s">
        <v>356</v>
      </c>
      <c r="BR19" s="1336"/>
      <c r="BS19" s="1336"/>
      <c r="BT19" s="1336"/>
      <c r="BU19" s="1336"/>
    </row>
    <row r="20" spans="2:73" s="608" customFormat="1" ht="12.95" customHeight="1" x14ac:dyDescent="0.2">
      <c r="B20" s="652">
        <f>IF(ISNA(Z20),"",IF(OR(Z20=1,Z20=2),"    ",MAX($B$8:B19)+1))</f>
        <v>9</v>
      </c>
      <c r="C20" s="1334" t="str">
        <f t="shared" si="0"/>
        <v xml:space="preserve">      - Radar Functionality (5.0%)</v>
      </c>
      <c r="D20" s="1334"/>
      <c r="E20" s="1334"/>
      <c r="F20" s="1335"/>
      <c r="G20" s="638">
        <f t="shared" si="1"/>
        <v>1</v>
      </c>
      <c r="H20" s="639" t="str">
        <f t="shared" si="2"/>
        <v>2</v>
      </c>
      <c r="I20" s="653">
        <f t="shared" si="2"/>
        <v>3</v>
      </c>
      <c r="J20" s="658"/>
      <c r="K20" s="655"/>
      <c r="L20" s="1343"/>
      <c r="M20" s="1344"/>
      <c r="N20" s="1344"/>
      <c r="O20" s="1344"/>
      <c r="P20" s="1344"/>
      <c r="Q20" s="1344"/>
      <c r="R20" s="1345"/>
      <c r="T20" s="604">
        <v>13</v>
      </c>
      <c r="U20" s="594" t="s">
        <v>828</v>
      </c>
      <c r="V20" s="643">
        <v>1</v>
      </c>
      <c r="W20" s="643">
        <v>5</v>
      </c>
      <c r="X20" s="643" t="s">
        <v>340</v>
      </c>
      <c r="Y20" s="643" t="s">
        <v>340</v>
      </c>
      <c r="Z20" s="647" t="s">
        <v>340</v>
      </c>
      <c r="AA20" s="647">
        <v>2</v>
      </c>
      <c r="AB20" s="647">
        <v>1</v>
      </c>
      <c r="AC20" s="643">
        <v>3</v>
      </c>
      <c r="AD20" s="643">
        <v>2</v>
      </c>
      <c r="AE20" s="643">
        <v>0</v>
      </c>
      <c r="AF20" s="643" t="b">
        <v>1</v>
      </c>
      <c r="AG20" s="643">
        <f t="shared" si="3"/>
        <v>2</v>
      </c>
      <c r="AH20" s="643">
        <f t="shared" si="4"/>
        <v>1</v>
      </c>
      <c r="AI20" s="138">
        <f>IF(NOT(OR(Z20=1,Z20=2)),IF(AQ20&gt;0,$AR$44*AQ20/SUMIF($AQ$8:$AQ$39,"&gt;0"),IF(AU20&gt;0,$AV$44*AU20/SUMIF($AU$8:$AU$39,"&gt;0"),IF(AS20&gt;0,$AT$44*AS20/SUMIF($AS$8:$AS$39,"&gt;0"),""))),IF(SUMIF(AJ21:$AJ$39,"=" &amp; AJ20,AI21:$AI$39)=0,"",SUMIF(AJ21:$AJ$39,"=" &amp; AJ20,AI21:$AI$39)))</f>
        <v>0.05</v>
      </c>
      <c r="AJ20" s="139">
        <f t="shared" si="34"/>
        <v>3</v>
      </c>
      <c r="AK20" s="643">
        <f t="shared" si="27"/>
        <v>2</v>
      </c>
      <c r="AL20" s="647" t="str">
        <f t="shared" si="28"/>
        <v/>
      </c>
      <c r="AM20" s="647" t="str">
        <f t="shared" si="35"/>
        <v/>
      </c>
      <c r="AN20" s="647" t="str">
        <f t="shared" si="5"/>
        <v/>
      </c>
      <c r="AO20" s="647" t="str">
        <f t="shared" si="6"/>
        <v/>
      </c>
      <c r="AP20" s="643" t="b">
        <f t="shared" si="7"/>
        <v>1</v>
      </c>
      <c r="AQ20" s="644">
        <f t="shared" si="29"/>
        <v>5</v>
      </c>
      <c r="AR20" s="141">
        <f t="shared" si="8"/>
        <v>0.3</v>
      </c>
      <c r="AS20" s="142">
        <f t="shared" si="30"/>
        <v>0</v>
      </c>
      <c r="AT20" s="141">
        <f t="shared" si="9"/>
        <v>0.6</v>
      </c>
      <c r="AU20" s="645">
        <f t="shared" si="10"/>
        <v>0</v>
      </c>
      <c r="AV20" s="144">
        <f t="shared" si="11"/>
        <v>0.3</v>
      </c>
      <c r="AW20" s="645" t="b">
        <f t="shared" si="12"/>
        <v>0</v>
      </c>
      <c r="AX20" s="646" t="b">
        <f t="shared" si="13"/>
        <v>1</v>
      </c>
      <c r="AY20" s="645" t="b">
        <f t="shared" si="14"/>
        <v>0</v>
      </c>
      <c r="AZ20" s="646" t="b">
        <f t="shared" si="15"/>
        <v>0</v>
      </c>
      <c r="BA20" s="643" t="b">
        <f t="shared" si="16"/>
        <v>0</v>
      </c>
      <c r="BB20" s="643" t="b">
        <f t="shared" si="17"/>
        <v>0</v>
      </c>
      <c r="BC20" s="645" t="b">
        <f t="shared" si="18"/>
        <v>0</v>
      </c>
      <c r="BD20" s="647" t="b">
        <f t="shared" si="31"/>
        <v>0</v>
      </c>
      <c r="BE20" s="646" t="b">
        <f t="shared" si="19"/>
        <v>0</v>
      </c>
      <c r="BF20" s="648" t="b">
        <f t="shared" si="20"/>
        <v>0</v>
      </c>
      <c r="BG20" s="643" t="b">
        <f t="shared" si="21"/>
        <v>1</v>
      </c>
      <c r="BH20" s="643">
        <f t="shared" si="32"/>
        <v>1</v>
      </c>
      <c r="BI20" s="643">
        <f t="shared" si="22"/>
        <v>2</v>
      </c>
      <c r="BJ20" s="643" t="str">
        <f t="shared" si="23"/>
        <v>2</v>
      </c>
      <c r="BK20" s="643">
        <f t="shared" si="24"/>
        <v>3</v>
      </c>
      <c r="BL20" s="649">
        <f t="shared" si="33"/>
        <v>1</v>
      </c>
      <c r="BM20" s="643">
        <f t="shared" si="25"/>
        <v>2</v>
      </c>
      <c r="BN20" s="643">
        <f t="shared" si="26"/>
        <v>3</v>
      </c>
      <c r="BO20" s="662"/>
      <c r="BP20" s="662"/>
      <c r="BQ20" s="662">
        <v>0</v>
      </c>
      <c r="BR20" s="662">
        <v>1</v>
      </c>
      <c r="BS20" s="662">
        <v>2</v>
      </c>
      <c r="BT20" s="662">
        <v>3</v>
      </c>
      <c r="BU20" s="662">
        <v>4</v>
      </c>
    </row>
    <row r="21" spans="2:73" s="608" customFormat="1" ht="12.95" customHeight="1" x14ac:dyDescent="0.2">
      <c r="B21" s="652">
        <f>IF(ISNA(Z21),"",IF(OR(Z21=1,Z21=2),"    ",MAX($B$8:B20)+1))</f>
        <v>10</v>
      </c>
      <c r="C21" s="1334" t="str">
        <f t="shared" si="0"/>
        <v xml:space="preserve">      - Groud Map Test (15.0%)</v>
      </c>
      <c r="D21" s="1334"/>
      <c r="E21" s="1334"/>
      <c r="F21" s="1335"/>
      <c r="G21" s="638">
        <f t="shared" si="1"/>
        <v>1</v>
      </c>
      <c r="H21" s="639" t="str">
        <f t="shared" si="2"/>
        <v>2</v>
      </c>
      <c r="I21" s="653">
        <f t="shared" si="2"/>
        <v>3</v>
      </c>
      <c r="J21" s="658"/>
      <c r="K21" s="655"/>
      <c r="L21" s="1343"/>
      <c r="M21" s="1344"/>
      <c r="N21" s="1344"/>
      <c r="O21" s="1344"/>
      <c r="P21" s="1344"/>
      <c r="Q21" s="1344"/>
      <c r="R21" s="1345"/>
      <c r="T21" s="604">
        <v>14</v>
      </c>
      <c r="U21" s="594" t="s">
        <v>829</v>
      </c>
      <c r="V21" s="643">
        <v>1</v>
      </c>
      <c r="W21" s="643">
        <v>15</v>
      </c>
      <c r="X21" s="643" t="s">
        <v>340</v>
      </c>
      <c r="Y21" s="643" t="s">
        <v>340</v>
      </c>
      <c r="Z21" s="647" t="s">
        <v>340</v>
      </c>
      <c r="AA21" s="647">
        <v>2</v>
      </c>
      <c r="AB21" s="647">
        <v>1</v>
      </c>
      <c r="AC21" s="643">
        <v>3</v>
      </c>
      <c r="AD21" s="643">
        <v>2</v>
      </c>
      <c r="AE21" s="643">
        <v>0</v>
      </c>
      <c r="AF21" s="643" t="b">
        <v>1</v>
      </c>
      <c r="AG21" s="643">
        <f t="shared" si="3"/>
        <v>2</v>
      </c>
      <c r="AH21" s="643">
        <f t="shared" si="4"/>
        <v>1</v>
      </c>
      <c r="AI21" s="138">
        <f>IF(NOT(OR(Z21=1,Z21=2)),IF(AQ21&gt;0,$AR$44*AQ21/SUMIF($AQ$8:$AQ$39,"&gt;0"),IF(AU21&gt;0,$AV$44*AU21/SUMIF($AU$8:$AU$39,"&gt;0"),IF(AS21&gt;0,$AT$44*AS21/SUMIF($AS$8:$AS$39,"&gt;0"),""))),IF(SUMIF(AJ22:$AJ$39,"=" &amp; AJ21,AI22:$AI$39)=0,"",SUMIF(AJ22:$AJ$39,"=" &amp; AJ21,AI22:$AI$39)))</f>
        <v>0.15</v>
      </c>
      <c r="AJ21" s="139">
        <f t="shared" si="34"/>
        <v>3</v>
      </c>
      <c r="AK21" s="643">
        <f t="shared" si="27"/>
        <v>2</v>
      </c>
      <c r="AL21" s="647" t="str">
        <f t="shared" si="28"/>
        <v/>
      </c>
      <c r="AM21" s="647" t="str">
        <f t="shared" si="35"/>
        <v/>
      </c>
      <c r="AN21" s="647" t="str">
        <f t="shared" si="5"/>
        <v/>
      </c>
      <c r="AO21" s="647" t="str">
        <f t="shared" si="6"/>
        <v/>
      </c>
      <c r="AP21" s="643" t="b">
        <f t="shared" si="7"/>
        <v>1</v>
      </c>
      <c r="AQ21" s="644">
        <f t="shared" si="29"/>
        <v>15</v>
      </c>
      <c r="AR21" s="141">
        <f t="shared" si="8"/>
        <v>0.3</v>
      </c>
      <c r="AS21" s="142">
        <f t="shared" si="30"/>
        <v>0</v>
      </c>
      <c r="AT21" s="141">
        <f t="shared" si="9"/>
        <v>0.6</v>
      </c>
      <c r="AU21" s="645">
        <f t="shared" si="10"/>
        <v>0</v>
      </c>
      <c r="AV21" s="144">
        <f t="shared" si="11"/>
        <v>0.3</v>
      </c>
      <c r="AW21" s="645" t="b">
        <f t="shared" si="12"/>
        <v>0</v>
      </c>
      <c r="AX21" s="646" t="b">
        <f t="shared" si="13"/>
        <v>1</v>
      </c>
      <c r="AY21" s="645" t="b">
        <f t="shared" si="14"/>
        <v>0</v>
      </c>
      <c r="AZ21" s="646" t="b">
        <f t="shared" si="15"/>
        <v>0</v>
      </c>
      <c r="BA21" s="643" t="b">
        <f t="shared" si="16"/>
        <v>0</v>
      </c>
      <c r="BB21" s="643" t="b">
        <f t="shared" si="17"/>
        <v>0</v>
      </c>
      <c r="BC21" s="645" t="b">
        <f t="shared" si="18"/>
        <v>0</v>
      </c>
      <c r="BD21" s="647" t="b">
        <f t="shared" si="31"/>
        <v>0</v>
      </c>
      <c r="BE21" s="646" t="b">
        <f t="shared" si="19"/>
        <v>0</v>
      </c>
      <c r="BF21" s="648" t="b">
        <f t="shared" si="20"/>
        <v>0</v>
      </c>
      <c r="BG21" s="643" t="b">
        <f t="shared" si="21"/>
        <v>1</v>
      </c>
      <c r="BH21" s="643">
        <f t="shared" si="32"/>
        <v>1</v>
      </c>
      <c r="BI21" s="643">
        <f t="shared" si="22"/>
        <v>2</v>
      </c>
      <c r="BJ21" s="643" t="str">
        <f t="shared" si="23"/>
        <v>2</v>
      </c>
      <c r="BK21" s="643">
        <f t="shared" si="24"/>
        <v>3</v>
      </c>
      <c r="BL21" s="649">
        <f t="shared" si="33"/>
        <v>1</v>
      </c>
      <c r="BM21" s="643">
        <f t="shared" si="25"/>
        <v>2</v>
      </c>
      <c r="BN21" s="643">
        <f t="shared" si="26"/>
        <v>3</v>
      </c>
      <c r="BO21" s="1337" t="s">
        <v>358</v>
      </c>
      <c r="BP21" s="662" t="s">
        <v>359</v>
      </c>
      <c r="BQ21" s="162">
        <f t="shared" ref="BQ21:BU29" si="36">AR50</f>
        <v>0.7</v>
      </c>
      <c r="BR21" s="163">
        <f t="shared" si="36"/>
        <v>0.9</v>
      </c>
      <c r="BS21" s="163">
        <f t="shared" si="36"/>
        <v>0.93330000000000002</v>
      </c>
      <c r="BT21" s="163">
        <f t="shared" si="36"/>
        <v>0.9667</v>
      </c>
      <c r="BU21" s="164">
        <f t="shared" si="36"/>
        <v>1</v>
      </c>
    </row>
    <row r="22" spans="2:73" s="608" customFormat="1" ht="12.95" customHeight="1" x14ac:dyDescent="0.2">
      <c r="B22" s="652">
        <f>IF(ISNA(Z22),"",IF(OR(Z22=1,Z22=2),"    ",MAX($B$8:B21)+1))</f>
        <v>11</v>
      </c>
      <c r="C22" s="1334" t="str">
        <f t="shared" si="0"/>
        <v xml:space="preserve">      - Ground Moving Target Test (15.0%)</v>
      </c>
      <c r="D22" s="1334"/>
      <c r="E22" s="1334"/>
      <c r="F22" s="1335"/>
      <c r="G22" s="638">
        <f t="shared" si="1"/>
        <v>1</v>
      </c>
      <c r="H22" s="639" t="str">
        <f t="shared" si="2"/>
        <v>2</v>
      </c>
      <c r="I22" s="653">
        <f t="shared" si="2"/>
        <v>3</v>
      </c>
      <c r="J22" s="658"/>
      <c r="K22" s="655"/>
      <c r="L22" s="1343"/>
      <c r="M22" s="1344"/>
      <c r="N22" s="1344"/>
      <c r="O22" s="1344"/>
      <c r="P22" s="1344"/>
      <c r="Q22" s="1344"/>
      <c r="R22" s="1345"/>
      <c r="T22" s="604">
        <v>15</v>
      </c>
      <c r="U22" s="594" t="s">
        <v>830</v>
      </c>
      <c r="V22" s="643">
        <v>1</v>
      </c>
      <c r="W22" s="643">
        <v>15</v>
      </c>
      <c r="X22" s="643" t="s">
        <v>340</v>
      </c>
      <c r="Y22" s="643" t="s">
        <v>340</v>
      </c>
      <c r="Z22" s="647" t="s">
        <v>340</v>
      </c>
      <c r="AA22" s="647">
        <v>2</v>
      </c>
      <c r="AB22" s="647">
        <v>1</v>
      </c>
      <c r="AC22" s="643">
        <v>3</v>
      </c>
      <c r="AD22" s="643">
        <v>2</v>
      </c>
      <c r="AE22" s="643">
        <v>0</v>
      </c>
      <c r="AF22" s="643" t="b">
        <v>1</v>
      </c>
      <c r="AG22" s="643">
        <f t="shared" si="3"/>
        <v>2</v>
      </c>
      <c r="AH22" s="643">
        <f t="shared" si="4"/>
        <v>1</v>
      </c>
      <c r="AI22" s="138">
        <f>IF(NOT(OR(Z22=1,Z22=2)),IF(AQ22&gt;0,$AR$44*AQ22/SUMIF($AQ$8:$AQ$39,"&gt;0"),IF(AU22&gt;0,$AV$44*AU22/SUMIF($AU$8:$AU$39,"&gt;0"),IF(AS22&gt;0,$AT$44*AS22/SUMIF($AS$8:$AS$39,"&gt;0"),""))),IF(SUMIF(AJ23:$AJ$39,"=" &amp; AJ22,AI23:$AI$39)=0,"",SUMIF(AJ23:$AJ$39,"=" &amp; AJ22,AI23:$AI$39)))</f>
        <v>0.15</v>
      </c>
      <c r="AJ22" s="139">
        <f t="shared" si="34"/>
        <v>3</v>
      </c>
      <c r="AK22" s="643">
        <f t="shared" si="27"/>
        <v>2</v>
      </c>
      <c r="AL22" s="647" t="str">
        <f t="shared" si="28"/>
        <v/>
      </c>
      <c r="AM22" s="647" t="str">
        <f t="shared" si="35"/>
        <v/>
      </c>
      <c r="AN22" s="647" t="str">
        <f t="shared" si="5"/>
        <v/>
      </c>
      <c r="AO22" s="647" t="str">
        <f t="shared" si="6"/>
        <v/>
      </c>
      <c r="AP22" s="643" t="b">
        <f t="shared" si="7"/>
        <v>1</v>
      </c>
      <c r="AQ22" s="644">
        <f t="shared" si="29"/>
        <v>15</v>
      </c>
      <c r="AR22" s="141">
        <f t="shared" si="8"/>
        <v>0.3</v>
      </c>
      <c r="AS22" s="142">
        <f t="shared" si="30"/>
        <v>0</v>
      </c>
      <c r="AT22" s="141">
        <f t="shared" si="9"/>
        <v>0.6</v>
      </c>
      <c r="AU22" s="645">
        <f t="shared" si="10"/>
        <v>0</v>
      </c>
      <c r="AV22" s="144">
        <f t="shared" si="11"/>
        <v>0.3</v>
      </c>
      <c r="AW22" s="645" t="b">
        <f t="shared" si="12"/>
        <v>0</v>
      </c>
      <c r="AX22" s="646" t="b">
        <f t="shared" si="13"/>
        <v>1</v>
      </c>
      <c r="AY22" s="645" t="b">
        <f t="shared" si="14"/>
        <v>0</v>
      </c>
      <c r="AZ22" s="646" t="b">
        <f t="shared" si="15"/>
        <v>0</v>
      </c>
      <c r="BA22" s="643" t="b">
        <f t="shared" si="16"/>
        <v>0</v>
      </c>
      <c r="BB22" s="643" t="b">
        <f t="shared" si="17"/>
        <v>0</v>
      </c>
      <c r="BC22" s="645" t="b">
        <f t="shared" si="18"/>
        <v>0</v>
      </c>
      <c r="BD22" s="647" t="b">
        <f t="shared" si="31"/>
        <v>0</v>
      </c>
      <c r="BE22" s="646" t="b">
        <f>IF(OR(ISNA($Z22),K22&lt;&gt;"D"),FALSE,IF(OR(AND(H22="NG",J22=0),AND(H22&lt;&gt;"NG",NOT(OR(J22="NA",J22=0)))),TRUE,FALSE))</f>
        <v>0</v>
      </c>
      <c r="BF22" s="648" t="b">
        <f t="shared" si="20"/>
        <v>0</v>
      </c>
      <c r="BG22" s="643" t="b">
        <f>IF(ISNA($Z22),"NA",IF(OR(AZ22,AY22,AX22,AW22,AP22,BA22,BB22),TRUE,FALSE))</f>
        <v>1</v>
      </c>
      <c r="BH22" s="643">
        <f t="shared" si="32"/>
        <v>1</v>
      </c>
      <c r="BI22" s="643">
        <f t="shared" si="22"/>
        <v>2</v>
      </c>
      <c r="BJ22" s="643" t="str">
        <f t="shared" si="23"/>
        <v>2</v>
      </c>
      <c r="BK22" s="643">
        <f t="shared" si="24"/>
        <v>3</v>
      </c>
      <c r="BL22" s="649">
        <f t="shared" si="33"/>
        <v>1</v>
      </c>
      <c r="BM22" s="643">
        <f t="shared" si="25"/>
        <v>2</v>
      </c>
      <c r="BN22" s="643">
        <f t="shared" si="26"/>
        <v>3</v>
      </c>
      <c r="BO22" s="1337"/>
      <c r="BP22" s="662" t="s">
        <v>360</v>
      </c>
      <c r="BQ22" s="165">
        <f t="shared" si="36"/>
        <v>0.7</v>
      </c>
      <c r="BR22" s="166">
        <f t="shared" si="36"/>
        <v>0.8</v>
      </c>
      <c r="BS22" s="166">
        <f t="shared" si="36"/>
        <v>0.9</v>
      </c>
      <c r="BT22" s="166">
        <f t="shared" si="36"/>
        <v>0.95</v>
      </c>
      <c r="BU22" s="167">
        <f t="shared" si="36"/>
        <v>1</v>
      </c>
    </row>
    <row r="23" spans="2:73" s="608" customFormat="1" ht="12.95" customHeight="1" x14ac:dyDescent="0.2">
      <c r="B23" s="652">
        <f>IF(ISNA(Z23),"",IF(OR(Z23=1,Z23=2),"    ",MAX($B$8:B22)+1))</f>
        <v>12</v>
      </c>
      <c r="C23" s="1334" t="str">
        <f t="shared" si="0"/>
        <v xml:space="preserve">      - Operational Evaluation (15.0%)</v>
      </c>
      <c r="D23" s="1334"/>
      <c r="E23" s="1334"/>
      <c r="F23" s="1335"/>
      <c r="G23" s="638">
        <f t="shared" si="1"/>
        <v>1</v>
      </c>
      <c r="H23" s="639" t="str">
        <f t="shared" si="2"/>
        <v>2</v>
      </c>
      <c r="I23" s="653">
        <f t="shared" si="2"/>
        <v>3</v>
      </c>
      <c r="J23" s="658"/>
      <c r="K23" s="655"/>
      <c r="L23" s="1343"/>
      <c r="M23" s="1344"/>
      <c r="N23" s="1344"/>
      <c r="O23" s="1344"/>
      <c r="P23" s="1344"/>
      <c r="Q23" s="1344"/>
      <c r="R23" s="1345"/>
      <c r="T23" s="604">
        <v>16</v>
      </c>
      <c r="U23" s="594" t="s">
        <v>831</v>
      </c>
      <c r="V23" s="643">
        <v>1</v>
      </c>
      <c r="W23" s="643">
        <v>15</v>
      </c>
      <c r="X23" s="643" t="s">
        <v>340</v>
      </c>
      <c r="Y23" s="643" t="s">
        <v>340</v>
      </c>
      <c r="Z23" s="647" t="s">
        <v>340</v>
      </c>
      <c r="AA23" s="647">
        <v>2</v>
      </c>
      <c r="AB23" s="647">
        <v>1</v>
      </c>
      <c r="AC23" s="643">
        <v>3</v>
      </c>
      <c r="AD23" s="643">
        <v>2</v>
      </c>
      <c r="AE23" s="643">
        <v>0</v>
      </c>
      <c r="AF23" s="643" t="b">
        <v>1</v>
      </c>
      <c r="AG23" s="643">
        <f t="shared" si="3"/>
        <v>2</v>
      </c>
      <c r="AH23" s="643">
        <f t="shared" si="4"/>
        <v>1</v>
      </c>
      <c r="AI23" s="138">
        <f>IF(NOT(OR(Z23=1,Z23=2)),IF(AQ23&gt;0,$AR$44*AQ23/SUMIF($AQ$8:$AQ$39,"&gt;0"),IF(AU23&gt;0,$AV$44*AU23/SUMIF($AU$8:$AU$39,"&gt;0"),IF(AS23&gt;0,$AT$44*AS23/SUMIF($AS$8:$AS$39,"&gt;0"),""))),IF(SUMIF(AJ24:$AJ$39,"=" &amp; AJ23,AI24:$AI$39)=0,"",SUMIF(AJ24:$AJ$39,"=" &amp; AJ23,AI24:$AI$39)))</f>
        <v>0.15</v>
      </c>
      <c r="AJ23" s="139">
        <f t="shared" si="34"/>
        <v>3</v>
      </c>
      <c r="AK23" s="643">
        <f t="shared" si="27"/>
        <v>2</v>
      </c>
      <c r="AL23" s="647" t="str">
        <f t="shared" si="28"/>
        <v/>
      </c>
      <c r="AM23" s="647" t="str">
        <f t="shared" si="35"/>
        <v/>
      </c>
      <c r="AN23" s="647" t="str">
        <f t="shared" si="5"/>
        <v/>
      </c>
      <c r="AO23" s="647" t="str">
        <f t="shared" si="6"/>
        <v/>
      </c>
      <c r="AP23" s="643" t="b">
        <f t="shared" si="7"/>
        <v>1</v>
      </c>
      <c r="AQ23" s="644">
        <f t="shared" si="29"/>
        <v>15</v>
      </c>
      <c r="AR23" s="141">
        <f t="shared" si="8"/>
        <v>0.3</v>
      </c>
      <c r="AS23" s="142">
        <f t="shared" si="30"/>
        <v>0</v>
      </c>
      <c r="AT23" s="141">
        <f t="shared" si="9"/>
        <v>0.6</v>
      </c>
      <c r="AU23" s="645">
        <f t="shared" si="10"/>
        <v>0</v>
      </c>
      <c r="AV23" s="144">
        <f t="shared" si="11"/>
        <v>0.3</v>
      </c>
      <c r="AW23" s="645" t="b">
        <f t="shared" si="12"/>
        <v>0</v>
      </c>
      <c r="AX23" s="646" t="b">
        <f t="shared" si="13"/>
        <v>1</v>
      </c>
      <c r="AY23" s="645" t="b">
        <f t="shared" si="14"/>
        <v>0</v>
      </c>
      <c r="AZ23" s="646" t="b">
        <f t="shared" si="15"/>
        <v>0</v>
      </c>
      <c r="BA23" s="643" t="b">
        <f t="shared" si="16"/>
        <v>0</v>
      </c>
      <c r="BB23" s="643" t="b">
        <f t="shared" si="17"/>
        <v>0</v>
      </c>
      <c r="BC23" s="645" t="b">
        <f t="shared" si="18"/>
        <v>0</v>
      </c>
      <c r="BD23" s="647" t="b">
        <f t="shared" si="31"/>
        <v>0</v>
      </c>
      <c r="BE23" s="646" t="b">
        <f t="shared" ref="BE23:BE39" si="37">IF(OR(ISNA($Z23),K23&lt;&gt;"D"),FALSE,IF(OR(AND(H23="NG",J23=0),AND(H23&lt;&gt;"NG",NOT(OR(J23="NA",J23=0)))),TRUE,FALSE))</f>
        <v>0</v>
      </c>
      <c r="BF23" s="648" t="b">
        <f t="shared" si="20"/>
        <v>0</v>
      </c>
      <c r="BG23" s="643" t="b">
        <f t="shared" ref="BG23:BG39" si="38">IF(ISNA($Z23),"NA",IF(OR(AZ23,AY23,AX23,AW23,AP23,BA23,BB23),TRUE,FALSE))</f>
        <v>1</v>
      </c>
      <c r="BH23" s="643">
        <f t="shared" si="32"/>
        <v>1</v>
      </c>
      <c r="BI23" s="643">
        <f t="shared" si="22"/>
        <v>2</v>
      </c>
      <c r="BJ23" s="643" t="str">
        <f t="shared" si="23"/>
        <v>2</v>
      </c>
      <c r="BK23" s="643">
        <f t="shared" si="24"/>
        <v>3</v>
      </c>
      <c r="BL23" s="649">
        <f t="shared" si="33"/>
        <v>1</v>
      </c>
      <c r="BM23" s="643">
        <f t="shared" si="25"/>
        <v>2</v>
      </c>
      <c r="BN23" s="643">
        <f t="shared" si="26"/>
        <v>3</v>
      </c>
      <c r="BO23" s="1337"/>
      <c r="BP23" s="662" t="s">
        <v>361</v>
      </c>
      <c r="BQ23" s="165">
        <f t="shared" si="36"/>
        <v>0.7</v>
      </c>
      <c r="BR23" s="166">
        <f t="shared" si="36"/>
        <v>0.76670000000000005</v>
      </c>
      <c r="BS23" s="166">
        <f t="shared" si="36"/>
        <v>0.83330000000000004</v>
      </c>
      <c r="BT23" s="166">
        <f t="shared" si="36"/>
        <v>0.9</v>
      </c>
      <c r="BU23" s="167">
        <f t="shared" si="36"/>
        <v>1</v>
      </c>
    </row>
    <row r="24" spans="2:73" s="608" customFormat="1" ht="12.95" customHeight="1" x14ac:dyDescent="0.2">
      <c r="B24" s="652">
        <f>IF(ISNA(Z24),"",IF(OR(Z24=1,Z24=2),"    ",MAX($B$8:B23)+1))</f>
        <v>13</v>
      </c>
      <c r="C24" s="1334" t="str">
        <f t="shared" si="0"/>
        <v xml:space="preserve">      - Regression (5.0%)</v>
      </c>
      <c r="D24" s="1334"/>
      <c r="E24" s="1334"/>
      <c r="F24" s="1335"/>
      <c r="G24" s="638">
        <f t="shared" si="1"/>
        <v>1</v>
      </c>
      <c r="H24" s="639" t="str">
        <f t="shared" si="2"/>
        <v>2</v>
      </c>
      <c r="I24" s="653">
        <f t="shared" si="2"/>
        <v>3</v>
      </c>
      <c r="J24" s="658"/>
      <c r="K24" s="655"/>
      <c r="L24" s="1343"/>
      <c r="M24" s="1344"/>
      <c r="N24" s="1344"/>
      <c r="O24" s="1344"/>
      <c r="P24" s="1344"/>
      <c r="Q24" s="1344"/>
      <c r="R24" s="1345"/>
      <c r="T24" s="604">
        <v>17</v>
      </c>
      <c r="U24" s="594" t="s">
        <v>832</v>
      </c>
      <c r="V24" s="643">
        <v>1</v>
      </c>
      <c r="W24" s="643">
        <v>5</v>
      </c>
      <c r="X24" s="643" t="s">
        <v>340</v>
      </c>
      <c r="Y24" s="643" t="s">
        <v>340</v>
      </c>
      <c r="Z24" s="647" t="s">
        <v>340</v>
      </c>
      <c r="AA24" s="647">
        <v>2</v>
      </c>
      <c r="AB24" s="647">
        <v>1</v>
      </c>
      <c r="AC24" s="643">
        <v>3</v>
      </c>
      <c r="AD24" s="643">
        <v>2</v>
      </c>
      <c r="AE24" s="643">
        <v>0</v>
      </c>
      <c r="AF24" s="643" t="b">
        <v>1</v>
      </c>
      <c r="AG24" s="643">
        <f t="shared" si="3"/>
        <v>2</v>
      </c>
      <c r="AH24" s="643">
        <f t="shared" si="4"/>
        <v>1</v>
      </c>
      <c r="AI24" s="138">
        <f>IF(NOT(OR(Z24=1,Z24=2)),IF(AQ24&gt;0,$AR$44*AQ24/SUMIF($AQ$8:$AQ$39,"&gt;0"),IF(AU24&gt;0,$AV$44*AU24/SUMIF($AU$8:$AU$39,"&gt;0"),IF(AS24&gt;0,$AT$44*AS24/SUMIF($AS$8:$AS$39,"&gt;0"),""))),IF(SUMIF(AJ25:$AJ$39,"=" &amp; AJ24,AI25:$AI$39)=0,"",SUMIF(AJ25:$AJ$39,"=" &amp; AJ24,AI25:$AI$39)))</f>
        <v>0.05</v>
      </c>
      <c r="AJ24" s="139">
        <f t="shared" si="34"/>
        <v>3</v>
      </c>
      <c r="AK24" s="643">
        <f t="shared" si="27"/>
        <v>2</v>
      </c>
      <c r="AL24" s="647" t="str">
        <f t="shared" si="28"/>
        <v/>
      </c>
      <c r="AM24" s="647" t="str">
        <f t="shared" si="35"/>
        <v/>
      </c>
      <c r="AN24" s="647" t="str">
        <f t="shared" si="5"/>
        <v/>
      </c>
      <c r="AO24" s="647" t="str">
        <f t="shared" si="6"/>
        <v/>
      </c>
      <c r="AP24" s="643" t="b">
        <f t="shared" si="7"/>
        <v>1</v>
      </c>
      <c r="AQ24" s="644">
        <f t="shared" si="29"/>
        <v>5</v>
      </c>
      <c r="AR24" s="141">
        <f t="shared" si="8"/>
        <v>0.3</v>
      </c>
      <c r="AS24" s="142">
        <f t="shared" si="30"/>
        <v>0</v>
      </c>
      <c r="AT24" s="141">
        <f t="shared" si="9"/>
        <v>0.6</v>
      </c>
      <c r="AU24" s="645">
        <f t="shared" si="10"/>
        <v>0</v>
      </c>
      <c r="AV24" s="144">
        <f t="shared" si="11"/>
        <v>0.3</v>
      </c>
      <c r="AW24" s="645" t="b">
        <f t="shared" si="12"/>
        <v>0</v>
      </c>
      <c r="AX24" s="646" t="b">
        <f t="shared" si="13"/>
        <v>1</v>
      </c>
      <c r="AY24" s="645" t="b">
        <f t="shared" si="14"/>
        <v>0</v>
      </c>
      <c r="AZ24" s="646" t="b">
        <f t="shared" si="15"/>
        <v>0</v>
      </c>
      <c r="BA24" s="643" t="b">
        <f t="shared" si="16"/>
        <v>0</v>
      </c>
      <c r="BB24" s="643" t="b">
        <f t="shared" si="17"/>
        <v>0</v>
      </c>
      <c r="BC24" s="645" t="b">
        <f t="shared" si="18"/>
        <v>0</v>
      </c>
      <c r="BD24" s="647" t="b">
        <f t="shared" si="31"/>
        <v>0</v>
      </c>
      <c r="BE24" s="646" t="b">
        <f t="shared" si="37"/>
        <v>0</v>
      </c>
      <c r="BF24" s="648" t="b">
        <f t="shared" si="20"/>
        <v>0</v>
      </c>
      <c r="BG24" s="643" t="b">
        <f t="shared" si="38"/>
        <v>1</v>
      </c>
      <c r="BH24" s="643">
        <f t="shared" si="32"/>
        <v>1</v>
      </c>
      <c r="BI24" s="643">
        <f t="shared" si="22"/>
        <v>2</v>
      </c>
      <c r="BJ24" s="643" t="str">
        <f t="shared" si="23"/>
        <v>2</v>
      </c>
      <c r="BK24" s="643">
        <f t="shared" si="24"/>
        <v>3</v>
      </c>
      <c r="BL24" s="649">
        <f t="shared" si="33"/>
        <v>1</v>
      </c>
      <c r="BM24" s="643">
        <f t="shared" si="25"/>
        <v>2</v>
      </c>
      <c r="BN24" s="643">
        <f t="shared" si="26"/>
        <v>3</v>
      </c>
      <c r="BO24" s="1337"/>
      <c r="BP24" s="662" t="s">
        <v>362</v>
      </c>
      <c r="BQ24" s="165">
        <f t="shared" si="36"/>
        <v>0.6</v>
      </c>
      <c r="BR24" s="166">
        <f t="shared" si="36"/>
        <v>0.9</v>
      </c>
      <c r="BS24" s="166">
        <f t="shared" si="36"/>
        <v>0.93330000000000002</v>
      </c>
      <c r="BT24" s="166">
        <f t="shared" si="36"/>
        <v>0.9667</v>
      </c>
      <c r="BU24" s="167">
        <f t="shared" si="36"/>
        <v>1</v>
      </c>
    </row>
    <row r="25" spans="2:73" s="608" customFormat="1" ht="12.95" customHeight="1" x14ac:dyDescent="0.2">
      <c r="B25" s="652" t="str">
        <f>IF(ISNA(Z25),"",IF(OR(Z25=1,Z25=2),"    ",MAX($B$8:B24)+1))</f>
        <v xml:space="preserve">    </v>
      </c>
      <c r="C25" s="1334" t="str">
        <f t="shared" si="0"/>
        <v>Reporting (10.0%)</v>
      </c>
      <c r="D25" s="1334"/>
      <c r="E25" s="1334"/>
      <c r="F25" s="1335"/>
      <c r="G25" s="638" t="str">
        <f t="shared" si="1"/>
        <v/>
      </c>
      <c r="H25" s="639" t="str">
        <f t="shared" si="2"/>
        <v/>
      </c>
      <c r="I25" s="653" t="str">
        <f t="shared" si="2"/>
        <v/>
      </c>
      <c r="J25" s="659"/>
      <c r="K25" s="660"/>
      <c r="L25" s="1343"/>
      <c r="M25" s="1344"/>
      <c r="N25" s="1344"/>
      <c r="O25" s="1344"/>
      <c r="P25" s="1344"/>
      <c r="Q25" s="1344"/>
      <c r="R25" s="1345"/>
      <c r="T25" s="604">
        <v>18</v>
      </c>
      <c r="U25" s="594" t="s">
        <v>718</v>
      </c>
      <c r="V25" s="643" t="s">
        <v>340</v>
      </c>
      <c r="W25" s="643" t="s">
        <v>340</v>
      </c>
      <c r="X25" s="643" t="s">
        <v>340</v>
      </c>
      <c r="Y25" s="643" t="s">
        <v>340</v>
      </c>
      <c r="Z25" s="647">
        <v>2</v>
      </c>
      <c r="AA25" s="647">
        <v>1</v>
      </c>
      <c r="AB25" s="647">
        <v>1</v>
      </c>
      <c r="AC25" s="643" t="s">
        <v>340</v>
      </c>
      <c r="AD25" s="643" t="s">
        <v>340</v>
      </c>
      <c r="AE25" s="643" t="s">
        <v>340</v>
      </c>
      <c r="AF25" s="643" t="s">
        <v>340</v>
      </c>
      <c r="AG25" s="643" t="str">
        <f t="shared" si="3"/>
        <v/>
      </c>
      <c r="AH25" s="643" t="str">
        <f t="shared" si="4"/>
        <v/>
      </c>
      <c r="AI25" s="138">
        <f>IF(NOT(OR(Z25=1,Z25=2)),IF(AQ25&gt;0,$AR$44*AQ25/SUMIF($AQ$8:$AQ$39,"&gt;0"),IF(AU25&gt;0,$AV$44*AU25/SUMIF($AU$8:$AU$39,"&gt;0"),IF(AS25&gt;0,$AT$44*AS25/SUMIF($AS$8:$AS$39,"&gt;0"),""))),IF(SUMIF(AJ26:$AJ$39,"=" &amp; AJ25,AI26:$AI$39)=0,"",SUMIF(AJ26:$AJ$39,"=" &amp; AJ25,AI26:$AI$39)))</f>
        <v>0.1</v>
      </c>
      <c r="AJ25" s="139">
        <f t="shared" si="34"/>
        <v>4</v>
      </c>
      <c r="AK25" s="643" t="str">
        <f t="shared" si="27"/>
        <v/>
      </c>
      <c r="AL25" s="647" t="str">
        <f t="shared" si="28"/>
        <v/>
      </c>
      <c r="AM25" s="647" t="str">
        <f t="shared" si="35"/>
        <v/>
      </c>
      <c r="AN25" s="647" t="str">
        <f t="shared" si="5"/>
        <v/>
      </c>
      <c r="AO25" s="647" t="str">
        <f t="shared" si="6"/>
        <v/>
      </c>
      <c r="AP25" s="643" t="str">
        <f t="shared" si="7"/>
        <v/>
      </c>
      <c r="AQ25" s="644">
        <f t="shared" si="29"/>
        <v>0</v>
      </c>
      <c r="AR25" s="141" t="str">
        <f t="shared" si="8"/>
        <v/>
      </c>
      <c r="AS25" s="142">
        <f t="shared" si="30"/>
        <v>0</v>
      </c>
      <c r="AT25" s="141" t="str">
        <f t="shared" si="9"/>
        <v/>
      </c>
      <c r="AU25" s="645">
        <f t="shared" si="10"/>
        <v>0</v>
      </c>
      <c r="AV25" s="144" t="str">
        <f t="shared" si="11"/>
        <v/>
      </c>
      <c r="AW25" s="645" t="b">
        <f t="shared" si="12"/>
        <v>0</v>
      </c>
      <c r="AX25" s="646" t="b">
        <f t="shared" si="13"/>
        <v>0</v>
      </c>
      <c r="AY25" s="645" t="b">
        <f t="shared" si="14"/>
        <v>0</v>
      </c>
      <c r="AZ25" s="646" t="b">
        <f t="shared" si="15"/>
        <v>0</v>
      </c>
      <c r="BA25" s="643" t="b">
        <f t="shared" si="16"/>
        <v>0</v>
      </c>
      <c r="BB25" s="643" t="b">
        <f t="shared" si="17"/>
        <v>0</v>
      </c>
      <c r="BC25" s="645" t="b">
        <f t="shared" si="18"/>
        <v>0</v>
      </c>
      <c r="BD25" s="647" t="b">
        <f t="shared" si="31"/>
        <v>0</v>
      </c>
      <c r="BE25" s="646" t="b">
        <f t="shared" si="37"/>
        <v>0</v>
      </c>
      <c r="BF25" s="648" t="b">
        <f t="shared" si="20"/>
        <v>0</v>
      </c>
      <c r="BG25" s="643" t="b">
        <f t="shared" si="38"/>
        <v>0</v>
      </c>
      <c r="BH25" s="643" t="str">
        <f t="shared" si="32"/>
        <v/>
      </c>
      <c r="BI25" s="643" t="str">
        <f t="shared" si="22"/>
        <v/>
      </c>
      <c r="BJ25" s="643" t="str">
        <f t="shared" si="23"/>
        <v/>
      </c>
      <c r="BK25" s="643" t="str">
        <f t="shared" si="24"/>
        <v/>
      </c>
      <c r="BL25" s="649" t="str">
        <f t="shared" si="33"/>
        <v/>
      </c>
      <c r="BM25" s="643" t="str">
        <f t="shared" si="25"/>
        <v/>
      </c>
      <c r="BN25" s="643" t="str">
        <f t="shared" si="26"/>
        <v/>
      </c>
      <c r="BO25" s="1337"/>
      <c r="BP25" s="662" t="s">
        <v>363</v>
      </c>
      <c r="BQ25" s="165">
        <f t="shared" si="36"/>
        <v>0.6</v>
      </c>
      <c r="BR25" s="166">
        <f t="shared" si="36"/>
        <v>0.7</v>
      </c>
      <c r="BS25" s="166">
        <f t="shared" si="36"/>
        <v>0.9</v>
      </c>
      <c r="BT25" s="166">
        <f t="shared" si="36"/>
        <v>0.95</v>
      </c>
      <c r="BU25" s="167">
        <f t="shared" si="36"/>
        <v>1</v>
      </c>
    </row>
    <row r="26" spans="2:73" s="608" customFormat="1" ht="12.95" customHeight="1" x14ac:dyDescent="0.2">
      <c r="B26" s="652">
        <f>IF(ISNA(Z26),"",IF(OR(Z26=1,Z26=2),"    ",MAX($B$8:B25)+1))</f>
        <v>14</v>
      </c>
      <c r="C26" s="1334" t="str">
        <f t="shared" si="0"/>
        <v xml:space="preserve">      - SPO Debrief (10.0%)</v>
      </c>
      <c r="D26" s="1334"/>
      <c r="E26" s="1334"/>
      <c r="F26" s="1335"/>
      <c r="G26" s="638">
        <f t="shared" si="1"/>
        <v>1</v>
      </c>
      <c r="H26" s="639" t="str">
        <f t="shared" si="2"/>
        <v>2</v>
      </c>
      <c r="I26" s="653">
        <f t="shared" si="2"/>
        <v>3</v>
      </c>
      <c r="J26" s="658"/>
      <c r="K26" s="655"/>
      <c r="L26" s="1343"/>
      <c r="M26" s="1344"/>
      <c r="N26" s="1344"/>
      <c r="O26" s="1344"/>
      <c r="P26" s="1344"/>
      <c r="Q26" s="1344"/>
      <c r="R26" s="1345"/>
      <c r="T26" s="604">
        <v>19</v>
      </c>
      <c r="U26" s="594" t="s">
        <v>833</v>
      </c>
      <c r="V26" s="643">
        <v>1</v>
      </c>
      <c r="W26" s="643">
        <v>10</v>
      </c>
      <c r="X26" s="643" t="s">
        <v>340</v>
      </c>
      <c r="Y26" s="643" t="s">
        <v>340</v>
      </c>
      <c r="Z26" s="647" t="s">
        <v>340</v>
      </c>
      <c r="AA26" s="647">
        <v>2</v>
      </c>
      <c r="AB26" s="647">
        <v>1</v>
      </c>
      <c r="AC26" s="643">
        <v>3</v>
      </c>
      <c r="AD26" s="643">
        <v>2</v>
      </c>
      <c r="AE26" s="643">
        <v>0</v>
      </c>
      <c r="AF26" s="643" t="b">
        <v>1</v>
      </c>
      <c r="AG26" s="643">
        <f t="shared" si="3"/>
        <v>2</v>
      </c>
      <c r="AH26" s="643">
        <f t="shared" si="4"/>
        <v>1</v>
      </c>
      <c r="AI26" s="138">
        <f>IF(NOT(OR(Z26=1,Z26=2)),IF(AQ26&gt;0,$AR$44*AQ26/SUMIF($AQ$8:$AQ$39,"&gt;0"),IF(AU26&gt;0,$AV$44*AU26/SUMIF($AU$8:$AU$39,"&gt;0"),IF(AS26&gt;0,$AT$44*AS26/SUMIF($AS$8:$AS$39,"&gt;0"),""))),IF(SUMIF(AJ27:$AJ$39,"=" &amp; AJ26,AI27:$AI$39)=0,"",SUMIF(AJ27:$AJ$39,"=" &amp; AJ26,AI27:$AI$39)))</f>
        <v>0.1</v>
      </c>
      <c r="AJ26" s="139">
        <f t="shared" si="34"/>
        <v>4</v>
      </c>
      <c r="AK26" s="643">
        <f t="shared" si="27"/>
        <v>2</v>
      </c>
      <c r="AL26" s="647" t="str">
        <f t="shared" si="28"/>
        <v/>
      </c>
      <c r="AM26" s="647" t="str">
        <f t="shared" si="35"/>
        <v/>
      </c>
      <c r="AN26" s="647" t="str">
        <f t="shared" si="5"/>
        <v/>
      </c>
      <c r="AO26" s="647" t="str">
        <f t="shared" si="6"/>
        <v/>
      </c>
      <c r="AP26" s="643" t="b">
        <f t="shared" si="7"/>
        <v>1</v>
      </c>
      <c r="AQ26" s="644">
        <f t="shared" si="29"/>
        <v>10</v>
      </c>
      <c r="AR26" s="141">
        <f t="shared" si="8"/>
        <v>0.3</v>
      </c>
      <c r="AS26" s="142">
        <f t="shared" si="30"/>
        <v>0</v>
      </c>
      <c r="AT26" s="141">
        <f t="shared" si="9"/>
        <v>0.6</v>
      </c>
      <c r="AU26" s="645">
        <f t="shared" si="10"/>
        <v>0</v>
      </c>
      <c r="AV26" s="144">
        <f t="shared" si="11"/>
        <v>0.3</v>
      </c>
      <c r="AW26" s="645" t="b">
        <f t="shared" si="12"/>
        <v>0</v>
      </c>
      <c r="AX26" s="646" t="b">
        <f t="shared" si="13"/>
        <v>1</v>
      </c>
      <c r="AY26" s="645" t="b">
        <f t="shared" si="14"/>
        <v>0</v>
      </c>
      <c r="AZ26" s="646" t="b">
        <f t="shared" si="15"/>
        <v>0</v>
      </c>
      <c r="BA26" s="643" t="b">
        <f t="shared" si="16"/>
        <v>0</v>
      </c>
      <c r="BB26" s="643" t="b">
        <f t="shared" si="17"/>
        <v>0</v>
      </c>
      <c r="BC26" s="645" t="b">
        <f t="shared" si="18"/>
        <v>0</v>
      </c>
      <c r="BD26" s="647" t="b">
        <f t="shared" si="31"/>
        <v>0</v>
      </c>
      <c r="BE26" s="646" t="b">
        <f t="shared" si="37"/>
        <v>0</v>
      </c>
      <c r="BF26" s="648" t="b">
        <f t="shared" si="20"/>
        <v>0</v>
      </c>
      <c r="BG26" s="643" t="b">
        <f t="shared" si="38"/>
        <v>1</v>
      </c>
      <c r="BH26" s="643">
        <f t="shared" si="32"/>
        <v>1</v>
      </c>
      <c r="BI26" s="643">
        <f t="shared" si="22"/>
        <v>2</v>
      </c>
      <c r="BJ26" s="643" t="str">
        <f t="shared" si="23"/>
        <v>2</v>
      </c>
      <c r="BK26" s="643">
        <f t="shared" si="24"/>
        <v>3</v>
      </c>
      <c r="BL26" s="649">
        <f t="shared" si="33"/>
        <v>1</v>
      </c>
      <c r="BM26" s="643">
        <f t="shared" si="25"/>
        <v>2</v>
      </c>
      <c r="BN26" s="643">
        <f t="shared" si="26"/>
        <v>3</v>
      </c>
      <c r="BO26" s="1337"/>
      <c r="BP26" s="662" t="s">
        <v>364</v>
      </c>
      <c r="BQ26" s="165">
        <f t="shared" si="36"/>
        <v>0.6</v>
      </c>
      <c r="BR26" s="166">
        <f t="shared" si="36"/>
        <v>0.7</v>
      </c>
      <c r="BS26" s="166">
        <f t="shared" si="36"/>
        <v>0.8</v>
      </c>
      <c r="BT26" s="166">
        <f t="shared" si="36"/>
        <v>0.9</v>
      </c>
      <c r="BU26" s="167">
        <f t="shared" si="36"/>
        <v>1</v>
      </c>
    </row>
    <row r="27" spans="2:73" s="608" customFormat="1" ht="12.95" customHeight="1" x14ac:dyDescent="0.2">
      <c r="B27" s="652" t="str">
        <f>IF(ISNA(Z27),"",IF(OR(Z27=1,Z27=2),"    ",MAX($B$8:B26)+1))</f>
        <v/>
      </c>
      <c r="C27" s="1334" t="str">
        <f t="shared" si="0"/>
        <v/>
      </c>
      <c r="D27" s="1334"/>
      <c r="E27" s="1334"/>
      <c r="F27" s="1335"/>
      <c r="G27" s="638" t="str">
        <f t="shared" si="1"/>
        <v/>
      </c>
      <c r="H27" s="639" t="str">
        <f t="shared" si="2"/>
        <v/>
      </c>
      <c r="I27" s="653" t="str">
        <f t="shared" si="2"/>
        <v/>
      </c>
      <c r="J27" s="659"/>
      <c r="K27" s="660"/>
      <c r="L27" s="1343"/>
      <c r="M27" s="1344"/>
      <c r="N27" s="1344"/>
      <c r="O27" s="1344"/>
      <c r="P27" s="1344"/>
      <c r="Q27" s="1344"/>
      <c r="R27" s="1345"/>
      <c r="T27" s="604">
        <v>20</v>
      </c>
      <c r="U27" s="594" t="e">
        <v>#N/A</v>
      </c>
      <c r="V27" s="643" t="e">
        <v>#N/A</v>
      </c>
      <c r="W27" s="643" t="e">
        <v>#N/A</v>
      </c>
      <c r="X27" s="643" t="e">
        <v>#N/A</v>
      </c>
      <c r="Y27" s="643" t="e">
        <v>#N/A</v>
      </c>
      <c r="Z27" s="647" t="e">
        <v>#N/A</v>
      </c>
      <c r="AA27" s="647" t="e">
        <v>#N/A</v>
      </c>
      <c r="AB27" s="647" t="e">
        <v>#N/A</v>
      </c>
      <c r="AC27" s="643" t="e">
        <v>#N/A</v>
      </c>
      <c r="AD27" s="643" t="e">
        <v>#N/A</v>
      </c>
      <c r="AE27" s="643" t="e">
        <v>#N/A</v>
      </c>
      <c r="AF27" s="643" t="e">
        <v>#N/A</v>
      </c>
      <c r="AG27" s="643" t="e">
        <f t="shared" si="3"/>
        <v>#N/A</v>
      </c>
      <c r="AH27" s="643" t="str">
        <f t="shared" si="4"/>
        <v/>
      </c>
      <c r="AI27" s="138" t="e">
        <f>IF(NOT(OR(Z27=1,Z27=2)),IF(AQ27&gt;0,$AR$44*AQ27/SUMIF($AQ$8:$AQ$39,"&gt;0"),IF(AU27&gt;0,$AV$44*AU27/SUMIF($AU$8:$AU$39,"&gt;0"),IF(AS27&gt;0,$AT$44*AS27/SUMIF($AS$8:$AS$39,"&gt;0"),""))),IF(SUMIF(AJ28:$AJ$39,"=" &amp; AJ27,AI28:$AI$39)=0,"",SUMIF(AJ28:$AJ$39,"=" &amp; AJ27,AI28:$AI$39)))</f>
        <v>#N/A</v>
      </c>
      <c r="AJ27" s="139" t="e">
        <f t="shared" si="34"/>
        <v>#N/A</v>
      </c>
      <c r="AK27" s="643" t="str">
        <f t="shared" si="27"/>
        <v/>
      </c>
      <c r="AL27" s="647" t="str">
        <f t="shared" si="28"/>
        <v/>
      </c>
      <c r="AM27" s="647" t="str">
        <f t="shared" si="35"/>
        <v/>
      </c>
      <c r="AN27" s="647" t="str">
        <f t="shared" si="5"/>
        <v/>
      </c>
      <c r="AO27" s="647" t="e">
        <f t="shared" si="6"/>
        <v>#N/A</v>
      </c>
      <c r="AP27" s="643" t="str">
        <f t="shared" si="7"/>
        <v/>
      </c>
      <c r="AQ27" s="644">
        <f t="shared" si="29"/>
        <v>0</v>
      </c>
      <c r="AR27" s="141" t="str">
        <f t="shared" si="8"/>
        <v/>
      </c>
      <c r="AS27" s="142">
        <f t="shared" si="30"/>
        <v>0</v>
      </c>
      <c r="AT27" s="141" t="str">
        <f t="shared" si="9"/>
        <v/>
      </c>
      <c r="AU27" s="645">
        <f t="shared" si="10"/>
        <v>0</v>
      </c>
      <c r="AV27" s="144" t="str">
        <f t="shared" si="11"/>
        <v/>
      </c>
      <c r="AW27" s="645" t="b">
        <f t="shared" si="12"/>
        <v>0</v>
      </c>
      <c r="AX27" s="646" t="b">
        <f t="shared" si="13"/>
        <v>0</v>
      </c>
      <c r="AY27" s="645" t="b">
        <f t="shared" si="14"/>
        <v>0</v>
      </c>
      <c r="AZ27" s="646" t="b">
        <f t="shared" si="15"/>
        <v>0</v>
      </c>
      <c r="BA27" s="643" t="b">
        <f t="shared" si="16"/>
        <v>0</v>
      </c>
      <c r="BB27" s="643" t="b">
        <f t="shared" si="17"/>
        <v>0</v>
      </c>
      <c r="BC27" s="645" t="b">
        <f t="shared" si="18"/>
        <v>0</v>
      </c>
      <c r="BD27" s="647" t="b">
        <f t="shared" si="31"/>
        <v>0</v>
      </c>
      <c r="BE27" s="646" t="b">
        <f t="shared" si="37"/>
        <v>0</v>
      </c>
      <c r="BF27" s="648" t="b">
        <f t="shared" si="20"/>
        <v>0</v>
      </c>
      <c r="BG27" s="643" t="str">
        <f t="shared" si="38"/>
        <v>NA</v>
      </c>
      <c r="BH27" s="643" t="str">
        <f t="shared" si="32"/>
        <v/>
      </c>
      <c r="BI27" s="643" t="str">
        <f t="shared" si="22"/>
        <v/>
      </c>
      <c r="BJ27" s="643" t="str">
        <f t="shared" si="23"/>
        <v/>
      </c>
      <c r="BK27" s="643" t="str">
        <f t="shared" si="24"/>
        <v/>
      </c>
      <c r="BL27" s="649" t="str">
        <f t="shared" si="33"/>
        <v/>
      </c>
      <c r="BM27" s="643" t="str">
        <f t="shared" si="25"/>
        <v/>
      </c>
      <c r="BN27" s="643" t="str">
        <f t="shared" si="26"/>
        <v/>
      </c>
      <c r="BO27" s="1337"/>
      <c r="BP27" s="662" t="s">
        <v>365</v>
      </c>
      <c r="BQ27" s="165">
        <f t="shared" si="36"/>
        <v>0.3</v>
      </c>
      <c r="BR27" s="166">
        <f t="shared" si="36"/>
        <v>0.6</v>
      </c>
      <c r="BS27" s="166">
        <f t="shared" si="36"/>
        <v>0.9</v>
      </c>
      <c r="BT27" s="166">
        <f t="shared" si="36"/>
        <v>0.95</v>
      </c>
      <c r="BU27" s="167">
        <f t="shared" si="36"/>
        <v>1</v>
      </c>
    </row>
    <row r="28" spans="2:73" s="608" customFormat="1" ht="12.95" customHeight="1" x14ac:dyDescent="0.2">
      <c r="B28" s="652" t="str">
        <f>IF(ISNA(Z28),"",IF(OR(Z28=1,Z28=2),"    ",MAX($B$8:B27)+1))</f>
        <v/>
      </c>
      <c r="C28" s="1334" t="str">
        <f t="shared" si="0"/>
        <v/>
      </c>
      <c r="D28" s="1334"/>
      <c r="E28" s="1334"/>
      <c r="F28" s="1335"/>
      <c r="G28" s="638" t="str">
        <f t="shared" si="1"/>
        <v/>
      </c>
      <c r="H28" s="639" t="str">
        <f t="shared" si="2"/>
        <v/>
      </c>
      <c r="I28" s="653" t="str">
        <f t="shared" si="2"/>
        <v/>
      </c>
      <c r="J28" s="659"/>
      <c r="K28" s="660"/>
      <c r="L28" s="1343"/>
      <c r="M28" s="1344"/>
      <c r="N28" s="1344"/>
      <c r="O28" s="1344"/>
      <c r="P28" s="1344"/>
      <c r="Q28" s="1344"/>
      <c r="R28" s="1345"/>
      <c r="T28" s="604">
        <v>21</v>
      </c>
      <c r="U28" s="594" t="e">
        <v>#N/A</v>
      </c>
      <c r="V28" s="643" t="e">
        <v>#N/A</v>
      </c>
      <c r="W28" s="643" t="e">
        <v>#N/A</v>
      </c>
      <c r="X28" s="643" t="e">
        <v>#N/A</v>
      </c>
      <c r="Y28" s="643" t="e">
        <v>#N/A</v>
      </c>
      <c r="Z28" s="647" t="e">
        <v>#N/A</v>
      </c>
      <c r="AA28" s="647" t="e">
        <v>#N/A</v>
      </c>
      <c r="AB28" s="647" t="e">
        <v>#N/A</v>
      </c>
      <c r="AC28" s="643" t="e">
        <v>#N/A</v>
      </c>
      <c r="AD28" s="643" t="e">
        <v>#N/A</v>
      </c>
      <c r="AE28" s="643" t="e">
        <v>#N/A</v>
      </c>
      <c r="AF28" s="643" t="e">
        <v>#N/A</v>
      </c>
      <c r="AG28" s="643" t="e">
        <f t="shared" si="3"/>
        <v>#N/A</v>
      </c>
      <c r="AH28" s="643" t="str">
        <f t="shared" si="4"/>
        <v/>
      </c>
      <c r="AI28" s="138" t="e">
        <f>IF(NOT(OR(Z28=1,Z28=2)),IF(AQ28&gt;0,$AR$44*AQ28/SUMIF($AQ$8:$AQ$39,"&gt;0"),IF(AU28&gt;0,$AV$44*AU28/SUMIF($AU$8:$AU$39,"&gt;0"),IF(AS28&gt;0,$AT$44*AS28/SUMIF($AS$8:$AS$39,"&gt;0"),""))),IF(SUMIF(AJ29:$AJ$39,"=" &amp; AJ28,AI29:$AI$39)=0,"",SUMIF(AJ29:$AJ$39,"=" &amp; AJ28,AI29:$AI$39)))</f>
        <v>#N/A</v>
      </c>
      <c r="AJ28" s="139" t="e">
        <f t="shared" si="34"/>
        <v>#N/A</v>
      </c>
      <c r="AK28" s="643" t="str">
        <f t="shared" si="27"/>
        <v/>
      </c>
      <c r="AL28" s="647" t="str">
        <f t="shared" si="28"/>
        <v/>
      </c>
      <c r="AM28" s="647" t="str">
        <f t="shared" si="35"/>
        <v/>
      </c>
      <c r="AN28" s="647" t="str">
        <f t="shared" si="5"/>
        <v/>
      </c>
      <c r="AO28" s="647" t="e">
        <f t="shared" si="6"/>
        <v>#N/A</v>
      </c>
      <c r="AP28" s="643" t="str">
        <f t="shared" si="7"/>
        <v/>
      </c>
      <c r="AQ28" s="644">
        <f t="shared" si="29"/>
        <v>0</v>
      </c>
      <c r="AR28" s="141" t="str">
        <f t="shared" si="8"/>
        <v/>
      </c>
      <c r="AS28" s="142">
        <f t="shared" si="30"/>
        <v>0</v>
      </c>
      <c r="AT28" s="141" t="str">
        <f t="shared" si="9"/>
        <v/>
      </c>
      <c r="AU28" s="645">
        <f t="shared" si="10"/>
        <v>0</v>
      </c>
      <c r="AV28" s="144" t="str">
        <f t="shared" si="11"/>
        <v/>
      </c>
      <c r="AW28" s="645" t="b">
        <f t="shared" si="12"/>
        <v>0</v>
      </c>
      <c r="AX28" s="646" t="b">
        <f t="shared" si="13"/>
        <v>0</v>
      </c>
      <c r="AY28" s="645" t="b">
        <f t="shared" si="14"/>
        <v>0</v>
      </c>
      <c r="AZ28" s="646" t="b">
        <f t="shared" si="15"/>
        <v>0</v>
      </c>
      <c r="BA28" s="643" t="b">
        <f t="shared" si="16"/>
        <v>0</v>
      </c>
      <c r="BB28" s="643" t="b">
        <f t="shared" si="17"/>
        <v>0</v>
      </c>
      <c r="BC28" s="645" t="b">
        <f t="shared" si="18"/>
        <v>0</v>
      </c>
      <c r="BD28" s="647" t="b">
        <f t="shared" si="31"/>
        <v>0</v>
      </c>
      <c r="BE28" s="646" t="b">
        <f t="shared" si="37"/>
        <v>0</v>
      </c>
      <c r="BF28" s="648" t="b">
        <f t="shared" si="20"/>
        <v>0</v>
      </c>
      <c r="BG28" s="643" t="str">
        <f t="shared" si="38"/>
        <v>NA</v>
      </c>
      <c r="BH28" s="643" t="str">
        <f t="shared" si="32"/>
        <v/>
      </c>
      <c r="BI28" s="643" t="str">
        <f t="shared" si="22"/>
        <v/>
      </c>
      <c r="BJ28" s="643" t="str">
        <f t="shared" si="23"/>
        <v/>
      </c>
      <c r="BK28" s="643" t="str">
        <f t="shared" si="24"/>
        <v/>
      </c>
      <c r="BL28" s="649" t="str">
        <f t="shared" si="33"/>
        <v/>
      </c>
      <c r="BM28" s="643" t="str">
        <f t="shared" si="25"/>
        <v/>
      </c>
      <c r="BN28" s="643" t="str">
        <f t="shared" si="26"/>
        <v/>
      </c>
      <c r="BO28" s="1337"/>
      <c r="BP28" s="662" t="s">
        <v>366</v>
      </c>
      <c r="BQ28" s="165">
        <f t="shared" si="36"/>
        <v>0.3</v>
      </c>
      <c r="BR28" s="166">
        <f t="shared" si="36"/>
        <v>0.6</v>
      </c>
      <c r="BS28" s="166">
        <f t="shared" si="36"/>
        <v>0.7</v>
      </c>
      <c r="BT28" s="166">
        <f t="shared" si="36"/>
        <v>0.9</v>
      </c>
      <c r="BU28" s="167">
        <f t="shared" si="36"/>
        <v>1</v>
      </c>
    </row>
    <row r="29" spans="2:73" s="608" customFormat="1" ht="12.95" customHeight="1" x14ac:dyDescent="0.2">
      <c r="B29" s="652" t="str">
        <f>IF(ISNA(Z29),"",IF(OR(Z29=1,Z29=2),"    ",MAX($B$8:B28)+1))</f>
        <v/>
      </c>
      <c r="C29" s="1334" t="str">
        <f t="shared" si="0"/>
        <v/>
      </c>
      <c r="D29" s="1334"/>
      <c r="E29" s="1334"/>
      <c r="F29" s="1335"/>
      <c r="G29" s="638" t="str">
        <f t="shared" si="1"/>
        <v/>
      </c>
      <c r="H29" s="639" t="str">
        <f t="shared" si="2"/>
        <v/>
      </c>
      <c r="I29" s="653" t="str">
        <f t="shared" si="2"/>
        <v/>
      </c>
      <c r="J29" s="659"/>
      <c r="K29" s="660"/>
      <c r="L29" s="1343"/>
      <c r="M29" s="1344"/>
      <c r="N29" s="1344"/>
      <c r="O29" s="1344"/>
      <c r="P29" s="1344"/>
      <c r="Q29" s="1344"/>
      <c r="R29" s="1345"/>
      <c r="T29" s="604">
        <v>22</v>
      </c>
      <c r="U29" s="594" t="e">
        <v>#N/A</v>
      </c>
      <c r="V29" s="643" t="e">
        <v>#N/A</v>
      </c>
      <c r="W29" s="643" t="e">
        <v>#N/A</v>
      </c>
      <c r="X29" s="643" t="e">
        <v>#N/A</v>
      </c>
      <c r="Y29" s="643" t="e">
        <v>#N/A</v>
      </c>
      <c r="Z29" s="647" t="e">
        <v>#N/A</v>
      </c>
      <c r="AA29" s="647" t="e">
        <v>#N/A</v>
      </c>
      <c r="AB29" s="647" t="e">
        <v>#N/A</v>
      </c>
      <c r="AC29" s="643" t="e">
        <v>#N/A</v>
      </c>
      <c r="AD29" s="643" t="e">
        <v>#N/A</v>
      </c>
      <c r="AE29" s="643" t="e">
        <v>#N/A</v>
      </c>
      <c r="AF29" s="643" t="e">
        <v>#N/A</v>
      </c>
      <c r="AG29" s="643" t="e">
        <f t="shared" si="3"/>
        <v>#N/A</v>
      </c>
      <c r="AH29" s="643" t="str">
        <f t="shared" si="4"/>
        <v/>
      </c>
      <c r="AI29" s="138" t="e">
        <f>IF(NOT(OR(Z29=1,Z29=2)),IF(AQ29&gt;0,$AR$44*AQ29/SUMIF($AQ$8:$AQ$39,"&gt;0"),IF(AU29&gt;0,$AV$44*AU29/SUMIF($AU$8:$AU$39,"&gt;0"),IF(AS29&gt;0,$AT$44*AS29/SUMIF($AS$8:$AS$39,"&gt;0"),""))),IF(SUMIF(AJ30:$AJ$39,"=" &amp; AJ29,AI30:$AI$39)=0,"",SUMIF(AJ30:$AJ$39,"=" &amp; AJ29,AI30:$AI$39)))</f>
        <v>#N/A</v>
      </c>
      <c r="AJ29" s="139" t="e">
        <f t="shared" si="34"/>
        <v>#N/A</v>
      </c>
      <c r="AK29" s="643" t="str">
        <f t="shared" si="27"/>
        <v/>
      </c>
      <c r="AL29" s="647" t="str">
        <f t="shared" si="28"/>
        <v/>
      </c>
      <c r="AM29" s="647" t="str">
        <f t="shared" si="35"/>
        <v/>
      </c>
      <c r="AN29" s="647" t="str">
        <f t="shared" si="5"/>
        <v/>
      </c>
      <c r="AO29" s="647" t="e">
        <f t="shared" si="6"/>
        <v>#N/A</v>
      </c>
      <c r="AP29" s="643" t="str">
        <f t="shared" si="7"/>
        <v/>
      </c>
      <c r="AQ29" s="644">
        <f t="shared" si="29"/>
        <v>0</v>
      </c>
      <c r="AR29" s="141" t="str">
        <f t="shared" si="8"/>
        <v/>
      </c>
      <c r="AS29" s="142">
        <f t="shared" si="30"/>
        <v>0</v>
      </c>
      <c r="AT29" s="141" t="str">
        <f t="shared" si="9"/>
        <v/>
      </c>
      <c r="AU29" s="645">
        <f t="shared" si="10"/>
        <v>0</v>
      </c>
      <c r="AV29" s="144" t="str">
        <f t="shared" si="11"/>
        <v/>
      </c>
      <c r="AW29" s="645" t="b">
        <f t="shared" si="12"/>
        <v>0</v>
      </c>
      <c r="AX29" s="646" t="b">
        <f t="shared" si="13"/>
        <v>0</v>
      </c>
      <c r="AY29" s="645" t="b">
        <f t="shared" si="14"/>
        <v>0</v>
      </c>
      <c r="AZ29" s="646" t="b">
        <f t="shared" si="15"/>
        <v>0</v>
      </c>
      <c r="BA29" s="643" t="b">
        <f t="shared" si="16"/>
        <v>0</v>
      </c>
      <c r="BB29" s="643" t="b">
        <f t="shared" si="17"/>
        <v>0</v>
      </c>
      <c r="BC29" s="645" t="b">
        <f t="shared" si="18"/>
        <v>0</v>
      </c>
      <c r="BD29" s="647" t="b">
        <f t="shared" si="31"/>
        <v>0</v>
      </c>
      <c r="BE29" s="646" t="b">
        <f t="shared" si="37"/>
        <v>0</v>
      </c>
      <c r="BF29" s="648" t="b">
        <f t="shared" si="20"/>
        <v>0</v>
      </c>
      <c r="BG29" s="643" t="str">
        <f t="shared" si="38"/>
        <v>NA</v>
      </c>
      <c r="BH29" s="643" t="str">
        <f t="shared" si="32"/>
        <v/>
      </c>
      <c r="BI29" s="643" t="str">
        <f t="shared" si="22"/>
        <v/>
      </c>
      <c r="BJ29" s="643" t="str">
        <f t="shared" si="23"/>
        <v/>
      </c>
      <c r="BK29" s="643" t="str">
        <f t="shared" si="24"/>
        <v/>
      </c>
      <c r="BL29" s="649" t="str">
        <f t="shared" si="33"/>
        <v/>
      </c>
      <c r="BM29" s="643" t="str">
        <f t="shared" si="25"/>
        <v/>
      </c>
      <c r="BN29" s="643" t="str">
        <f t="shared" si="26"/>
        <v/>
      </c>
      <c r="BO29" s="1337"/>
      <c r="BP29" s="662" t="s">
        <v>367</v>
      </c>
      <c r="BQ29" s="168">
        <f t="shared" si="36"/>
        <v>0</v>
      </c>
      <c r="BR29" s="169">
        <f t="shared" si="36"/>
        <v>0.3</v>
      </c>
      <c r="BS29" s="169">
        <f t="shared" si="36"/>
        <v>0.6</v>
      </c>
      <c r="BT29" s="169">
        <f t="shared" si="36"/>
        <v>0.9</v>
      </c>
      <c r="BU29" s="170">
        <f t="shared" si="36"/>
        <v>1</v>
      </c>
    </row>
    <row r="30" spans="2:73" s="608" customFormat="1" ht="12.95" customHeight="1" x14ac:dyDescent="0.2">
      <c r="B30" s="652" t="str">
        <f>IF(ISNA(Z30),"",IF(OR(Z30=1,Z30=2),"    ",MAX($B$8:B29)+1))</f>
        <v/>
      </c>
      <c r="C30" s="1334" t="str">
        <f t="shared" si="0"/>
        <v/>
      </c>
      <c r="D30" s="1334"/>
      <c r="E30" s="1334"/>
      <c r="F30" s="1335"/>
      <c r="G30" s="638" t="str">
        <f t="shared" si="1"/>
        <v/>
      </c>
      <c r="H30" s="639" t="str">
        <f t="shared" si="2"/>
        <v/>
      </c>
      <c r="I30" s="653" t="str">
        <f t="shared" si="2"/>
        <v/>
      </c>
      <c r="J30" s="659"/>
      <c r="K30" s="660"/>
      <c r="L30" s="1343"/>
      <c r="M30" s="1344"/>
      <c r="N30" s="1344"/>
      <c r="O30" s="1344"/>
      <c r="P30" s="1344"/>
      <c r="Q30" s="1344"/>
      <c r="R30" s="1345"/>
      <c r="T30" s="604">
        <v>23</v>
      </c>
      <c r="U30" s="594" t="e">
        <v>#N/A</v>
      </c>
      <c r="V30" s="643" t="e">
        <v>#N/A</v>
      </c>
      <c r="W30" s="643" t="e">
        <v>#N/A</v>
      </c>
      <c r="X30" s="643" t="e">
        <v>#N/A</v>
      </c>
      <c r="Y30" s="643" t="e">
        <v>#N/A</v>
      </c>
      <c r="Z30" s="647" t="e">
        <v>#N/A</v>
      </c>
      <c r="AA30" s="647" t="e">
        <v>#N/A</v>
      </c>
      <c r="AB30" s="647" t="e">
        <v>#N/A</v>
      </c>
      <c r="AC30" s="643" t="e">
        <v>#N/A</v>
      </c>
      <c r="AD30" s="643" t="e">
        <v>#N/A</v>
      </c>
      <c r="AE30" s="643" t="e">
        <v>#N/A</v>
      </c>
      <c r="AF30" s="643" t="e">
        <v>#N/A</v>
      </c>
      <c r="AG30" s="643" t="e">
        <f t="shared" si="3"/>
        <v>#N/A</v>
      </c>
      <c r="AH30" s="643" t="str">
        <f t="shared" si="4"/>
        <v/>
      </c>
      <c r="AI30" s="138" t="e">
        <f>IF(NOT(OR(Z30=1,Z30=2)),IF(AQ30&gt;0,$AR$44*AQ30/SUMIF($AQ$8:$AQ$39,"&gt;0"),IF(AU30&gt;0,$AV$44*AU30/SUMIF($AU$8:$AU$39,"&gt;0"),IF(AS30&gt;0,$AT$44*AS30/SUMIF($AS$8:$AS$39,"&gt;0"),""))),IF(SUMIF(AJ31:$AJ$39,"=" &amp; AJ30,AI31:$AI$39)=0,"",SUMIF(AJ31:$AJ$39,"=" &amp; AJ30,AI31:$AI$39)))</f>
        <v>#N/A</v>
      </c>
      <c r="AJ30" s="139" t="e">
        <f t="shared" si="34"/>
        <v>#N/A</v>
      </c>
      <c r="AK30" s="643" t="str">
        <f t="shared" si="27"/>
        <v/>
      </c>
      <c r="AL30" s="647" t="str">
        <f t="shared" si="28"/>
        <v/>
      </c>
      <c r="AM30" s="647" t="str">
        <f t="shared" si="35"/>
        <v/>
      </c>
      <c r="AN30" s="647" t="str">
        <f t="shared" si="5"/>
        <v/>
      </c>
      <c r="AO30" s="647" t="e">
        <f t="shared" si="6"/>
        <v>#N/A</v>
      </c>
      <c r="AP30" s="643" t="str">
        <f t="shared" si="7"/>
        <v/>
      </c>
      <c r="AQ30" s="644">
        <f t="shared" si="29"/>
        <v>0</v>
      </c>
      <c r="AR30" s="141" t="str">
        <f t="shared" si="8"/>
        <v/>
      </c>
      <c r="AS30" s="142">
        <f t="shared" si="30"/>
        <v>0</v>
      </c>
      <c r="AT30" s="141" t="str">
        <f t="shared" si="9"/>
        <v/>
      </c>
      <c r="AU30" s="645">
        <f t="shared" si="10"/>
        <v>0</v>
      </c>
      <c r="AV30" s="144" t="str">
        <f t="shared" si="11"/>
        <v/>
      </c>
      <c r="AW30" s="645" t="b">
        <f t="shared" si="12"/>
        <v>0</v>
      </c>
      <c r="AX30" s="646" t="b">
        <f t="shared" si="13"/>
        <v>0</v>
      </c>
      <c r="AY30" s="645" t="b">
        <f t="shared" si="14"/>
        <v>0</v>
      </c>
      <c r="AZ30" s="646" t="b">
        <f t="shared" si="15"/>
        <v>0</v>
      </c>
      <c r="BA30" s="643" t="b">
        <f t="shared" si="16"/>
        <v>0</v>
      </c>
      <c r="BB30" s="643" t="b">
        <f t="shared" si="17"/>
        <v>0</v>
      </c>
      <c r="BC30" s="645" t="b">
        <f t="shared" si="18"/>
        <v>0</v>
      </c>
      <c r="BD30" s="647" t="b">
        <f t="shared" si="31"/>
        <v>0</v>
      </c>
      <c r="BE30" s="646" t="b">
        <f t="shared" si="37"/>
        <v>0</v>
      </c>
      <c r="BF30" s="648" t="b">
        <f t="shared" si="20"/>
        <v>0</v>
      </c>
      <c r="BG30" s="643" t="str">
        <f t="shared" si="38"/>
        <v>NA</v>
      </c>
      <c r="BH30" s="643" t="str">
        <f t="shared" si="32"/>
        <v/>
      </c>
      <c r="BI30" s="643" t="str">
        <f t="shared" si="22"/>
        <v/>
      </c>
      <c r="BJ30" s="643" t="str">
        <f t="shared" si="23"/>
        <v/>
      </c>
      <c r="BK30" s="643" t="str">
        <f t="shared" si="24"/>
        <v/>
      </c>
      <c r="BL30" s="649" t="str">
        <f t="shared" si="33"/>
        <v/>
      </c>
      <c r="BM30" s="643" t="str">
        <f t="shared" si="25"/>
        <v/>
      </c>
      <c r="BN30" s="643" t="str">
        <f t="shared" si="26"/>
        <v/>
      </c>
      <c r="BO30" s="596"/>
    </row>
    <row r="31" spans="2:73" s="608" customFormat="1" ht="12.95" customHeight="1" x14ac:dyDescent="0.2">
      <c r="B31" s="652" t="str">
        <f>IF(ISNA(Z31),"",IF(OR(Z31=1,Z31=2),"    ",MAX($B$8:B30)+1))</f>
        <v/>
      </c>
      <c r="C31" s="1334" t="str">
        <f t="shared" si="0"/>
        <v/>
      </c>
      <c r="D31" s="1334"/>
      <c r="E31" s="1334"/>
      <c r="F31" s="1335"/>
      <c r="G31" s="638" t="str">
        <f t="shared" si="1"/>
        <v/>
      </c>
      <c r="H31" s="639" t="str">
        <f t="shared" si="2"/>
        <v/>
      </c>
      <c r="I31" s="653" t="str">
        <f t="shared" si="2"/>
        <v/>
      </c>
      <c r="J31" s="659"/>
      <c r="K31" s="660"/>
      <c r="L31" s="1343"/>
      <c r="M31" s="1344"/>
      <c r="N31" s="1344"/>
      <c r="O31" s="1344"/>
      <c r="P31" s="1344"/>
      <c r="Q31" s="1344"/>
      <c r="R31" s="1345"/>
      <c r="T31" s="604">
        <v>24</v>
      </c>
      <c r="U31" s="594" t="e">
        <v>#N/A</v>
      </c>
      <c r="V31" s="643" t="e">
        <v>#N/A</v>
      </c>
      <c r="W31" s="643" t="e">
        <v>#N/A</v>
      </c>
      <c r="X31" s="643" t="e">
        <v>#N/A</v>
      </c>
      <c r="Y31" s="643" t="e">
        <v>#N/A</v>
      </c>
      <c r="Z31" s="647" t="e">
        <v>#N/A</v>
      </c>
      <c r="AA31" s="647" t="e">
        <v>#N/A</v>
      </c>
      <c r="AB31" s="647" t="e">
        <v>#N/A</v>
      </c>
      <c r="AC31" s="643" t="e">
        <v>#N/A</v>
      </c>
      <c r="AD31" s="643" t="e">
        <v>#N/A</v>
      </c>
      <c r="AE31" s="643" t="e">
        <v>#N/A</v>
      </c>
      <c r="AF31" s="643" t="e">
        <v>#N/A</v>
      </c>
      <c r="AG31" s="643" t="e">
        <f t="shared" si="3"/>
        <v>#N/A</v>
      </c>
      <c r="AH31" s="643" t="str">
        <f t="shared" si="4"/>
        <v/>
      </c>
      <c r="AI31" s="138" t="e">
        <f>IF(NOT(OR(Z31=1,Z31=2)),IF(AQ31&gt;0,$AR$44*AQ31/SUMIF($AQ$8:$AQ$39,"&gt;0"),IF(AU31&gt;0,$AV$44*AU31/SUMIF($AU$8:$AU$39,"&gt;0"),IF(AS31&gt;0,$AT$44*AS31/SUMIF($AS$8:$AS$39,"&gt;0"),""))),IF(SUMIF(AJ32:$AJ$39,"=" &amp; AJ31,AI32:$AI$39)=0,"",SUMIF(AJ32:$AJ$39,"=" &amp; AJ31,AI32:$AI$39)))</f>
        <v>#N/A</v>
      </c>
      <c r="AJ31" s="139" t="e">
        <f t="shared" si="34"/>
        <v>#N/A</v>
      </c>
      <c r="AK31" s="643" t="str">
        <f t="shared" si="27"/>
        <v/>
      </c>
      <c r="AL31" s="647" t="str">
        <f t="shared" si="28"/>
        <v/>
      </c>
      <c r="AM31" s="647" t="str">
        <f t="shared" si="35"/>
        <v/>
      </c>
      <c r="AN31" s="647" t="str">
        <f t="shared" si="5"/>
        <v/>
      </c>
      <c r="AO31" s="647" t="e">
        <f t="shared" si="6"/>
        <v>#N/A</v>
      </c>
      <c r="AP31" s="643" t="str">
        <f t="shared" si="7"/>
        <v/>
      </c>
      <c r="AQ31" s="644">
        <f t="shared" si="29"/>
        <v>0</v>
      </c>
      <c r="AR31" s="141" t="str">
        <f t="shared" si="8"/>
        <v/>
      </c>
      <c r="AS31" s="142">
        <f t="shared" si="30"/>
        <v>0</v>
      </c>
      <c r="AT31" s="141" t="str">
        <f t="shared" si="9"/>
        <v/>
      </c>
      <c r="AU31" s="645">
        <f t="shared" si="10"/>
        <v>0</v>
      </c>
      <c r="AV31" s="144" t="str">
        <f t="shared" si="11"/>
        <v/>
      </c>
      <c r="AW31" s="645" t="b">
        <f t="shared" si="12"/>
        <v>0</v>
      </c>
      <c r="AX31" s="646" t="b">
        <f t="shared" si="13"/>
        <v>0</v>
      </c>
      <c r="AY31" s="645" t="b">
        <f t="shared" si="14"/>
        <v>0</v>
      </c>
      <c r="AZ31" s="646" t="b">
        <f t="shared" si="15"/>
        <v>0</v>
      </c>
      <c r="BA31" s="643" t="b">
        <f t="shared" si="16"/>
        <v>0</v>
      </c>
      <c r="BB31" s="643" t="b">
        <f t="shared" si="17"/>
        <v>0</v>
      </c>
      <c r="BC31" s="645" t="b">
        <f t="shared" si="18"/>
        <v>0</v>
      </c>
      <c r="BD31" s="647" t="b">
        <f>IF(OR(ISNA($Z31),ISNUMBER($Z31),NOT(ISNUMBER(K31))),FALSE,OR(NOT(ISNUMBER(J31)),J31=0,AND(J31=0,K31&lt;&gt;0)))</f>
        <v>0</v>
      </c>
      <c r="BE31" s="646" t="b">
        <f t="shared" si="37"/>
        <v>0</v>
      </c>
      <c r="BF31" s="648" t="b">
        <f>IF(OR(ISNA($Z31),H31&lt;&gt;"NG"),FALSE,IF(AND(J31="NA",K31&lt;&gt;""),TRUE,FALSE))</f>
        <v>0</v>
      </c>
      <c r="BG31" s="643" t="str">
        <f t="shared" si="38"/>
        <v>NA</v>
      </c>
      <c r="BH31" s="643" t="str">
        <f t="shared" si="32"/>
        <v/>
      </c>
      <c r="BI31" s="643" t="str">
        <f t="shared" si="22"/>
        <v/>
      </c>
      <c r="BJ31" s="643" t="str">
        <f t="shared" si="23"/>
        <v/>
      </c>
      <c r="BK31" s="643" t="str">
        <f t="shared" si="24"/>
        <v/>
      </c>
      <c r="BL31" s="649" t="str">
        <f t="shared" si="33"/>
        <v/>
      </c>
      <c r="BM31" s="643" t="str">
        <f t="shared" si="25"/>
        <v/>
      </c>
      <c r="BN31" s="643" t="str">
        <f t="shared" si="26"/>
        <v/>
      </c>
      <c r="BO31" s="656" t="s">
        <v>368</v>
      </c>
      <c r="BP31" s="663" t="s">
        <v>369</v>
      </c>
    </row>
    <row r="32" spans="2:73" s="608" customFormat="1" ht="12.95" customHeight="1" x14ac:dyDescent="0.2">
      <c r="B32" s="652" t="str">
        <f>IF(ISNA(Z32),"",IF(OR(Z32=1,Z32=2),"    ",MAX($B$8:B31)+1))</f>
        <v/>
      </c>
      <c r="C32" s="1334" t="str">
        <f t="shared" si="0"/>
        <v/>
      </c>
      <c r="D32" s="1334"/>
      <c r="E32" s="1334"/>
      <c r="F32" s="1335"/>
      <c r="G32" s="638" t="str">
        <f t="shared" si="1"/>
        <v/>
      </c>
      <c r="H32" s="639" t="str">
        <f t="shared" si="2"/>
        <v/>
      </c>
      <c r="I32" s="653" t="str">
        <f t="shared" si="2"/>
        <v/>
      </c>
      <c r="J32" s="659"/>
      <c r="K32" s="660"/>
      <c r="L32" s="1343"/>
      <c r="M32" s="1344"/>
      <c r="N32" s="1344"/>
      <c r="O32" s="1344"/>
      <c r="P32" s="1344"/>
      <c r="Q32" s="1344"/>
      <c r="R32" s="1345"/>
      <c r="T32" s="604">
        <v>25</v>
      </c>
      <c r="U32" s="594" t="e">
        <v>#N/A</v>
      </c>
      <c r="V32" s="643" t="e">
        <v>#N/A</v>
      </c>
      <c r="W32" s="643" t="e">
        <v>#N/A</v>
      </c>
      <c r="X32" s="643" t="e">
        <v>#N/A</v>
      </c>
      <c r="Y32" s="643" t="e">
        <v>#N/A</v>
      </c>
      <c r="Z32" s="647" t="e">
        <v>#N/A</v>
      </c>
      <c r="AA32" s="647" t="e">
        <v>#N/A</v>
      </c>
      <c r="AB32" s="647" t="e">
        <v>#N/A</v>
      </c>
      <c r="AC32" s="643" t="e">
        <v>#N/A</v>
      </c>
      <c r="AD32" s="643" t="e">
        <v>#N/A</v>
      </c>
      <c r="AE32" s="643" t="e">
        <v>#N/A</v>
      </c>
      <c r="AF32" s="643" t="e">
        <v>#N/A</v>
      </c>
      <c r="AG32" s="643" t="e">
        <f t="shared" si="3"/>
        <v>#N/A</v>
      </c>
      <c r="AH32" s="643" t="str">
        <f t="shared" si="4"/>
        <v/>
      </c>
      <c r="AI32" s="138" t="e">
        <f>IF(NOT(OR(Z32=1,Z32=2)),IF(AQ32&gt;0,$AR$44*AQ32/SUMIF($AQ$8:$AQ$39,"&gt;0"),IF(AU32&gt;0,$AV$44*AU32/SUMIF($AU$8:$AU$39,"&gt;0"),IF(AS32&gt;0,$AT$44*AS32/SUMIF($AS$8:$AS$39,"&gt;0"),""))),IF(SUMIF(AJ33:$AJ$39,"=" &amp; AJ32,AI33:$AI$39)=0,"",SUMIF(AJ33:$AJ$39,"=" &amp; AJ32,AI33:$AI$39)))</f>
        <v>#N/A</v>
      </c>
      <c r="AJ32" s="139" t="e">
        <f t="shared" si="34"/>
        <v>#N/A</v>
      </c>
      <c r="AK32" s="643" t="str">
        <f t="shared" si="27"/>
        <v/>
      </c>
      <c r="AL32" s="647" t="str">
        <f t="shared" si="28"/>
        <v/>
      </c>
      <c r="AM32" s="647" t="str">
        <f t="shared" si="35"/>
        <v/>
      </c>
      <c r="AN32" s="647" t="str">
        <f t="shared" si="5"/>
        <v/>
      </c>
      <c r="AO32" s="647" t="e">
        <f t="shared" si="6"/>
        <v>#N/A</v>
      </c>
      <c r="AP32" s="643" t="str">
        <f t="shared" si="7"/>
        <v/>
      </c>
      <c r="AQ32" s="644">
        <f t="shared" si="29"/>
        <v>0</v>
      </c>
      <c r="AR32" s="141" t="str">
        <f t="shared" si="8"/>
        <v/>
      </c>
      <c r="AS32" s="142">
        <f t="shared" si="30"/>
        <v>0</v>
      </c>
      <c r="AT32" s="141" t="str">
        <f t="shared" si="9"/>
        <v/>
      </c>
      <c r="AU32" s="645">
        <f t="shared" si="10"/>
        <v>0</v>
      </c>
      <c r="AV32" s="144" t="str">
        <f t="shared" si="11"/>
        <v/>
      </c>
      <c r="AW32" s="645" t="b">
        <f t="shared" si="12"/>
        <v>0</v>
      </c>
      <c r="AX32" s="646" t="b">
        <f t="shared" si="13"/>
        <v>0</v>
      </c>
      <c r="AY32" s="645" t="b">
        <f t="shared" si="14"/>
        <v>0</v>
      </c>
      <c r="AZ32" s="646" t="b">
        <f t="shared" si="15"/>
        <v>0</v>
      </c>
      <c r="BA32" s="643" t="b">
        <f t="shared" si="16"/>
        <v>0</v>
      </c>
      <c r="BB32" s="643" t="b">
        <f t="shared" si="17"/>
        <v>0</v>
      </c>
      <c r="BC32" s="645" t="b">
        <f t="shared" si="18"/>
        <v>0</v>
      </c>
      <c r="BD32" s="647" t="b">
        <f t="shared" si="31"/>
        <v>0</v>
      </c>
      <c r="BE32" s="646" t="b">
        <f t="shared" si="37"/>
        <v>0</v>
      </c>
      <c r="BF32" s="648" t="b">
        <f t="shared" ref="BF32:BF39" si="39">IF(OR(ISNA($Z32),H32&lt;&gt;"NG"),FALSE,IF(AND(J32="NA",K32&lt;&gt;""),TRUE,FALSE))</f>
        <v>0</v>
      </c>
      <c r="BG32" s="643" t="str">
        <f t="shared" si="38"/>
        <v>NA</v>
      </c>
      <c r="BH32" s="643" t="str">
        <f t="shared" si="32"/>
        <v/>
      </c>
      <c r="BI32" s="643" t="str">
        <f t="shared" si="22"/>
        <v/>
      </c>
      <c r="BJ32" s="643" t="str">
        <f t="shared" si="23"/>
        <v/>
      </c>
      <c r="BK32" s="643" t="str">
        <f t="shared" si="24"/>
        <v/>
      </c>
      <c r="BL32" s="649" t="str">
        <f t="shared" si="33"/>
        <v/>
      </c>
      <c r="BM32" s="643" t="str">
        <f t="shared" si="25"/>
        <v/>
      </c>
      <c r="BN32" s="643" t="str">
        <f t="shared" si="26"/>
        <v/>
      </c>
      <c r="BO32" s="656" t="s">
        <v>370</v>
      </c>
      <c r="BP32" s="663" t="s">
        <v>371</v>
      </c>
    </row>
    <row r="33" spans="2:73" s="608" customFormat="1" ht="12.95" customHeight="1" x14ac:dyDescent="0.2">
      <c r="B33" s="652" t="str">
        <f>IF(ISNA(Z33),"",IF(OR(Z33=1,Z33=2),"    ",MAX($B$8:B32)+1))</f>
        <v/>
      </c>
      <c r="C33" s="1334" t="str">
        <f t="shared" si="0"/>
        <v/>
      </c>
      <c r="D33" s="1334"/>
      <c r="E33" s="1334"/>
      <c r="F33" s="1335"/>
      <c r="G33" s="638" t="str">
        <f t="shared" si="1"/>
        <v/>
      </c>
      <c r="H33" s="639" t="str">
        <f t="shared" si="2"/>
        <v/>
      </c>
      <c r="I33" s="653" t="str">
        <f t="shared" si="2"/>
        <v/>
      </c>
      <c r="J33" s="659"/>
      <c r="K33" s="660"/>
      <c r="L33" s="1343"/>
      <c r="M33" s="1344"/>
      <c r="N33" s="1344"/>
      <c r="O33" s="1344"/>
      <c r="P33" s="1344"/>
      <c r="Q33" s="1344"/>
      <c r="R33" s="1345"/>
      <c r="T33" s="604">
        <v>26</v>
      </c>
      <c r="U33" s="594" t="e">
        <v>#N/A</v>
      </c>
      <c r="V33" s="643" t="e">
        <v>#N/A</v>
      </c>
      <c r="W33" s="643" t="e">
        <v>#N/A</v>
      </c>
      <c r="X33" s="643" t="e">
        <v>#N/A</v>
      </c>
      <c r="Y33" s="643" t="e">
        <v>#N/A</v>
      </c>
      <c r="Z33" s="647" t="e">
        <v>#N/A</v>
      </c>
      <c r="AA33" s="647" t="e">
        <v>#N/A</v>
      </c>
      <c r="AB33" s="647" t="e">
        <v>#N/A</v>
      </c>
      <c r="AC33" s="643" t="e">
        <v>#N/A</v>
      </c>
      <c r="AD33" s="643" t="e">
        <v>#N/A</v>
      </c>
      <c r="AE33" s="643" t="e">
        <v>#N/A</v>
      </c>
      <c r="AF33" s="643" t="e">
        <v>#N/A</v>
      </c>
      <c r="AG33" s="643" t="e">
        <f t="shared" si="3"/>
        <v>#N/A</v>
      </c>
      <c r="AH33" s="643" t="str">
        <f t="shared" si="4"/>
        <v/>
      </c>
      <c r="AI33" s="138" t="e">
        <f>IF(NOT(OR(Z33=1,Z33=2)),IF(AQ33&gt;0,$AR$44*AQ33/SUMIF($AQ$8:$AQ$39,"&gt;0"),IF(AU33&gt;0,$AV$44*AU33/SUMIF($AU$8:$AU$39,"&gt;0"),IF(AS33&gt;0,$AT$44*AS33/SUMIF($AS$8:$AS$39,"&gt;0"),""))),IF(SUMIF(AJ34:$AJ$39,"=" &amp; AJ33,AI34:$AI$39)=0,"",SUMIF(AJ34:$AJ$39,"=" &amp; AJ33,AI34:$AI$39)))</f>
        <v>#N/A</v>
      </c>
      <c r="AJ33" s="139" t="e">
        <f t="shared" si="34"/>
        <v>#N/A</v>
      </c>
      <c r="AK33" s="643" t="str">
        <f t="shared" si="27"/>
        <v/>
      </c>
      <c r="AL33" s="647" t="str">
        <f t="shared" si="28"/>
        <v/>
      </c>
      <c r="AM33" s="647" t="str">
        <f t="shared" si="35"/>
        <v/>
      </c>
      <c r="AN33" s="647" t="str">
        <f t="shared" si="5"/>
        <v/>
      </c>
      <c r="AO33" s="647" t="e">
        <f t="shared" si="6"/>
        <v>#N/A</v>
      </c>
      <c r="AP33" s="643" t="str">
        <f t="shared" si="7"/>
        <v/>
      </c>
      <c r="AQ33" s="644">
        <f t="shared" si="29"/>
        <v>0</v>
      </c>
      <c r="AR33" s="141" t="str">
        <f t="shared" si="8"/>
        <v/>
      </c>
      <c r="AS33" s="142">
        <f t="shared" si="30"/>
        <v>0</v>
      </c>
      <c r="AT33" s="141" t="str">
        <f t="shared" si="9"/>
        <v/>
      </c>
      <c r="AU33" s="645">
        <f t="shared" si="10"/>
        <v>0</v>
      </c>
      <c r="AV33" s="144" t="str">
        <f t="shared" si="11"/>
        <v/>
      </c>
      <c r="AW33" s="645" t="b">
        <f t="shared" si="12"/>
        <v>0</v>
      </c>
      <c r="AX33" s="646" t="b">
        <f t="shared" si="13"/>
        <v>0</v>
      </c>
      <c r="AY33" s="645" t="b">
        <f t="shared" si="14"/>
        <v>0</v>
      </c>
      <c r="AZ33" s="646" t="b">
        <f t="shared" si="15"/>
        <v>0</v>
      </c>
      <c r="BA33" s="643" t="b">
        <f t="shared" si="16"/>
        <v>0</v>
      </c>
      <c r="BB33" s="643" t="b">
        <f t="shared" si="17"/>
        <v>0</v>
      </c>
      <c r="BC33" s="645" t="b">
        <f t="shared" si="18"/>
        <v>0</v>
      </c>
      <c r="BD33" s="647" t="b">
        <f t="shared" si="31"/>
        <v>0</v>
      </c>
      <c r="BE33" s="646" t="b">
        <f t="shared" si="37"/>
        <v>0</v>
      </c>
      <c r="BF33" s="648" t="b">
        <f t="shared" si="39"/>
        <v>0</v>
      </c>
      <c r="BG33" s="643" t="str">
        <f t="shared" si="38"/>
        <v>NA</v>
      </c>
      <c r="BH33" s="643" t="str">
        <f t="shared" si="32"/>
        <v/>
      </c>
      <c r="BI33" s="643" t="str">
        <f t="shared" si="22"/>
        <v/>
      </c>
      <c r="BJ33" s="643" t="str">
        <f t="shared" si="23"/>
        <v/>
      </c>
      <c r="BK33" s="643" t="str">
        <f t="shared" si="24"/>
        <v/>
      </c>
      <c r="BL33" s="649" t="str">
        <f t="shared" si="33"/>
        <v/>
      </c>
      <c r="BM33" s="643" t="str">
        <f t="shared" si="25"/>
        <v/>
      </c>
      <c r="BN33" s="643" t="str">
        <f t="shared" si="26"/>
        <v/>
      </c>
      <c r="BO33" s="651" t="s">
        <v>372</v>
      </c>
      <c r="BP33" s="663"/>
      <c r="BQ33" s="663"/>
      <c r="BR33" s="663"/>
      <c r="BS33" s="663"/>
      <c r="BT33" s="663"/>
      <c r="BU33" s="663"/>
    </row>
    <row r="34" spans="2:73" s="608" customFormat="1" ht="12.95" customHeight="1" x14ac:dyDescent="0.2">
      <c r="B34" s="652" t="str">
        <f>IF(ISNA(Z34),"",IF(OR(Z34=1,Z34=2),"    ",MAX($B$8:B33)+1))</f>
        <v/>
      </c>
      <c r="C34" s="1334" t="str">
        <f t="shared" si="0"/>
        <v/>
      </c>
      <c r="D34" s="1334"/>
      <c r="E34" s="1334"/>
      <c r="F34" s="1335"/>
      <c r="G34" s="638" t="str">
        <f t="shared" si="1"/>
        <v/>
      </c>
      <c r="H34" s="639" t="str">
        <f t="shared" si="2"/>
        <v/>
      </c>
      <c r="I34" s="653" t="str">
        <f t="shared" si="2"/>
        <v/>
      </c>
      <c r="J34" s="659"/>
      <c r="K34" s="660"/>
      <c r="L34" s="1343"/>
      <c r="M34" s="1344"/>
      <c r="N34" s="1344"/>
      <c r="O34" s="1344"/>
      <c r="P34" s="1344"/>
      <c r="Q34" s="1344"/>
      <c r="R34" s="1345"/>
      <c r="T34" s="604">
        <v>27</v>
      </c>
      <c r="U34" s="594" t="e">
        <v>#N/A</v>
      </c>
      <c r="V34" s="643" t="e">
        <v>#N/A</v>
      </c>
      <c r="W34" s="643" t="e">
        <v>#N/A</v>
      </c>
      <c r="X34" s="643" t="e">
        <v>#N/A</v>
      </c>
      <c r="Y34" s="643" t="e">
        <v>#N/A</v>
      </c>
      <c r="Z34" s="647" t="e">
        <v>#N/A</v>
      </c>
      <c r="AA34" s="647" t="e">
        <v>#N/A</v>
      </c>
      <c r="AB34" s="647" t="e">
        <v>#N/A</v>
      </c>
      <c r="AC34" s="643" t="e">
        <v>#N/A</v>
      </c>
      <c r="AD34" s="643" t="e">
        <v>#N/A</v>
      </c>
      <c r="AE34" s="643" t="e">
        <v>#N/A</v>
      </c>
      <c r="AF34" s="643" t="e">
        <v>#N/A</v>
      </c>
      <c r="AG34" s="643" t="e">
        <f t="shared" si="3"/>
        <v>#N/A</v>
      </c>
      <c r="AH34" s="643" t="str">
        <f t="shared" si="4"/>
        <v/>
      </c>
      <c r="AI34" s="138" t="e">
        <f>IF(NOT(OR(Z34=1,Z34=2)),IF(AQ34&gt;0,$AR$44*AQ34/SUMIF($AQ$8:$AQ$39,"&gt;0"),IF(AU34&gt;0,$AV$44*AU34/SUMIF($AU$8:$AU$39,"&gt;0"),IF(AS34&gt;0,$AT$44*AS34/SUMIF($AS$8:$AS$39,"&gt;0"),""))),IF(SUMIF(AJ35:$AJ$39,"=" &amp; AJ34,AI35:$AI$39)=0,"",SUMIF(AJ35:$AJ$39,"=" &amp; AJ34,AI35:$AI$39)))</f>
        <v>#N/A</v>
      </c>
      <c r="AJ34" s="139" t="e">
        <f t="shared" si="34"/>
        <v>#N/A</v>
      </c>
      <c r="AK34" s="643" t="str">
        <f t="shared" si="27"/>
        <v/>
      </c>
      <c r="AL34" s="647" t="str">
        <f t="shared" si="28"/>
        <v/>
      </c>
      <c r="AM34" s="647" t="str">
        <f t="shared" si="35"/>
        <v/>
      </c>
      <c r="AN34" s="647" t="str">
        <f t="shared" si="5"/>
        <v/>
      </c>
      <c r="AO34" s="647" t="e">
        <f t="shared" si="6"/>
        <v>#N/A</v>
      </c>
      <c r="AP34" s="643" t="str">
        <f t="shared" si="7"/>
        <v/>
      </c>
      <c r="AQ34" s="644">
        <f t="shared" si="29"/>
        <v>0</v>
      </c>
      <c r="AR34" s="141" t="str">
        <f t="shared" si="8"/>
        <v/>
      </c>
      <c r="AS34" s="142">
        <f t="shared" si="30"/>
        <v>0</v>
      </c>
      <c r="AT34" s="141" t="str">
        <f t="shared" si="9"/>
        <v/>
      </c>
      <c r="AU34" s="645">
        <f t="shared" si="10"/>
        <v>0</v>
      </c>
      <c r="AV34" s="144" t="str">
        <f t="shared" si="11"/>
        <v/>
      </c>
      <c r="AW34" s="645" t="b">
        <f t="shared" si="12"/>
        <v>0</v>
      </c>
      <c r="AX34" s="646" t="b">
        <f t="shared" si="13"/>
        <v>0</v>
      </c>
      <c r="AY34" s="645" t="b">
        <f t="shared" si="14"/>
        <v>0</v>
      </c>
      <c r="AZ34" s="646" t="b">
        <f t="shared" si="15"/>
        <v>0</v>
      </c>
      <c r="BA34" s="643" t="b">
        <f t="shared" si="16"/>
        <v>0</v>
      </c>
      <c r="BB34" s="643" t="b">
        <f t="shared" si="17"/>
        <v>0</v>
      </c>
      <c r="BC34" s="645" t="b">
        <f t="shared" si="18"/>
        <v>0</v>
      </c>
      <c r="BD34" s="647" t="b">
        <f t="shared" si="31"/>
        <v>0</v>
      </c>
      <c r="BE34" s="646" t="b">
        <f t="shared" si="37"/>
        <v>0</v>
      </c>
      <c r="BF34" s="648" t="b">
        <f t="shared" si="39"/>
        <v>0</v>
      </c>
      <c r="BG34" s="643" t="str">
        <f t="shared" si="38"/>
        <v>NA</v>
      </c>
      <c r="BH34" s="643" t="str">
        <f t="shared" si="32"/>
        <v/>
      </c>
      <c r="BI34" s="643" t="str">
        <f t="shared" si="22"/>
        <v/>
      </c>
      <c r="BJ34" s="643" t="str">
        <f t="shared" si="23"/>
        <v/>
      </c>
      <c r="BK34" s="643" t="str">
        <f t="shared" si="24"/>
        <v/>
      </c>
      <c r="BL34" s="649" t="str">
        <f t="shared" si="33"/>
        <v/>
      </c>
      <c r="BM34" s="643" t="str">
        <f t="shared" si="25"/>
        <v/>
      </c>
      <c r="BN34" s="643" t="str">
        <f t="shared" si="26"/>
        <v/>
      </c>
      <c r="BO34" s="1308"/>
      <c r="BP34" s="1309"/>
      <c r="BQ34" s="1309"/>
      <c r="BR34" s="1309"/>
      <c r="BS34" s="1309"/>
      <c r="BT34" s="1309"/>
      <c r="BU34" s="1310"/>
    </row>
    <row r="35" spans="2:73" s="608" customFormat="1" ht="12.95" customHeight="1" x14ac:dyDescent="0.2">
      <c r="B35" s="652" t="str">
        <f>IF(ISNA(Z35),"",IF(OR(Z35=1,Z35=2),"    ",MAX($B$8:B34)+1))</f>
        <v/>
      </c>
      <c r="C35" s="1334" t="str">
        <f t="shared" si="0"/>
        <v/>
      </c>
      <c r="D35" s="1334"/>
      <c r="E35" s="1334"/>
      <c r="F35" s="1335"/>
      <c r="G35" s="638" t="str">
        <f t="shared" si="1"/>
        <v/>
      </c>
      <c r="H35" s="639" t="str">
        <f t="shared" si="2"/>
        <v/>
      </c>
      <c r="I35" s="653" t="str">
        <f t="shared" si="2"/>
        <v/>
      </c>
      <c r="J35" s="659"/>
      <c r="K35" s="660"/>
      <c r="L35" s="1343"/>
      <c r="M35" s="1344"/>
      <c r="N35" s="1344"/>
      <c r="O35" s="1344"/>
      <c r="P35" s="1344"/>
      <c r="Q35" s="1344"/>
      <c r="R35" s="1345"/>
      <c r="T35" s="604">
        <v>28</v>
      </c>
      <c r="U35" s="594" t="e">
        <v>#N/A</v>
      </c>
      <c r="V35" s="643" t="e">
        <v>#N/A</v>
      </c>
      <c r="W35" s="643" t="e">
        <v>#N/A</v>
      </c>
      <c r="X35" s="643" t="e">
        <v>#N/A</v>
      </c>
      <c r="Y35" s="643" t="e">
        <v>#N/A</v>
      </c>
      <c r="Z35" s="647" t="e">
        <v>#N/A</v>
      </c>
      <c r="AA35" s="647" t="e">
        <v>#N/A</v>
      </c>
      <c r="AB35" s="647" t="e">
        <v>#N/A</v>
      </c>
      <c r="AC35" s="643" t="e">
        <v>#N/A</v>
      </c>
      <c r="AD35" s="643" t="e">
        <v>#N/A</v>
      </c>
      <c r="AE35" s="643" t="e">
        <v>#N/A</v>
      </c>
      <c r="AF35" s="643" t="e">
        <v>#N/A</v>
      </c>
      <c r="AG35" s="643" t="e">
        <f t="shared" si="3"/>
        <v>#N/A</v>
      </c>
      <c r="AH35" s="643" t="str">
        <f t="shared" si="4"/>
        <v/>
      </c>
      <c r="AI35" s="138" t="e">
        <f>IF(NOT(OR(Z35=1,Z35=2)),IF(AQ35&gt;0,$AR$44*AQ35/SUMIF($AQ$8:$AQ$39,"&gt;0"),IF(AU35&gt;0,$AV$44*AU35/SUMIF($AU$8:$AU$39,"&gt;0"),IF(AS35&gt;0,$AT$44*AS35/SUMIF($AS$8:$AS$39,"&gt;0"),""))),IF(SUMIF(AJ36:$AJ$39,"=" &amp; AJ35,AI36:$AI$39)=0,"",SUMIF(AJ36:$AJ$39,"=" &amp; AJ35,AI36:$AI$39)))</f>
        <v>#N/A</v>
      </c>
      <c r="AJ35" s="139" t="e">
        <f t="shared" si="34"/>
        <v>#N/A</v>
      </c>
      <c r="AK35" s="643" t="str">
        <f t="shared" si="27"/>
        <v/>
      </c>
      <c r="AL35" s="647" t="str">
        <f t="shared" si="28"/>
        <v/>
      </c>
      <c r="AM35" s="647" t="str">
        <f t="shared" si="35"/>
        <v/>
      </c>
      <c r="AN35" s="647" t="str">
        <f t="shared" si="5"/>
        <v/>
      </c>
      <c r="AO35" s="647" t="e">
        <f t="shared" si="6"/>
        <v>#N/A</v>
      </c>
      <c r="AP35" s="643" t="str">
        <f t="shared" si="7"/>
        <v/>
      </c>
      <c r="AQ35" s="644">
        <f t="shared" si="29"/>
        <v>0</v>
      </c>
      <c r="AR35" s="141" t="str">
        <f t="shared" si="8"/>
        <v/>
      </c>
      <c r="AS35" s="142">
        <f t="shared" si="30"/>
        <v>0</v>
      </c>
      <c r="AT35" s="141" t="str">
        <f t="shared" si="9"/>
        <v/>
      </c>
      <c r="AU35" s="645">
        <f t="shared" si="10"/>
        <v>0</v>
      </c>
      <c r="AV35" s="144" t="str">
        <f t="shared" si="11"/>
        <v/>
      </c>
      <c r="AW35" s="645" t="b">
        <f t="shared" si="12"/>
        <v>0</v>
      </c>
      <c r="AX35" s="646" t="b">
        <f t="shared" si="13"/>
        <v>0</v>
      </c>
      <c r="AY35" s="645" t="b">
        <f t="shared" si="14"/>
        <v>0</v>
      </c>
      <c r="AZ35" s="646" t="b">
        <f t="shared" si="15"/>
        <v>0</v>
      </c>
      <c r="BA35" s="643" t="b">
        <f t="shared" si="16"/>
        <v>0</v>
      </c>
      <c r="BB35" s="643" t="b">
        <f t="shared" si="17"/>
        <v>0</v>
      </c>
      <c r="BC35" s="645" t="b">
        <f t="shared" si="18"/>
        <v>0</v>
      </c>
      <c r="BD35" s="647" t="b">
        <f t="shared" si="31"/>
        <v>0</v>
      </c>
      <c r="BE35" s="646" t="b">
        <f t="shared" si="37"/>
        <v>0</v>
      </c>
      <c r="BF35" s="648" t="b">
        <f t="shared" si="39"/>
        <v>0</v>
      </c>
      <c r="BG35" s="643" t="str">
        <f t="shared" si="38"/>
        <v>NA</v>
      </c>
      <c r="BH35" s="643" t="str">
        <f t="shared" si="32"/>
        <v/>
      </c>
      <c r="BI35" s="643" t="str">
        <f t="shared" si="22"/>
        <v/>
      </c>
      <c r="BJ35" s="643" t="str">
        <f t="shared" si="23"/>
        <v/>
      </c>
      <c r="BK35" s="643" t="str">
        <f t="shared" si="24"/>
        <v/>
      </c>
      <c r="BL35" s="649" t="str">
        <f t="shared" si="33"/>
        <v/>
      </c>
      <c r="BM35" s="643" t="str">
        <f t="shared" si="25"/>
        <v/>
      </c>
      <c r="BN35" s="643" t="str">
        <f t="shared" si="26"/>
        <v/>
      </c>
      <c r="BO35" s="1311"/>
      <c r="BP35" s="1312"/>
      <c r="BQ35" s="1312"/>
      <c r="BR35" s="1312"/>
      <c r="BS35" s="1312"/>
      <c r="BT35" s="1312"/>
      <c r="BU35" s="1313"/>
    </row>
    <row r="36" spans="2:73" s="608" customFormat="1" ht="12.95" customHeight="1" x14ac:dyDescent="0.2">
      <c r="B36" s="652" t="str">
        <f>IF(ISNA(Z36),"",IF(OR(Z36=1,Z36=2),"    ",MAX($B$8:B35)+1))</f>
        <v/>
      </c>
      <c r="C36" s="1334" t="str">
        <f t="shared" si="0"/>
        <v/>
      </c>
      <c r="D36" s="1334"/>
      <c r="E36" s="1334"/>
      <c r="F36" s="1335"/>
      <c r="G36" s="638" t="str">
        <f t="shared" si="1"/>
        <v/>
      </c>
      <c r="H36" s="639" t="str">
        <f t="shared" si="2"/>
        <v/>
      </c>
      <c r="I36" s="653" t="str">
        <f t="shared" si="2"/>
        <v/>
      </c>
      <c r="J36" s="659"/>
      <c r="K36" s="660"/>
      <c r="L36" s="1343"/>
      <c r="M36" s="1344"/>
      <c r="N36" s="1344"/>
      <c r="O36" s="1344"/>
      <c r="P36" s="1344"/>
      <c r="Q36" s="1344"/>
      <c r="R36" s="1345"/>
      <c r="T36" s="604">
        <v>29</v>
      </c>
      <c r="U36" s="594" t="e">
        <v>#N/A</v>
      </c>
      <c r="V36" s="643" t="e">
        <v>#N/A</v>
      </c>
      <c r="W36" s="643" t="e">
        <v>#N/A</v>
      </c>
      <c r="X36" s="643" t="e">
        <v>#N/A</v>
      </c>
      <c r="Y36" s="643" t="e">
        <v>#N/A</v>
      </c>
      <c r="Z36" s="647" t="e">
        <v>#N/A</v>
      </c>
      <c r="AA36" s="647" t="e">
        <v>#N/A</v>
      </c>
      <c r="AB36" s="647" t="e">
        <v>#N/A</v>
      </c>
      <c r="AC36" s="643" t="e">
        <v>#N/A</v>
      </c>
      <c r="AD36" s="643" t="e">
        <v>#N/A</v>
      </c>
      <c r="AE36" s="643" t="e">
        <v>#N/A</v>
      </c>
      <c r="AF36" s="643" t="e">
        <v>#N/A</v>
      </c>
      <c r="AG36" s="643" t="e">
        <f t="shared" si="3"/>
        <v>#N/A</v>
      </c>
      <c r="AH36" s="643" t="str">
        <f t="shared" si="4"/>
        <v/>
      </c>
      <c r="AI36" s="138" t="e">
        <f>IF(NOT(OR(Z36=1,Z36=2)),IF(AQ36&gt;0,$AR$44*AQ36/SUMIF($AQ$8:$AQ$39,"&gt;0"),IF(AU36&gt;0,$AV$44*AU36/SUMIF($AU$8:$AU$39,"&gt;0"),IF(AS36&gt;0,$AT$44*AS36/SUMIF($AS$8:$AS$39,"&gt;0"),""))),IF(SUMIF(AJ37:$AJ$39,"=" &amp; AJ36,AI37:$AI$39)=0,"",SUMIF(AJ37:$AJ$39,"=" &amp; AJ36,AI37:$AI$39)))</f>
        <v>#N/A</v>
      </c>
      <c r="AJ36" s="139" t="e">
        <f t="shared" si="34"/>
        <v>#N/A</v>
      </c>
      <c r="AK36" s="643" t="str">
        <f t="shared" si="27"/>
        <v/>
      </c>
      <c r="AL36" s="647" t="str">
        <f t="shared" si="28"/>
        <v/>
      </c>
      <c r="AM36" s="647" t="str">
        <f t="shared" si="35"/>
        <v/>
      </c>
      <c r="AN36" s="647" t="str">
        <f t="shared" si="5"/>
        <v/>
      </c>
      <c r="AO36" s="647" t="e">
        <f t="shared" si="6"/>
        <v>#N/A</v>
      </c>
      <c r="AP36" s="643" t="str">
        <f t="shared" si="7"/>
        <v/>
      </c>
      <c r="AQ36" s="644">
        <f t="shared" si="29"/>
        <v>0</v>
      </c>
      <c r="AR36" s="141" t="str">
        <f t="shared" si="8"/>
        <v/>
      </c>
      <c r="AS36" s="142">
        <f t="shared" si="30"/>
        <v>0</v>
      </c>
      <c r="AT36" s="141" t="str">
        <f t="shared" si="9"/>
        <v/>
      </c>
      <c r="AU36" s="645">
        <f t="shared" si="10"/>
        <v>0</v>
      </c>
      <c r="AV36" s="144" t="str">
        <f t="shared" si="11"/>
        <v/>
      </c>
      <c r="AW36" s="645" t="b">
        <f t="shared" si="12"/>
        <v>0</v>
      </c>
      <c r="AX36" s="646" t="b">
        <f t="shared" si="13"/>
        <v>0</v>
      </c>
      <c r="AY36" s="645" t="b">
        <f t="shared" si="14"/>
        <v>0</v>
      </c>
      <c r="AZ36" s="646" t="b">
        <f t="shared" si="15"/>
        <v>0</v>
      </c>
      <c r="BA36" s="643" t="b">
        <f t="shared" si="16"/>
        <v>0</v>
      </c>
      <c r="BB36" s="643" t="b">
        <f t="shared" si="17"/>
        <v>0</v>
      </c>
      <c r="BC36" s="645" t="b">
        <f t="shared" si="18"/>
        <v>0</v>
      </c>
      <c r="BD36" s="647" t="b">
        <f t="shared" si="31"/>
        <v>0</v>
      </c>
      <c r="BE36" s="646" t="b">
        <f t="shared" si="37"/>
        <v>0</v>
      </c>
      <c r="BF36" s="648" t="b">
        <f t="shared" si="39"/>
        <v>0</v>
      </c>
      <c r="BG36" s="643" t="str">
        <f t="shared" si="38"/>
        <v>NA</v>
      </c>
      <c r="BH36" s="643" t="str">
        <f t="shared" si="32"/>
        <v/>
      </c>
      <c r="BI36" s="643" t="str">
        <f t="shared" si="22"/>
        <v/>
      </c>
      <c r="BJ36" s="643" t="str">
        <f t="shared" si="23"/>
        <v/>
      </c>
      <c r="BK36" s="643" t="str">
        <f t="shared" si="24"/>
        <v/>
      </c>
      <c r="BL36" s="649" t="str">
        <f t="shared" si="33"/>
        <v/>
      </c>
      <c r="BM36" s="643" t="str">
        <f t="shared" si="25"/>
        <v/>
      </c>
      <c r="BN36" s="643" t="str">
        <f t="shared" si="26"/>
        <v/>
      </c>
      <c r="BO36" s="1311"/>
      <c r="BP36" s="1312"/>
      <c r="BQ36" s="1312"/>
      <c r="BR36" s="1312"/>
      <c r="BS36" s="1312"/>
      <c r="BT36" s="1312"/>
      <c r="BU36" s="1313"/>
    </row>
    <row r="37" spans="2:73" s="608" customFormat="1" ht="12.95" customHeight="1" x14ac:dyDescent="0.2">
      <c r="B37" s="652" t="str">
        <f>IF(ISNA(Z37),"",IF(OR(Z37=1,Z37=2),"    ",MAX($B$8:B36)+1))</f>
        <v/>
      </c>
      <c r="C37" s="1334" t="str">
        <f>IF(ISNA(Z37),"",CONCATENATE($U37,IF(ISNUMBER(AI37),TEXT(ROUND($AI37,3)," (0.0%)"),""),IF(AU37&gt;0," Bonus","")))</f>
        <v/>
      </c>
      <c r="D37" s="1334"/>
      <c r="E37" s="1334"/>
      <c r="F37" s="1335"/>
      <c r="G37" s="638" t="str">
        <f t="shared" si="1"/>
        <v/>
      </c>
      <c r="H37" s="639" t="str">
        <f t="shared" si="2"/>
        <v/>
      </c>
      <c r="I37" s="653" t="str">
        <f t="shared" si="2"/>
        <v/>
      </c>
      <c r="J37" s="659"/>
      <c r="K37" s="660"/>
      <c r="L37" s="1343"/>
      <c r="M37" s="1344"/>
      <c r="N37" s="1344"/>
      <c r="O37" s="1344"/>
      <c r="P37" s="1344"/>
      <c r="Q37" s="1344"/>
      <c r="R37" s="1345"/>
      <c r="T37" s="604">
        <v>30</v>
      </c>
      <c r="U37" s="594" t="e">
        <v>#N/A</v>
      </c>
      <c r="V37" s="643" t="e">
        <v>#N/A</v>
      </c>
      <c r="W37" s="643" t="e">
        <v>#N/A</v>
      </c>
      <c r="X37" s="643" t="e">
        <v>#N/A</v>
      </c>
      <c r="Y37" s="643" t="e">
        <v>#N/A</v>
      </c>
      <c r="Z37" s="647" t="e">
        <v>#N/A</v>
      </c>
      <c r="AA37" s="647" t="e">
        <v>#N/A</v>
      </c>
      <c r="AB37" s="647" t="e">
        <v>#N/A</v>
      </c>
      <c r="AC37" s="643" t="e">
        <v>#N/A</v>
      </c>
      <c r="AD37" s="643" t="e">
        <v>#N/A</v>
      </c>
      <c r="AE37" s="643" t="e">
        <v>#N/A</v>
      </c>
      <c r="AF37" s="643" t="e">
        <v>#N/A</v>
      </c>
      <c r="AG37" s="643" t="e">
        <f t="shared" si="3"/>
        <v>#N/A</v>
      </c>
      <c r="AH37" s="643" t="str">
        <f t="shared" si="4"/>
        <v/>
      </c>
      <c r="AI37" s="138" t="e">
        <f>IF(NOT(OR(Z37=1,Z37=2)),IF(AQ37&gt;0,$AR$44*AQ37/SUMIF($AQ$8:$AQ$39,"&gt;0"),IF(AU37&gt;0,$AV$44*AU37/SUMIF($AU$8:$AU$39,"&gt;0"),IF(AS37&gt;0,$AT$44*AS37/SUMIF($AS$8:$AS$39,"&gt;0"),""))),IF(SUMIF(AJ38:$AJ$39,"=" &amp; AJ37,AI38:$AI$39)=0,"",SUMIF(AJ38:$AJ$39,"=" &amp; AJ37,AI38:$AI$39)))</f>
        <v>#N/A</v>
      </c>
      <c r="AJ37" s="139" t="e">
        <f t="shared" si="34"/>
        <v>#N/A</v>
      </c>
      <c r="AK37" s="643" t="str">
        <f t="shared" si="27"/>
        <v/>
      </c>
      <c r="AL37" s="647" t="str">
        <f t="shared" si="28"/>
        <v/>
      </c>
      <c r="AM37" s="647" t="str">
        <f t="shared" si="35"/>
        <v/>
      </c>
      <c r="AN37" s="647" t="str">
        <f>IF(ISNUMBER(AH37),IF(AND(AB37=0,ISNUMBER(AC37),ISNUMBER(AL37)),1,""),"")</f>
        <v/>
      </c>
      <c r="AO37" s="647" t="e">
        <f t="shared" si="6"/>
        <v>#N/A</v>
      </c>
      <c r="AP37" s="643" t="str">
        <f t="shared" si="7"/>
        <v/>
      </c>
      <c r="AQ37" s="644">
        <f t="shared" si="29"/>
        <v>0</v>
      </c>
      <c r="AR37" s="141" t="str">
        <f t="shared" si="8"/>
        <v/>
      </c>
      <c r="AS37" s="142">
        <f t="shared" si="30"/>
        <v>0</v>
      </c>
      <c r="AT37" s="141" t="str">
        <f t="shared" si="9"/>
        <v/>
      </c>
      <c r="AU37" s="645">
        <f t="shared" si="10"/>
        <v>0</v>
      </c>
      <c r="AV37" s="144" t="str">
        <f t="shared" si="11"/>
        <v/>
      </c>
      <c r="AW37" s="645" t="b">
        <f t="shared" si="12"/>
        <v>0</v>
      </c>
      <c r="AX37" s="646" t="b">
        <f t="shared" si="13"/>
        <v>0</v>
      </c>
      <c r="AY37" s="645" t="b">
        <f t="shared" si="14"/>
        <v>0</v>
      </c>
      <c r="AZ37" s="646" t="b">
        <f t="shared" si="15"/>
        <v>0</v>
      </c>
      <c r="BA37" s="643" t="b">
        <f t="shared" si="16"/>
        <v>0</v>
      </c>
      <c r="BB37" s="643" t="b">
        <f t="shared" si="17"/>
        <v>0</v>
      </c>
      <c r="BC37" s="645" t="b">
        <f t="shared" si="18"/>
        <v>0</v>
      </c>
      <c r="BD37" s="647" t="b">
        <f t="shared" si="31"/>
        <v>0</v>
      </c>
      <c r="BE37" s="646" t="b">
        <f t="shared" si="37"/>
        <v>0</v>
      </c>
      <c r="BF37" s="648" t="b">
        <f t="shared" si="39"/>
        <v>0</v>
      </c>
      <c r="BG37" s="643" t="str">
        <f t="shared" si="38"/>
        <v>NA</v>
      </c>
      <c r="BH37" s="643" t="str">
        <f t="shared" si="32"/>
        <v/>
      </c>
      <c r="BI37" s="643" t="str">
        <f t="shared" si="22"/>
        <v/>
      </c>
      <c r="BJ37" s="643" t="str">
        <f t="shared" si="23"/>
        <v/>
      </c>
      <c r="BK37" s="643" t="str">
        <f t="shared" si="24"/>
        <v/>
      </c>
      <c r="BL37" s="649" t="str">
        <f t="shared" si="33"/>
        <v/>
      </c>
      <c r="BM37" s="643" t="str">
        <f t="shared" si="25"/>
        <v/>
      </c>
      <c r="BN37" s="643" t="str">
        <f t="shared" si="26"/>
        <v/>
      </c>
      <c r="BO37" s="1314"/>
      <c r="BP37" s="1315"/>
      <c r="BQ37" s="1315"/>
      <c r="BR37" s="1315"/>
      <c r="BS37" s="1315"/>
      <c r="BT37" s="1315"/>
      <c r="BU37" s="1316"/>
    </row>
    <row r="38" spans="2:73" s="608" customFormat="1" ht="12.95" customHeight="1" x14ac:dyDescent="0.2">
      <c r="B38" s="652" t="str">
        <f>IF(ISNA(Z38),"",IF(OR(Z38=1,Z38=2),"    ",MAX($B$8:B37)+1))</f>
        <v/>
      </c>
      <c r="C38" s="1334" t="str">
        <f t="shared" ref="C38:C39" si="40">IF(ISNA(Z38),"",CONCATENATE($U38,IF(ISNUMBER(AI38),TEXT(ROUND($AI38,3)," (0.0%)"),""),IF(AU38&gt;0," Bonus","")))</f>
        <v/>
      </c>
      <c r="D38" s="1334"/>
      <c r="E38" s="1334"/>
      <c r="F38" s="1335"/>
      <c r="G38" s="638" t="str">
        <f t="shared" si="1"/>
        <v/>
      </c>
      <c r="H38" s="639" t="str">
        <f t="shared" si="2"/>
        <v/>
      </c>
      <c r="I38" s="653" t="str">
        <f t="shared" si="2"/>
        <v/>
      </c>
      <c r="J38" s="659"/>
      <c r="K38" s="660"/>
      <c r="L38" s="1343"/>
      <c r="M38" s="1344"/>
      <c r="N38" s="1344"/>
      <c r="O38" s="1344"/>
      <c r="P38" s="1344"/>
      <c r="Q38" s="1344"/>
      <c r="R38" s="1345"/>
      <c r="T38" s="604">
        <v>31</v>
      </c>
      <c r="U38" s="594" t="e">
        <v>#N/A</v>
      </c>
      <c r="V38" s="643" t="e">
        <v>#N/A</v>
      </c>
      <c r="W38" s="643" t="e">
        <v>#N/A</v>
      </c>
      <c r="X38" s="643" t="e">
        <v>#N/A</v>
      </c>
      <c r="Y38" s="643" t="e">
        <v>#N/A</v>
      </c>
      <c r="Z38" s="647" t="e">
        <v>#N/A</v>
      </c>
      <c r="AA38" s="647" t="e">
        <v>#N/A</v>
      </c>
      <c r="AB38" s="647" t="e">
        <v>#N/A</v>
      </c>
      <c r="AC38" s="643" t="e">
        <v>#N/A</v>
      </c>
      <c r="AD38" s="643" t="e">
        <v>#N/A</v>
      </c>
      <c r="AE38" s="643" t="e">
        <v>#N/A</v>
      </c>
      <c r="AF38" s="643" t="e">
        <v>#N/A</v>
      </c>
      <c r="AG38" s="643" t="e">
        <f t="shared" si="3"/>
        <v>#N/A</v>
      </c>
      <c r="AH38" s="643" t="str">
        <f t="shared" si="4"/>
        <v/>
      </c>
      <c r="AI38" s="138" t="e">
        <f>IF(NOT(OR(Z38=1,Z38=2)),IF(AQ38&gt;0,$AR$44*AQ38/SUMIF($AQ$8:$AQ$39,"&gt;0"),IF(AU38&gt;0,$AV$44*AU38/SUMIF($AU$8:$AU$39,"&gt;0"),IF(AS38&gt;0,$AT$44*AS38/SUMIF($AS$8:$AS$39,"&gt;0"),""))),IF(SUMIF(AJ39:$AJ$39,"=" &amp; AJ38,AI39:$AI$39)=0,"",SUMIF(AJ39:$AJ$39,"=" &amp; AJ38,AI39:$AI$39)))</f>
        <v>#N/A</v>
      </c>
      <c r="AJ38" s="139" t="e">
        <f t="shared" si="34"/>
        <v>#N/A</v>
      </c>
      <c r="AK38" s="643" t="str">
        <f t="shared" si="27"/>
        <v/>
      </c>
      <c r="AL38" s="647" t="str">
        <f t="shared" si="28"/>
        <v/>
      </c>
      <c r="AM38" s="647" t="str">
        <f t="shared" si="35"/>
        <v/>
      </c>
      <c r="AN38" s="647" t="str">
        <f>IF(ISNUMBER(AH38),IF(AND(AB38=0,ISNUMBER(AC38),ISNUMBER(AL38)),1,""),"")</f>
        <v/>
      </c>
      <c r="AO38" s="647" t="e">
        <f t="shared" si="6"/>
        <v>#N/A</v>
      </c>
      <c r="AP38" s="643" t="str">
        <f t="shared" si="7"/>
        <v/>
      </c>
      <c r="AQ38" s="644">
        <f t="shared" si="29"/>
        <v>0</v>
      </c>
      <c r="AR38" s="141" t="str">
        <f t="shared" si="8"/>
        <v/>
      </c>
      <c r="AS38" s="142">
        <f t="shared" si="30"/>
        <v>0</v>
      </c>
      <c r="AT38" s="141" t="str">
        <f t="shared" si="9"/>
        <v/>
      </c>
      <c r="AU38" s="645">
        <f t="shared" si="10"/>
        <v>0</v>
      </c>
      <c r="AV38" s="144" t="str">
        <f t="shared" si="11"/>
        <v/>
      </c>
      <c r="AW38" s="645" t="b">
        <f t="shared" si="12"/>
        <v>0</v>
      </c>
      <c r="AX38" s="646" t="b">
        <f t="shared" si="13"/>
        <v>0</v>
      </c>
      <c r="AY38" s="645" t="b">
        <f t="shared" si="14"/>
        <v>0</v>
      </c>
      <c r="AZ38" s="646" t="b">
        <f t="shared" si="15"/>
        <v>0</v>
      </c>
      <c r="BA38" s="643" t="b">
        <f t="shared" si="16"/>
        <v>0</v>
      </c>
      <c r="BB38" s="643" t="b">
        <f t="shared" si="17"/>
        <v>0</v>
      </c>
      <c r="BC38" s="645" t="b">
        <f t="shared" si="18"/>
        <v>0</v>
      </c>
      <c r="BD38" s="647" t="b">
        <f t="shared" si="31"/>
        <v>0</v>
      </c>
      <c r="BE38" s="646" t="b">
        <f t="shared" si="37"/>
        <v>0</v>
      </c>
      <c r="BF38" s="648" t="b">
        <f t="shared" si="39"/>
        <v>0</v>
      </c>
      <c r="BG38" s="643" t="str">
        <f t="shared" si="38"/>
        <v>NA</v>
      </c>
      <c r="BH38" s="643" t="str">
        <f t="shared" si="32"/>
        <v/>
      </c>
      <c r="BI38" s="643" t="str">
        <f t="shared" si="22"/>
        <v/>
      </c>
      <c r="BJ38" s="643" t="str">
        <f t="shared" si="23"/>
        <v/>
      </c>
      <c r="BK38" s="643" t="str">
        <f t="shared" si="24"/>
        <v/>
      </c>
      <c r="BL38" s="649" t="str">
        <f t="shared" si="33"/>
        <v/>
      </c>
      <c r="BM38" s="643" t="str">
        <f t="shared" si="25"/>
        <v/>
      </c>
      <c r="BN38" s="643" t="str">
        <f t="shared" si="26"/>
        <v/>
      </c>
      <c r="BO38" s="651" t="s">
        <v>373</v>
      </c>
      <c r="BP38" s="651"/>
      <c r="BQ38" s="651"/>
      <c r="BR38" s="651"/>
      <c r="BS38" s="651"/>
      <c r="BT38" s="651"/>
      <c r="BU38" s="651"/>
    </row>
    <row r="39" spans="2:73" s="608" customFormat="1" ht="12.95" customHeight="1" thickBot="1" x14ac:dyDescent="0.25">
      <c r="B39" s="652" t="str">
        <f>IF(ISNA(Z39),"",IF(OR(Z39=1,Z39=2),"    ",MAX($B$8:B38)+1))</f>
        <v/>
      </c>
      <c r="C39" s="1334" t="str">
        <f t="shared" si="40"/>
        <v/>
      </c>
      <c r="D39" s="1334"/>
      <c r="E39" s="1334"/>
      <c r="F39" s="1335"/>
      <c r="G39" s="664" t="str">
        <f t="shared" si="1"/>
        <v/>
      </c>
      <c r="H39" s="639" t="str">
        <f t="shared" si="2"/>
        <v/>
      </c>
      <c r="I39" s="665" t="str">
        <f t="shared" si="2"/>
        <v/>
      </c>
      <c r="J39" s="666"/>
      <c r="K39" s="667"/>
      <c r="L39" s="1346"/>
      <c r="M39" s="1347"/>
      <c r="N39" s="1347"/>
      <c r="O39" s="1347"/>
      <c r="P39" s="1347"/>
      <c r="Q39" s="1347"/>
      <c r="R39" s="1348"/>
      <c r="T39" s="604">
        <v>32</v>
      </c>
      <c r="U39" s="594" t="e">
        <v>#N/A</v>
      </c>
      <c r="V39" s="643" t="e">
        <v>#N/A</v>
      </c>
      <c r="W39" s="643" t="e">
        <v>#N/A</v>
      </c>
      <c r="X39" s="643" t="e">
        <v>#N/A</v>
      </c>
      <c r="Y39" s="643" t="e">
        <v>#N/A</v>
      </c>
      <c r="Z39" s="647" t="e">
        <v>#N/A</v>
      </c>
      <c r="AA39" s="647" t="e">
        <v>#N/A</v>
      </c>
      <c r="AB39" s="647" t="e">
        <v>#N/A</v>
      </c>
      <c r="AC39" s="643" t="e">
        <v>#N/A</v>
      </c>
      <c r="AD39" s="643" t="e">
        <v>#N/A</v>
      </c>
      <c r="AE39" s="643" t="e">
        <v>#N/A</v>
      </c>
      <c r="AF39" s="643" t="e">
        <v>#N/A</v>
      </c>
      <c r="AG39" s="643" t="e">
        <f t="shared" si="3"/>
        <v>#N/A</v>
      </c>
      <c r="AH39" s="643" t="str">
        <f t="shared" si="4"/>
        <v/>
      </c>
      <c r="AI39" s="138" t="e">
        <f>IF(NOT(OR(Z39=1,Z39=2)),IF(AQ39&gt;0,$AR$44*AQ39/SUMIF($AQ$8:$AQ$39,"&gt;0"),IF(AU39&gt;0,$AV$44*AU39/SUMIF($AU$8:$AU$39,"&gt;0"),IF(AS39&gt;0,$AT$44*AS39/SUMIF($AS$8:$AS$39,"&gt;0"),""))),IF(SUMIF(AJ$39:$AJ40,"=" &amp; AJ39,AI$39:$AI40)=0,"",SUMIF(AJ$39:$AJ40,"=" &amp; AJ39,AI$39:$AI40)))</f>
        <v>#N/A</v>
      </c>
      <c r="AJ39" s="139" t="e">
        <f t="shared" si="34"/>
        <v>#N/A</v>
      </c>
      <c r="AK39" s="643" t="str">
        <f t="shared" si="27"/>
        <v/>
      </c>
      <c r="AL39" s="647" t="str">
        <f t="shared" si="28"/>
        <v/>
      </c>
      <c r="AM39" s="647" t="str">
        <f t="shared" si="35"/>
        <v/>
      </c>
      <c r="AN39" s="647" t="str">
        <f>IF(ISNUMBER(AH39),IF(AND(AB39=0,ISNUMBER(AC39),ISNUMBER(AL39)),1,""),"")</f>
        <v/>
      </c>
      <c r="AO39" s="647" t="e">
        <f t="shared" si="6"/>
        <v>#N/A</v>
      </c>
      <c r="AP39" s="643" t="str">
        <f t="shared" si="7"/>
        <v/>
      </c>
      <c r="AQ39" s="644">
        <f t="shared" si="29"/>
        <v>0</v>
      </c>
      <c r="AR39" s="141" t="str">
        <f t="shared" si="8"/>
        <v/>
      </c>
      <c r="AS39" s="142">
        <f t="shared" si="30"/>
        <v>0</v>
      </c>
      <c r="AT39" s="141" t="str">
        <f t="shared" si="9"/>
        <v/>
      </c>
      <c r="AU39" s="645">
        <f t="shared" si="10"/>
        <v>0</v>
      </c>
      <c r="AV39" s="144" t="str">
        <f t="shared" si="11"/>
        <v/>
      </c>
      <c r="AW39" s="645" t="b">
        <f t="shared" si="12"/>
        <v>0</v>
      </c>
      <c r="AX39" s="646" t="b">
        <f t="shared" si="13"/>
        <v>0</v>
      </c>
      <c r="AY39" s="645" t="b">
        <f t="shared" si="14"/>
        <v>0</v>
      </c>
      <c r="AZ39" s="646" t="b">
        <f t="shared" si="15"/>
        <v>0</v>
      </c>
      <c r="BA39" s="643" t="b">
        <f t="shared" si="16"/>
        <v>0</v>
      </c>
      <c r="BB39" s="643" t="b">
        <f t="shared" si="17"/>
        <v>0</v>
      </c>
      <c r="BC39" s="645" t="b">
        <f t="shared" si="18"/>
        <v>0</v>
      </c>
      <c r="BD39" s="647" t="b">
        <f t="shared" si="31"/>
        <v>0</v>
      </c>
      <c r="BE39" s="646" t="b">
        <f t="shared" si="37"/>
        <v>0</v>
      </c>
      <c r="BF39" s="648" t="b">
        <f t="shared" si="39"/>
        <v>0</v>
      </c>
      <c r="BG39" s="643" t="str">
        <f t="shared" si="38"/>
        <v>NA</v>
      </c>
      <c r="BH39" s="643" t="str">
        <f t="shared" si="32"/>
        <v/>
      </c>
      <c r="BI39" s="643" t="str">
        <f t="shared" si="22"/>
        <v/>
      </c>
      <c r="BJ39" s="643" t="str">
        <f t="shared" si="23"/>
        <v/>
      </c>
      <c r="BK39" s="643" t="str">
        <f t="shared" si="24"/>
        <v/>
      </c>
      <c r="BL39" s="643" t="str">
        <f t="shared" si="33"/>
        <v/>
      </c>
      <c r="BM39" s="643" t="str">
        <f t="shared" si="25"/>
        <v/>
      </c>
      <c r="BN39" s="643" t="str">
        <f t="shared" si="26"/>
        <v/>
      </c>
      <c r="BO39" s="1308"/>
      <c r="BP39" s="1309"/>
      <c r="BQ39" s="1309"/>
      <c r="BR39" s="1309"/>
      <c r="BS39" s="1309"/>
      <c r="BT39" s="1309"/>
      <c r="BU39" s="1310"/>
    </row>
    <row r="40" spans="2:73" s="597" customFormat="1" ht="8.25" customHeight="1" x14ac:dyDescent="0.2">
      <c r="B40" s="1317" t="s">
        <v>374</v>
      </c>
      <c r="C40" s="1318"/>
      <c r="D40" s="1319"/>
      <c r="E40" s="668" t="s">
        <v>375</v>
      </c>
      <c r="F40" s="1320" t="s">
        <v>376</v>
      </c>
      <c r="G40" s="1321"/>
      <c r="H40" s="1321" t="s">
        <v>377</v>
      </c>
      <c r="I40" s="1321"/>
      <c r="J40" s="1322" t="s">
        <v>378</v>
      </c>
      <c r="K40" s="1323"/>
      <c r="L40" s="669" t="s">
        <v>379</v>
      </c>
      <c r="M40" s="1324" t="s">
        <v>380</v>
      </c>
      <c r="N40" s="1324"/>
      <c r="O40" s="1325" t="str">
        <f>IF(U44,"DO REVIEW","DO REV N/A")</f>
        <v>DO REVIEW</v>
      </c>
      <c r="P40" s="1326"/>
      <c r="Q40" s="670" t="str">
        <f>IF(U45,"ED REVIEW","ED REV N/A")</f>
        <v>ED REVIEW</v>
      </c>
      <c r="R40" s="671"/>
      <c r="S40" s="672">
        <v>0</v>
      </c>
      <c r="AI40" s="673"/>
      <c r="AJ40" s="598"/>
      <c r="AK40" s="598"/>
      <c r="AL40" s="598"/>
      <c r="AM40" s="598"/>
      <c r="AN40" s="598"/>
      <c r="AO40" s="594"/>
      <c r="AP40" s="598"/>
      <c r="AQ40" s="674"/>
      <c r="AR40" s="598"/>
      <c r="AS40" s="674"/>
      <c r="AT40" s="598"/>
      <c r="AU40" s="674"/>
      <c r="AV40" s="675"/>
      <c r="AW40" s="598"/>
      <c r="AX40" s="598"/>
      <c r="AY40" s="598"/>
      <c r="AZ40" s="598"/>
      <c r="BA40" s="598"/>
      <c r="BB40" s="598"/>
      <c r="BC40" s="598"/>
      <c r="BD40" s="598"/>
      <c r="BE40" s="598"/>
      <c r="BF40" s="598"/>
      <c r="BG40" s="598"/>
      <c r="BH40" s="594"/>
      <c r="BI40" s="594"/>
      <c r="BJ40" s="594"/>
      <c r="BK40" s="594"/>
      <c r="BL40" s="594"/>
      <c r="BM40" s="594"/>
      <c r="BN40" s="594"/>
      <c r="BO40" s="1311"/>
      <c r="BP40" s="1312"/>
      <c r="BQ40" s="1312"/>
      <c r="BR40" s="1312"/>
      <c r="BS40" s="1312"/>
      <c r="BT40" s="1312"/>
      <c r="BU40" s="1313"/>
    </row>
    <row r="41" spans="2:73" ht="18.75" customHeight="1" thickBot="1" x14ac:dyDescent="0.25">
      <c r="B41" s="925" t="str">
        <f>IF(ISERROR(AR46),"",TEXT(AR45,"0.0%"))</f>
        <v>30.0%</v>
      </c>
      <c r="C41" s="926"/>
      <c r="D41" s="927"/>
      <c r="E41" s="676" t="str">
        <f>IF(AU41=0,"N/A",CONCATENATE(TEXT(AV45,"0.0%")," of ",TEXT(AV44,"0.0%")))</f>
        <v>N/A</v>
      </c>
      <c r="F41" s="1328" t="str">
        <f>IF((graded_aca_events+graded_amn_events)&lt;1,"---",IF(AND(AW4,AX4),"INCOMPLETE",IF(AND(NOT(AW4),AX4),"ACA INC",IF(AND(AW4,NOT(AX4)),"AMN INC","COMPLETE"))))</f>
        <v>---</v>
      </c>
      <c r="G41" s="1328"/>
      <c r="H41" s="1328" t="str">
        <f>IF(AU4,IF(OR(AY4="UNK",NOT(AN6)),"---",IF(AY4,"UNSAT",IF(AVERAGEIFS(AT8:AT39,AS8:AS39,"&gt;0")&lt;0.9,"MARG","SAT"))),"N/A")</f>
        <v>---</v>
      </c>
      <c r="I41" s="1328"/>
      <c r="J41" s="1329" t="str">
        <f>IF(OR(AZ4="UNK",NOT(AM6)),"---",IF(OR(AZ4,AR45&lt;0.7),"FAIL","PASS"))</f>
        <v>---</v>
      </c>
      <c r="K41" s="1330"/>
      <c r="L41" s="677"/>
      <c r="M41" s="1331"/>
      <c r="N41" s="1331"/>
      <c r="O41" s="1332" t="s">
        <v>265</v>
      </c>
      <c r="P41" s="1332"/>
      <c r="Q41" s="1332" t="s">
        <v>265</v>
      </c>
      <c r="R41" s="1333"/>
      <c r="S41" s="678"/>
      <c r="T41" s="604" t="s">
        <v>381</v>
      </c>
      <c r="U41" s="647" t="s">
        <v>382</v>
      </c>
      <c r="V41" s="679"/>
      <c r="W41" s="679"/>
      <c r="X41" s="679"/>
      <c r="Y41" s="679"/>
      <c r="Z41" s="679"/>
      <c r="AA41" s="679"/>
      <c r="AB41" s="679"/>
      <c r="AC41" s="679"/>
      <c r="AD41" s="679"/>
      <c r="AE41" s="679"/>
      <c r="AF41" s="679"/>
      <c r="AG41" s="679"/>
      <c r="AH41" s="679"/>
      <c r="AI41" s="592"/>
      <c r="AJ41" s="591"/>
      <c r="AK41" s="679"/>
      <c r="AL41" s="679"/>
      <c r="AM41" s="679">
        <f>SUM(AM8:AM39)</f>
        <v>0</v>
      </c>
      <c r="AN41" s="679">
        <f>SUM(AN8:AN39)</f>
        <v>0</v>
      </c>
      <c r="AO41" s="604"/>
      <c r="AP41" s="591"/>
      <c r="AQ41" s="680">
        <f>SUMIF(AQ8:AQ39,"&gt;0")</f>
        <v>90</v>
      </c>
      <c r="AR41" s="681">
        <f>IF(AQ41=0,0,SUMPRODUCT($AQ$8:$AQ$39,AR8:AR39)/SUM($AQ$8:$AQ$39))</f>
        <v>0.3</v>
      </c>
      <c r="AS41" s="682">
        <f>SUMIF(AS8:AS39,"&gt;0")</f>
        <v>10</v>
      </c>
      <c r="AT41" s="681">
        <f>IF(AS41=0,0,SUMPRODUCT($AS$8:$AS$39,AT8:AT39)/SUM($AS$8:$AS$39))</f>
        <v>0.3</v>
      </c>
      <c r="AU41" s="682">
        <f>SUM(AU9:AU39)</f>
        <v>0</v>
      </c>
      <c r="AV41" s="681">
        <f>IF(AU41=0,0,SUMPRODUCT($AU$8:$AU$39,AV8:AV39)/SUM($AU$8:$AU$39))</f>
        <v>0</v>
      </c>
      <c r="AW41" s="683"/>
      <c r="AX41" s="683"/>
      <c r="AY41" s="683"/>
      <c r="AZ41" s="683"/>
      <c r="BA41" s="683"/>
      <c r="BB41" s="683"/>
      <c r="BC41" s="594" t="s">
        <v>383</v>
      </c>
      <c r="BD41" s="594" t="s">
        <v>384</v>
      </c>
      <c r="BE41" s="594" t="s">
        <v>385</v>
      </c>
      <c r="BO41" s="1311"/>
      <c r="BP41" s="1312"/>
      <c r="BQ41" s="1312"/>
      <c r="BR41" s="1312"/>
      <c r="BS41" s="1312"/>
      <c r="BT41" s="1312"/>
      <c r="BU41" s="1313"/>
    </row>
    <row r="42" spans="2:73" ht="7.5" customHeight="1" thickTop="1" x14ac:dyDescent="0.2">
      <c r="L42" s="1327" t="s">
        <v>834</v>
      </c>
      <c r="M42" s="1327"/>
      <c r="N42" s="1327"/>
      <c r="O42" s="1327"/>
      <c r="P42" s="1327"/>
      <c r="Q42" s="1327"/>
      <c r="R42" s="1327"/>
      <c r="AP42" s="679"/>
      <c r="AQ42" s="591"/>
      <c r="AR42" s="591"/>
      <c r="AT42" s="681"/>
      <c r="AU42" s="681"/>
      <c r="AV42" s="681"/>
      <c r="AW42" s="591"/>
      <c r="AX42" s="681"/>
      <c r="BO42" s="1314"/>
      <c r="BP42" s="1315"/>
      <c r="BQ42" s="1315"/>
      <c r="BR42" s="1315"/>
      <c r="BS42" s="1315"/>
      <c r="BT42" s="1315"/>
      <c r="BU42" s="1316"/>
    </row>
    <row r="43" spans="2:73" ht="30.75" customHeight="1" x14ac:dyDescent="0.2">
      <c r="T43" s="684" t="s">
        <v>386</v>
      </c>
      <c r="U43" s="647" t="b">
        <v>1</v>
      </c>
      <c r="AI43" s="595">
        <f ca="1">SUMIF(AJ8:$AJ$39,"=" &amp; AJ8,AI9:$AI$39)</f>
        <v>0.1</v>
      </c>
      <c r="AO43" s="685"/>
      <c r="AS43" s="623" t="s">
        <v>387</v>
      </c>
      <c r="AT43" s="686">
        <f>SUMIF(X8:X39,"&gt;0")/SUMIF(W8:W39,"&gt;0")</f>
        <v>0.1111111111111111</v>
      </c>
      <c r="AU43" s="623" t="s">
        <v>388</v>
      </c>
      <c r="AV43" s="192">
        <f>SUMIF(AU8:AU39,"&gt;0")/SUMIF(AQ8:AQ39,"&gt;0")</f>
        <v>0</v>
      </c>
      <c r="AW43" s="687"/>
      <c r="BE43" s="594" t="b">
        <f>AND(ISBLANK($K30),J30&gt;0)</f>
        <v>0</v>
      </c>
      <c r="BO43" s="594"/>
      <c r="BP43" s="594"/>
      <c r="BQ43" s="596"/>
    </row>
    <row r="44" spans="2:73" ht="30.75" customHeight="1" x14ac:dyDescent="0.2">
      <c r="J44" s="688"/>
      <c r="T44" s="689" t="s">
        <v>389</v>
      </c>
      <c r="U44" s="594" t="b">
        <f>IF(AND(Flight?,OR(AW4,AY4,BA4,AZ4,AR45&lt;0.7,H41="MARG")),TRUE,FALSE)</f>
        <v>1</v>
      </c>
      <c r="AO44" s="690"/>
      <c r="AQ44" s="623" t="s">
        <v>390</v>
      </c>
      <c r="AR44" s="686">
        <f>1-AT44</f>
        <v>0.9</v>
      </c>
      <c r="AS44" s="623" t="s">
        <v>391</v>
      </c>
      <c r="AT44" s="686">
        <f>MIN(AT43,AT6)</f>
        <v>0.1</v>
      </c>
      <c r="AU44" s="623" t="s">
        <v>392</v>
      </c>
      <c r="AV44" s="595">
        <f>MIN(AV43,AV6)</f>
        <v>0</v>
      </c>
      <c r="BO44" s="594"/>
      <c r="BP44" s="594"/>
      <c r="BQ44" s="596"/>
    </row>
    <row r="45" spans="2:73" ht="25.5" x14ac:dyDescent="0.2">
      <c r="T45" s="689" t="s">
        <v>393</v>
      </c>
      <c r="U45" s="594" t="b">
        <f>IF(OR(AX4,AY4,AZ4,BB4,AR45&lt;0.7),TRUE,FALSE)</f>
        <v>1</v>
      </c>
      <c r="AO45" s="691"/>
      <c r="AQ45" s="623" t="s">
        <v>394</v>
      </c>
      <c r="AR45" s="595">
        <f>AR41*(1-AT44)+(AT41*AT44)</f>
        <v>0.30000000000000004</v>
      </c>
      <c r="AU45" s="594" t="s">
        <v>324</v>
      </c>
      <c r="AV45" s="595">
        <f>AV41*AV44</f>
        <v>0</v>
      </c>
      <c r="BO45" s="594"/>
      <c r="BP45" s="594"/>
      <c r="BQ45" s="596"/>
    </row>
    <row r="46" spans="2:73" ht="25.5" x14ac:dyDescent="0.2">
      <c r="T46" s="689" t="s">
        <v>395</v>
      </c>
      <c r="U46" s="594" t="b">
        <v>0</v>
      </c>
      <c r="AO46" s="691"/>
      <c r="AQ46" s="623" t="s">
        <v>396</v>
      </c>
      <c r="AR46" s="595">
        <f>MIN(1,IF(NOT(OR(AY4,AZ4)),AR45+AV45,MIN(0.69,AR45+AV45)))</f>
        <v>0.30000000000000004</v>
      </c>
      <c r="BO46" s="594"/>
      <c r="BP46" s="594"/>
      <c r="BQ46" s="596"/>
    </row>
    <row r="47" spans="2:73" x14ac:dyDescent="0.2">
      <c r="T47" s="689" t="s">
        <v>397</v>
      </c>
      <c r="U47" s="594" t="b">
        <f>IF(NOT(Flight?),TRUE,NOT(OR(ISBLANK(comments),ISBLANK(hdr_class),ISBLANK(hdr_date),ISBLANK(hdr_stud),ISBLANK(hdr_instr),ISBLANK(hdr_acft),ISBLANK(hdr_time),F41="---")))</f>
        <v>0</v>
      </c>
      <c r="AO47" s="691"/>
      <c r="AR47" s="623"/>
      <c r="AS47" s="595"/>
    </row>
    <row r="48" spans="2:73" x14ac:dyDescent="0.2">
      <c r="T48" s="689" t="s">
        <v>398</v>
      </c>
      <c r="U48" s="594" t="b">
        <f>IF(Flight?,TRUE,NOT(OR(ISBLANK(comments),ISBLANK(hdr_class),ISBLANK(hdr_date),ISBLANK(hdr_stud),ISBLANK(hdr_instr),F41="---")))</f>
        <v>1</v>
      </c>
      <c r="AO48" s="690"/>
      <c r="AP48" s="591" t="s">
        <v>399</v>
      </c>
      <c r="AQ48" s="591"/>
      <c r="AR48" s="591"/>
      <c r="AS48" s="591"/>
      <c r="AT48" s="591"/>
    </row>
    <row r="49" spans="20:56" x14ac:dyDescent="0.2">
      <c r="T49" s="689" t="s">
        <v>400</v>
      </c>
      <c r="U49" s="594" t="b">
        <f>AND(U47:U48)</f>
        <v>0</v>
      </c>
      <c r="AO49" s="690"/>
      <c r="AP49" s="591"/>
      <c r="AQ49" s="591"/>
      <c r="AR49" s="591">
        <v>0</v>
      </c>
      <c r="AS49" s="591">
        <v>1</v>
      </c>
      <c r="AT49" s="591">
        <v>2</v>
      </c>
      <c r="AU49" s="591">
        <v>3</v>
      </c>
      <c r="AV49" s="591">
        <v>4</v>
      </c>
    </row>
    <row r="50" spans="20:56" x14ac:dyDescent="0.2">
      <c r="AO50" s="690"/>
      <c r="AP50" s="591" t="s">
        <v>359</v>
      </c>
      <c r="AQ50" s="591">
        <v>1</v>
      </c>
      <c r="AR50" s="692">
        <v>0.7</v>
      </c>
      <c r="AS50" s="692">
        <v>0.9</v>
      </c>
      <c r="AT50" s="692">
        <v>0.93330000000000002</v>
      </c>
      <c r="AU50" s="692">
        <v>0.9667</v>
      </c>
      <c r="AV50" s="692">
        <v>1</v>
      </c>
    </row>
    <row r="51" spans="20:56" x14ac:dyDescent="0.2">
      <c r="AO51" s="690"/>
      <c r="AP51" s="591" t="s">
        <v>360</v>
      </c>
      <c r="AQ51" s="591">
        <v>2</v>
      </c>
      <c r="AR51" s="692">
        <v>0.7</v>
      </c>
      <c r="AS51" s="692">
        <v>0.8</v>
      </c>
      <c r="AT51" s="692">
        <v>0.9</v>
      </c>
      <c r="AU51" s="692">
        <v>0.95</v>
      </c>
      <c r="AV51" s="692">
        <v>1</v>
      </c>
    </row>
    <row r="52" spans="20:56" x14ac:dyDescent="0.2">
      <c r="AO52" s="690"/>
      <c r="AP52" s="591" t="s">
        <v>361</v>
      </c>
      <c r="AQ52" s="591">
        <v>3</v>
      </c>
      <c r="AR52" s="692">
        <v>0.7</v>
      </c>
      <c r="AS52" s="692">
        <v>0.76670000000000005</v>
      </c>
      <c r="AT52" s="692">
        <v>0.83330000000000004</v>
      </c>
      <c r="AU52" s="692">
        <v>0.9</v>
      </c>
      <c r="AV52" s="692">
        <v>1</v>
      </c>
    </row>
    <row r="53" spans="20:56" x14ac:dyDescent="0.2">
      <c r="AP53" s="693" t="s">
        <v>362</v>
      </c>
      <c r="AQ53" s="591">
        <v>11</v>
      </c>
      <c r="AR53" s="692">
        <v>0.6</v>
      </c>
      <c r="AS53" s="692">
        <v>0.9</v>
      </c>
      <c r="AT53" s="692">
        <v>0.93330000000000002</v>
      </c>
      <c r="AU53" s="692">
        <v>0.9667</v>
      </c>
      <c r="AV53" s="692">
        <v>1</v>
      </c>
    </row>
    <row r="54" spans="20:56" x14ac:dyDescent="0.2">
      <c r="AP54" s="693" t="s">
        <v>363</v>
      </c>
      <c r="AQ54" s="591">
        <v>12</v>
      </c>
      <c r="AR54" s="692">
        <v>0.6</v>
      </c>
      <c r="AS54" s="692">
        <v>0.7</v>
      </c>
      <c r="AT54" s="692">
        <v>0.9</v>
      </c>
      <c r="AU54" s="692">
        <v>0.95</v>
      </c>
      <c r="AV54" s="692">
        <v>1</v>
      </c>
    </row>
    <row r="55" spans="20:56" x14ac:dyDescent="0.2">
      <c r="AP55" s="693" t="s">
        <v>364</v>
      </c>
      <c r="AQ55" s="591">
        <v>13</v>
      </c>
      <c r="AR55" s="692">
        <v>0.6</v>
      </c>
      <c r="AS55" s="692">
        <v>0.7</v>
      </c>
      <c r="AT55" s="692">
        <v>0.8</v>
      </c>
      <c r="AU55" s="692">
        <v>0.9</v>
      </c>
      <c r="AV55" s="692">
        <v>1</v>
      </c>
    </row>
    <row r="56" spans="20:56" x14ac:dyDescent="0.2">
      <c r="AP56" s="693" t="s">
        <v>365</v>
      </c>
      <c r="AQ56" s="591">
        <v>22</v>
      </c>
      <c r="AR56" s="692">
        <v>0.3</v>
      </c>
      <c r="AS56" s="692">
        <v>0.6</v>
      </c>
      <c r="AT56" s="692">
        <v>0.9</v>
      </c>
      <c r="AU56" s="692">
        <v>0.95</v>
      </c>
      <c r="AV56" s="692">
        <v>1</v>
      </c>
    </row>
    <row r="57" spans="20:56" x14ac:dyDescent="0.2">
      <c r="AP57" s="693" t="s">
        <v>366</v>
      </c>
      <c r="AQ57" s="591">
        <v>23</v>
      </c>
      <c r="AR57" s="692">
        <v>0.3</v>
      </c>
      <c r="AS57" s="692">
        <v>0.6</v>
      </c>
      <c r="AT57" s="692">
        <v>0.7</v>
      </c>
      <c r="AU57" s="692">
        <v>0.9</v>
      </c>
      <c r="AV57" s="692">
        <v>1</v>
      </c>
    </row>
    <row r="58" spans="20:56" x14ac:dyDescent="0.2">
      <c r="AP58" s="693" t="s">
        <v>367</v>
      </c>
      <c r="AQ58" s="591">
        <v>33</v>
      </c>
      <c r="AR58" s="692">
        <v>0</v>
      </c>
      <c r="AS58" s="692">
        <v>0.3</v>
      </c>
      <c r="AT58" s="692">
        <v>0.6</v>
      </c>
      <c r="AU58" s="692">
        <v>0.9</v>
      </c>
      <c r="AV58" s="692">
        <v>1</v>
      </c>
      <c r="AW58" s="85"/>
      <c r="AX58" s="88"/>
      <c r="BC58" s="88"/>
      <c r="BD58" s="88"/>
    </row>
    <row r="59" spans="20:56" x14ac:dyDescent="0.2">
      <c r="AW59" s="88"/>
      <c r="AX59" s="88"/>
      <c r="BC59" s="88"/>
      <c r="BD59" s="88"/>
    </row>
    <row r="60" spans="20:56" x14ac:dyDescent="0.2">
      <c r="AP60" s="88"/>
      <c r="AQ60" s="85"/>
      <c r="AR60" s="88"/>
      <c r="AS60" s="88"/>
      <c r="AT60" s="88"/>
      <c r="AU60" s="88"/>
      <c r="AV60" s="88"/>
      <c r="AW60" s="85"/>
      <c r="AX60" s="85"/>
      <c r="BC60" s="88"/>
      <c r="BD60" s="88"/>
    </row>
    <row r="61" spans="20:56" x14ac:dyDescent="0.2">
      <c r="AP61" s="200"/>
      <c r="AQ61" s="85"/>
      <c r="AR61" s="88"/>
      <c r="AS61" s="88"/>
      <c r="AT61" s="88"/>
      <c r="AU61" s="88"/>
      <c r="AV61" s="88"/>
      <c r="AW61" s="85"/>
      <c r="AX61" s="85"/>
      <c r="BC61" s="88"/>
      <c r="BD61" s="88"/>
    </row>
    <row r="62" spans="20:56" x14ac:dyDescent="0.2">
      <c r="AP62" s="85"/>
      <c r="AQ62" s="85"/>
      <c r="AR62" s="88"/>
      <c r="AS62" s="88"/>
      <c r="AT62" s="88"/>
      <c r="AU62" s="88"/>
      <c r="AV62" s="88"/>
      <c r="AW62" s="85"/>
      <c r="AX62" s="85"/>
      <c r="BC62" s="88"/>
      <c r="BD62" s="88"/>
    </row>
    <row r="63" spans="20:56" x14ac:dyDescent="0.2">
      <c r="AP63" s="85"/>
      <c r="AQ63" s="85"/>
      <c r="AR63" s="88"/>
      <c r="AS63" s="88"/>
      <c r="AT63" s="88"/>
      <c r="AU63" s="88"/>
      <c r="AV63" s="88"/>
      <c r="AW63" s="85"/>
      <c r="AX63" s="88"/>
      <c r="BC63" s="88"/>
      <c r="BD63" s="88"/>
    </row>
    <row r="64" spans="20:56" x14ac:dyDescent="0.2">
      <c r="AP64" s="85"/>
      <c r="AQ64" s="85"/>
      <c r="AR64" s="88"/>
      <c r="AS64" s="88"/>
      <c r="AT64" s="88"/>
      <c r="AU64" s="88"/>
      <c r="AV64" s="88"/>
      <c r="AW64" s="85"/>
      <c r="AX64" s="88"/>
      <c r="BC64" s="88"/>
      <c r="BD64" s="88"/>
    </row>
    <row r="65" spans="42:48" x14ac:dyDescent="0.2">
      <c r="AP65" s="85"/>
      <c r="AQ65" s="85"/>
      <c r="AR65" s="88"/>
      <c r="AS65" s="88"/>
      <c r="AT65" s="88"/>
      <c r="AU65" s="88"/>
      <c r="AV65" s="88"/>
    </row>
    <row r="66" spans="42:48" x14ac:dyDescent="0.2">
      <c r="AP66" s="85"/>
      <c r="AQ66" s="85"/>
      <c r="AR66" s="88"/>
      <c r="AS66" s="88"/>
      <c r="AT66" s="88"/>
      <c r="AU66" s="88"/>
      <c r="AV66" s="88"/>
    </row>
  </sheetData>
  <sheetProtection algorithmName="SHA-512" hashValue="wELoKAWV1oQd3N5bAOGfOOO38GMeBY+2Xpf6+FUqf1Dak1DJY9jCka/mdi8uwe025MBtDGYLfR9pBkf4Oc41JA==" saltValue="OJIwJkmGyW25wvFI2vtXBA==" spinCount="100000" sheet="1" selectLockedCells="1"/>
  <mergeCells count="76">
    <mergeCell ref="Q5:R5"/>
    <mergeCell ref="B6:E6"/>
    <mergeCell ref="B4:G4"/>
    <mergeCell ref="H4:N4"/>
    <mergeCell ref="O4:P4"/>
    <mergeCell ref="Q4:R4"/>
    <mergeCell ref="B5:E5"/>
    <mergeCell ref="F5:G5"/>
    <mergeCell ref="H5:L5"/>
    <mergeCell ref="M5:N5"/>
    <mergeCell ref="O5:P5"/>
    <mergeCell ref="C31:F31"/>
    <mergeCell ref="C32:F32"/>
    <mergeCell ref="BP3:BU4"/>
    <mergeCell ref="F6:G6"/>
    <mergeCell ref="H6:L6"/>
    <mergeCell ref="M6:N6"/>
    <mergeCell ref="O6:P6"/>
    <mergeCell ref="Q6:R6"/>
    <mergeCell ref="B3:G3"/>
    <mergeCell ref="H3:N3"/>
    <mergeCell ref="O3:P3"/>
    <mergeCell ref="Q3:R3"/>
    <mergeCell ref="B7:F7"/>
    <mergeCell ref="L7:R7"/>
    <mergeCell ref="BH4:BK6"/>
    <mergeCell ref="BL4:BN6"/>
    <mergeCell ref="C33:F33"/>
    <mergeCell ref="C34:F34"/>
    <mergeCell ref="BO34:BU37"/>
    <mergeCell ref="C8:F8"/>
    <mergeCell ref="L8:R39"/>
    <mergeCell ref="C9:F9"/>
    <mergeCell ref="C10:F10"/>
    <mergeCell ref="C11:F11"/>
    <mergeCell ref="C12:F12"/>
    <mergeCell ref="C13:F13"/>
    <mergeCell ref="C14:F14"/>
    <mergeCell ref="C15:F15"/>
    <mergeCell ref="C16:F16"/>
    <mergeCell ref="C30:F30"/>
    <mergeCell ref="C17:F17"/>
    <mergeCell ref="C18:F18"/>
    <mergeCell ref="BQ19:BU19"/>
    <mergeCell ref="C20:F20"/>
    <mergeCell ref="C21:F21"/>
    <mergeCell ref="BO21:BO29"/>
    <mergeCell ref="C22:F22"/>
    <mergeCell ref="C23:F23"/>
    <mergeCell ref="C24:F24"/>
    <mergeCell ref="C25:F25"/>
    <mergeCell ref="C26:F26"/>
    <mergeCell ref="C27:F27"/>
    <mergeCell ref="C28:F28"/>
    <mergeCell ref="C29:F29"/>
    <mergeCell ref="C19:F19"/>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s>
  <conditionalFormatting sqref="B8:F39">
    <cfRule type="expression" dxfId="130" priority="8" stopIfTrue="1">
      <formula>IF($Z8=1,TRUE,FALSE)</formula>
    </cfRule>
    <cfRule type="expression" dxfId="129" priority="9">
      <formula>IF($Z8=2,TRUE,FALSE)</formula>
    </cfRule>
  </conditionalFormatting>
  <conditionalFormatting sqref="C8:F39">
    <cfRule type="expression" dxfId="128" priority="1" stopIfTrue="1">
      <formula>IF($AF8=FALSE,TRUE,FALSE)</formula>
    </cfRule>
  </conditionalFormatting>
  <conditionalFormatting sqref="F5:G6 M5:P6">
    <cfRule type="expression" dxfId="127" priority="4" stopIfTrue="1">
      <formula>NOT($AU$4)</formula>
    </cfRule>
  </conditionalFormatting>
  <conditionalFormatting sqref="F6:G6">
    <cfRule type="cellIs" dxfId="126" priority="3" operator="equal">
      <formula>""</formula>
    </cfRule>
  </conditionalFormatting>
  <conditionalFormatting sqref="G8:K39">
    <cfRule type="expression" dxfId="125" priority="6" stopIfTrue="1">
      <formula>IF($Z8=1,TRUE,FALSE)</formula>
    </cfRule>
    <cfRule type="expression" dxfId="124" priority="7" stopIfTrue="1">
      <formula>IF($Z8=2,TRUE,FALSE)</formula>
    </cfRule>
  </conditionalFormatting>
  <conditionalFormatting sqref="H8:H39">
    <cfRule type="expression" dxfId="123" priority="10" stopIfTrue="1">
      <formula>IF($AB8=0,TRUE,FALSE)</formula>
    </cfRule>
  </conditionalFormatting>
  <conditionalFormatting sqref="H40:I41">
    <cfRule type="expression" dxfId="122" priority="2" stopIfTrue="1">
      <formula>IF($H$41="N/A",TRUE,FALSE)</formula>
    </cfRule>
  </conditionalFormatting>
  <conditionalFormatting sqref="H6:P6 O4:R4 B6 L8 L41 O41:R41">
    <cfRule type="containsBlanks" dxfId="121" priority="5">
      <formula>LEN(TRIM(B4))=0</formula>
    </cfRule>
  </conditionalFormatting>
  <conditionalFormatting sqref="J8:J39">
    <cfRule type="expression" dxfId="120" priority="14">
      <formula>IF($Z8=1,FALSE,OR($BE8,$BD8))</formula>
    </cfRule>
  </conditionalFormatting>
  <conditionalFormatting sqref="J8:K39 C8:F39">
    <cfRule type="expression" dxfId="119" priority="13">
      <formula>IF($Z8=1,FALSE,OR($AW8,$AX8,$AY8,$AZ8))</formula>
    </cfRule>
  </conditionalFormatting>
  <conditionalFormatting sqref="J8:K39">
    <cfRule type="expression" dxfId="118" priority="11" stopIfTrue="1">
      <formula>IF(ISNA($Z8),TRUE,FALSE)</formula>
    </cfRule>
  </conditionalFormatting>
  <conditionalFormatting sqref="K8:K39">
    <cfRule type="expression" dxfId="117" priority="12">
      <formula>IF(OR($Z8=1,$Z8=2),FALSE,OR($BC8,$BE8,$BF8))</formula>
    </cfRule>
  </conditionalFormatting>
  <dataValidations count="6">
    <dataValidation type="date" allowBlank="1" showInputMessage="1" showErrorMessage="1" sqref="Q4:R4" xr:uid="{1376B8CD-95D1-4FBE-9E46-388A38538160}">
      <formula1>41151</formula1>
      <formula2>77433</formula2>
    </dataValidation>
    <dataValidation type="decimal" allowBlank="1" showInputMessage="1" showErrorMessage="1" sqref="O6:P6" xr:uid="{12C043F2-5D65-4FE4-A736-042CBC5168CC}">
      <formula1>0</formula1>
      <formula2>10</formula2>
    </dataValidation>
    <dataValidation showInputMessage="1" showErrorMessage="1" sqref="O41:R41" xr:uid="{BF3AD442-56BA-4AF8-8898-8025D174BDB4}"/>
    <dataValidation type="list" allowBlank="1" showInputMessage="1" showErrorMessage="1" sqref="K8:K39" xr:uid="{4CCEA8BC-C4DD-446C-8198-73CE1038D6FB}">
      <formula1>"D,0,1,2,3,4"</formula1>
    </dataValidation>
    <dataValidation type="list" allowBlank="1" showInputMessage="1" showErrorMessage="1" sqref="J8:J39" xr:uid="{0B4786EE-2B5C-4679-B4DF-158EF5606DEC}">
      <formula1>"NA,0,1,2,3,4,5,6,7,8,9,10,11,12,13,14,15"</formula1>
    </dataValidation>
    <dataValidation type="list" allowBlank="1" showInputMessage="1" showErrorMessage="1" sqref="F6:G6" xr:uid="{A21CC86B-BFF1-46FC-93A0-3438F2B12258}">
      <formula1>"No,Yes"</formula1>
    </dataValidation>
  </dataValidations>
  <hyperlinks>
    <hyperlink ref="BP3" location="PF!A1" display="PF phase Summary Page" xr:uid="{89759C7E-E9E1-4A42-A43E-61A3C025C522}"/>
    <hyperlink ref="BP3:BU4" location="SY!A1" display="SY Summary Page" xr:uid="{7758084E-7B89-4A28-BA48-D01D07FEAD06}"/>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5762"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245763"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245764"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245765"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245766"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658F1C-0699-4444-B267-8DDAA5221B81}">
  <sheetPr codeName="Sheet26">
    <tabColor rgb="FFFFFF00"/>
    <pageSetUpPr autoPageBreaks="0"/>
  </sheetPr>
  <dimension ref="B1:BU66"/>
  <sheetViews>
    <sheetView showGridLines="0" showRowColHeaders="0" topLeftCell="A2" zoomScaleNormal="100" zoomScaleSheetLayoutView="100" workbookViewId="0"/>
  </sheetViews>
  <sheetFormatPr defaultColWidth="9.140625" defaultRowHeight="12.75" x14ac:dyDescent="0.2"/>
  <cols>
    <col min="1" max="1" width="1.5703125" style="87" customWidth="1"/>
    <col min="2" max="2" width="3.5703125" style="87" customWidth="1"/>
    <col min="3" max="3" width="5.5703125" style="87" customWidth="1"/>
    <col min="4" max="4" width="9.140625" style="87" customWidth="1"/>
    <col min="5" max="5" width="14" style="87" customWidth="1"/>
    <col min="6" max="6" width="7.85546875" style="87" customWidth="1"/>
    <col min="7" max="11" width="5.140625" style="87" customWidth="1"/>
    <col min="12" max="12" width="21.5703125" style="87" customWidth="1"/>
    <col min="13" max="13" width="6.5703125" style="87" customWidth="1"/>
    <col min="14" max="14" width="12.5703125" style="87" customWidth="1"/>
    <col min="15" max="15" width="7.85546875" style="87" customWidth="1"/>
    <col min="16" max="16" width="2.7109375" style="87" customWidth="1"/>
    <col min="17" max="17" width="4.85546875" style="87" customWidth="1"/>
    <col min="18" max="18" width="7.28515625" style="87" customWidth="1"/>
    <col min="19" max="19" width="1.7109375" style="87" customWidth="1"/>
    <col min="20" max="20" width="19.140625" style="88" hidden="1" customWidth="1"/>
    <col min="21" max="21" width="31.140625" style="88" hidden="1" customWidth="1"/>
    <col min="22" max="22" width="5.140625" style="88" hidden="1" customWidth="1"/>
    <col min="23" max="24" width="6.28515625" style="88" hidden="1" customWidth="1"/>
    <col min="25" max="25" width="8.42578125" style="88" hidden="1" customWidth="1"/>
    <col min="26" max="26" width="7.85546875" style="88" hidden="1" customWidth="1"/>
    <col min="27" max="27" width="10.7109375" style="88" hidden="1" customWidth="1"/>
    <col min="28" max="28" width="8" style="88" hidden="1" customWidth="1"/>
    <col min="29" max="31" width="5.140625" style="88" hidden="1" customWidth="1"/>
    <col min="32" max="34" width="5.85546875" style="88" hidden="1" customWidth="1"/>
    <col min="35" max="35" width="8.5703125" style="89" hidden="1" customWidth="1"/>
    <col min="36" max="36" width="7" style="88" hidden="1" customWidth="1"/>
    <col min="37" max="38" width="5.28515625" style="88" hidden="1" customWidth="1"/>
    <col min="39" max="40" width="7" style="88" hidden="1" customWidth="1"/>
    <col min="41" max="41" width="5.140625" style="88" hidden="1" customWidth="1"/>
    <col min="42" max="42" width="11.28515625" style="88" hidden="1" customWidth="1"/>
    <col min="43" max="43" width="6.42578125" style="88" hidden="1" customWidth="1"/>
    <col min="44" max="44" width="8.28515625" style="88" hidden="1" customWidth="1"/>
    <col min="45" max="45" width="8.85546875" style="88" hidden="1" customWidth="1"/>
    <col min="46" max="46" width="10.7109375" style="88" hidden="1" customWidth="1"/>
    <col min="47" max="47" width="8.85546875" style="88" hidden="1" customWidth="1"/>
    <col min="48" max="48" width="6.28515625" style="88" hidden="1" customWidth="1"/>
    <col min="49" max="49" width="10" style="88" hidden="1" customWidth="1"/>
    <col min="50" max="50" width="7.5703125" style="88" hidden="1" customWidth="1"/>
    <col min="51" max="51" width="7" style="88" hidden="1" customWidth="1"/>
    <col min="52" max="52" width="8.140625" style="88" hidden="1" customWidth="1"/>
    <col min="53" max="53" width="12.5703125" style="88" hidden="1" customWidth="1"/>
    <col min="54" max="54" width="7.7109375" style="88" hidden="1" customWidth="1"/>
    <col min="55" max="55" width="12.7109375" style="88" hidden="1" customWidth="1"/>
    <col min="56" max="56" width="7" style="88" hidden="1" customWidth="1"/>
    <col min="57" max="57" width="15.5703125" style="88" hidden="1" customWidth="1"/>
    <col min="58" max="58" width="9.140625" style="88" hidden="1" customWidth="1"/>
    <col min="59" max="59" width="10" style="88" hidden="1" customWidth="1"/>
    <col min="60" max="60" width="5.28515625" style="88" hidden="1" customWidth="1"/>
    <col min="61" max="61" width="4" style="88" hidden="1" customWidth="1"/>
    <col min="62" max="62" width="4.7109375" style="88" hidden="1" customWidth="1"/>
    <col min="63" max="63" width="5.5703125" style="88" hidden="1" customWidth="1"/>
    <col min="64" max="64" width="5.28515625" style="88" hidden="1" customWidth="1"/>
    <col min="65" max="65" width="4" style="88" hidden="1" customWidth="1"/>
    <col min="66" max="66" width="5.5703125" style="88" hidden="1" customWidth="1"/>
    <col min="67" max="67" width="5.140625" style="90" customWidth="1"/>
    <col min="68" max="73" width="5.140625" style="87" customWidth="1"/>
    <col min="74" max="16384" width="9.140625" style="87"/>
  </cols>
  <sheetData>
    <row r="1" spans="2:73" s="84" customFormat="1" ht="12" hidden="1" x14ac:dyDescent="0.2">
      <c r="T1" s="85"/>
      <c r="U1" s="85"/>
      <c r="V1" s="85"/>
      <c r="W1" s="85"/>
      <c r="X1" s="85"/>
      <c r="Y1" s="85"/>
      <c r="Z1" s="85"/>
      <c r="AA1" s="85"/>
      <c r="AB1" s="85"/>
      <c r="AC1" s="85"/>
      <c r="AD1" s="85"/>
      <c r="AE1" s="85"/>
      <c r="AF1" s="85"/>
      <c r="AG1" s="85"/>
      <c r="AH1" s="85"/>
      <c r="AI1" s="86"/>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row>
    <row r="2" spans="2:73" ht="13.5" thickBot="1" x14ac:dyDescent="0.25"/>
    <row r="3" spans="2:73" ht="13.5" customHeight="1" thickTop="1" x14ac:dyDescent="0.2">
      <c r="B3" s="967" t="s">
        <v>267</v>
      </c>
      <c r="C3" s="968"/>
      <c r="D3" s="968"/>
      <c r="E3" s="968"/>
      <c r="F3" s="968"/>
      <c r="G3" s="969"/>
      <c r="H3" s="970" t="s">
        <v>624</v>
      </c>
      <c r="I3" s="971"/>
      <c r="J3" s="971"/>
      <c r="K3" s="971"/>
      <c r="L3" s="971"/>
      <c r="M3" s="971"/>
      <c r="N3" s="972"/>
      <c r="O3" s="973" t="s">
        <v>269</v>
      </c>
      <c r="P3" s="974"/>
      <c r="Q3" s="973" t="s">
        <v>270</v>
      </c>
      <c r="R3" s="975"/>
      <c r="S3" s="91"/>
      <c r="T3" s="92"/>
      <c r="U3" s="92"/>
      <c r="V3" s="92"/>
      <c r="W3" s="92"/>
      <c r="X3" s="92"/>
      <c r="Y3" s="92"/>
      <c r="Z3" s="92"/>
      <c r="AA3" s="92"/>
      <c r="AB3" s="92"/>
      <c r="AC3" s="92"/>
      <c r="AD3" s="92"/>
      <c r="AE3" s="92"/>
      <c r="AF3" s="92"/>
      <c r="AG3" s="92"/>
      <c r="AH3" s="92"/>
      <c r="AI3" s="93"/>
      <c r="AJ3" s="92"/>
      <c r="AK3" s="92"/>
      <c r="AL3" s="92"/>
      <c r="AM3" s="92"/>
      <c r="AN3" s="92"/>
      <c r="AO3" s="92"/>
      <c r="AP3" s="92"/>
      <c r="AQ3" s="85"/>
      <c r="AR3" s="85"/>
      <c r="AW3" s="88" t="s">
        <v>271</v>
      </c>
      <c r="AX3" s="88" t="s">
        <v>272</v>
      </c>
      <c r="AY3" s="88" t="s">
        <v>273</v>
      </c>
      <c r="AZ3" s="88" t="s">
        <v>274</v>
      </c>
      <c r="BA3" s="88" t="s">
        <v>275</v>
      </c>
      <c r="BB3" s="88" t="s">
        <v>276</v>
      </c>
      <c r="BP3" s="976" t="s">
        <v>845</v>
      </c>
      <c r="BQ3" s="976"/>
      <c r="BR3" s="976"/>
      <c r="BS3" s="976"/>
      <c r="BT3" s="976"/>
      <c r="BU3" s="976"/>
    </row>
    <row r="4" spans="2:73" s="94" customFormat="1" ht="15.75" customHeight="1" x14ac:dyDescent="0.2">
      <c r="B4" s="994" t="s">
        <v>277</v>
      </c>
      <c r="C4" s="995"/>
      <c r="D4" s="995"/>
      <c r="E4" s="995"/>
      <c r="F4" s="995"/>
      <c r="G4" s="996"/>
      <c r="H4" s="937" t="s">
        <v>753</v>
      </c>
      <c r="I4" s="938"/>
      <c r="J4" s="938"/>
      <c r="K4" s="938"/>
      <c r="L4" s="938"/>
      <c r="M4" s="938"/>
      <c r="N4" s="939"/>
      <c r="O4" s="940" t="s">
        <v>1029</v>
      </c>
      <c r="P4" s="941"/>
      <c r="Q4" s="942">
        <v>46113</v>
      </c>
      <c r="R4" s="943"/>
      <c r="S4" s="95"/>
      <c r="T4" s="96"/>
      <c r="U4" s="96"/>
      <c r="V4" s="96"/>
      <c r="W4" s="96"/>
      <c r="X4" s="96"/>
      <c r="Y4" s="96"/>
      <c r="Z4" s="96"/>
      <c r="AA4" s="96"/>
      <c r="AB4" s="96"/>
      <c r="AC4" s="96"/>
      <c r="AD4" s="96"/>
      <c r="AE4" s="96"/>
      <c r="AF4" s="96"/>
      <c r="AG4" s="96"/>
      <c r="AH4" s="96"/>
      <c r="AI4" s="97"/>
      <c r="AJ4" s="96"/>
      <c r="AK4" s="96"/>
      <c r="AL4" s="96"/>
      <c r="AM4" s="96"/>
      <c r="AN4" s="96"/>
      <c r="AO4" s="96"/>
      <c r="AP4" s="96"/>
      <c r="AQ4" s="98"/>
      <c r="AR4" s="98"/>
      <c r="AS4" s="99"/>
      <c r="AT4" s="100" t="s">
        <v>278</v>
      </c>
      <c r="AU4" s="101" t="b">
        <v>1</v>
      </c>
      <c r="AV4" s="99">
        <v>0</v>
      </c>
      <c r="AW4" s="99" t="b">
        <f>IF(ISERR(OR(AW8:AW39)),"UNK",IF(AND(graded_aca_events&gt;=1,input_test),FALSE,OR(AW8:AW39)))</f>
        <v>0</v>
      </c>
      <c r="AX4" s="99" t="b">
        <f>IF(ISERR(OR(AX8:AX39)),"UNK",IF(AND(graded_aca_events&gt;=1,input_test),FALSE,OR(AX8:AX39)))</f>
        <v>0</v>
      </c>
      <c r="AY4" s="99" t="b">
        <f>IF(ISERR(OR(AY8:AY39)),"UNK",OR(AY8:AY39))</f>
        <v>0</v>
      </c>
      <c r="AZ4" s="99" t="b">
        <f>IF(ISERR(OR(AZ8:AZ39)),"UNK",OR(AZ8:AZ39))</f>
        <v>0</v>
      </c>
      <c r="BA4" s="99" t="b">
        <f>IF(ISERR(OR(BA8:BA39)),"UNK",OR(BA8:BA39))</f>
        <v>0</v>
      </c>
      <c r="BB4" s="99" t="b">
        <f>IF(ISERR(OR(BB8:BB39)),"UNK",OR(BB8:BB39))</f>
        <v>0</v>
      </c>
      <c r="BC4" s="102" t="b">
        <f>OR(BC8:BC39)</f>
        <v>0</v>
      </c>
      <c r="BD4" s="102" t="b">
        <f>OR(BD8:BD39)</f>
        <v>0</v>
      </c>
      <c r="BE4" s="102" t="b">
        <f>OR(BE8:BE39)</f>
        <v>0</v>
      </c>
      <c r="BF4" s="102"/>
      <c r="BG4" s="99"/>
      <c r="BH4" s="944" t="s">
        <v>279</v>
      </c>
      <c r="BI4" s="944"/>
      <c r="BJ4" s="944"/>
      <c r="BK4" s="944"/>
      <c r="BL4" s="977" t="s">
        <v>280</v>
      </c>
      <c r="BM4" s="977"/>
      <c r="BN4" s="977"/>
      <c r="BO4" s="90"/>
      <c r="BP4" s="976"/>
      <c r="BQ4" s="976"/>
      <c r="BR4" s="976"/>
      <c r="BS4" s="976"/>
      <c r="BT4" s="976"/>
      <c r="BU4" s="976"/>
    </row>
    <row r="5" spans="2:73" s="91" customFormat="1" ht="7.5" customHeight="1" x14ac:dyDescent="0.25">
      <c r="B5" s="978" t="s">
        <v>281</v>
      </c>
      <c r="C5" s="979"/>
      <c r="D5" s="979"/>
      <c r="E5" s="980"/>
      <c r="F5" s="981" t="s">
        <v>282</v>
      </c>
      <c r="G5" s="980"/>
      <c r="H5" s="981" t="s">
        <v>283</v>
      </c>
      <c r="I5" s="979"/>
      <c r="J5" s="979"/>
      <c r="K5" s="979"/>
      <c r="L5" s="980"/>
      <c r="M5" s="982" t="s">
        <v>284</v>
      </c>
      <c r="N5" s="983"/>
      <c r="O5" s="984" t="s">
        <v>285</v>
      </c>
      <c r="P5" s="985"/>
      <c r="Q5" s="981" t="str">
        <f>IF(AU41=0,"GRADE","GRADE (inc. bonus)")</f>
        <v>GRADE</v>
      </c>
      <c r="R5" s="986"/>
      <c r="T5" s="92"/>
      <c r="U5" s="92"/>
      <c r="V5" s="92"/>
      <c r="W5" s="92"/>
      <c r="X5" s="92"/>
      <c r="Y5" s="92"/>
      <c r="Z5" s="92"/>
      <c r="AA5" s="92"/>
      <c r="AB5" s="92"/>
      <c r="AC5" s="92"/>
      <c r="AD5" s="92"/>
      <c r="AE5" s="92"/>
      <c r="AF5" s="92"/>
      <c r="AG5" s="92"/>
      <c r="AH5" s="92"/>
      <c r="AI5" s="93"/>
      <c r="AJ5" s="92"/>
      <c r="AK5" s="92"/>
      <c r="AL5" s="92"/>
      <c r="AM5" s="92"/>
      <c r="AN5" s="92"/>
      <c r="AO5" s="92"/>
      <c r="AP5" s="92"/>
      <c r="AQ5" s="92"/>
      <c r="AR5" s="92"/>
      <c r="AS5" s="92"/>
      <c r="AT5" s="92"/>
      <c r="AU5" s="92"/>
      <c r="AV5" s="92"/>
      <c r="AW5" s="92"/>
      <c r="AX5" s="92"/>
      <c r="AY5" s="92"/>
      <c r="AZ5" s="92"/>
      <c r="BA5" s="92"/>
      <c r="BB5" s="92"/>
      <c r="BC5" s="92"/>
      <c r="BD5" s="92"/>
      <c r="BE5" s="92"/>
      <c r="BF5" s="92"/>
      <c r="BG5" s="92"/>
      <c r="BH5" s="944"/>
      <c r="BI5" s="944"/>
      <c r="BJ5" s="944"/>
      <c r="BK5" s="944"/>
      <c r="BL5" s="977"/>
      <c r="BM5" s="977"/>
      <c r="BN5" s="977"/>
      <c r="BO5" s="103"/>
    </row>
    <row r="6" spans="2:73" s="94" customFormat="1" ht="15.75" customHeight="1" thickBot="1" x14ac:dyDescent="0.25">
      <c r="B6" s="987" t="s">
        <v>1026</v>
      </c>
      <c r="C6" s="988"/>
      <c r="D6" s="988"/>
      <c r="E6" s="989"/>
      <c r="F6" s="990" t="s">
        <v>457</v>
      </c>
      <c r="G6" s="991"/>
      <c r="H6" s="992" t="s">
        <v>1035</v>
      </c>
      <c r="I6" s="993"/>
      <c r="J6" s="993"/>
      <c r="K6" s="993"/>
      <c r="L6" s="991"/>
      <c r="M6" s="945" t="s">
        <v>1036</v>
      </c>
      <c r="N6" s="946"/>
      <c r="O6" s="947">
        <v>2.1</v>
      </c>
      <c r="P6" s="948"/>
      <c r="Q6" s="949">
        <f>IF((graded_aca_events+graded_amn_events)&lt;1,"0",IF(ISERROR(AR46),"",IF(F41&lt;&gt;"COMPLETE","INCOMPLETE",AR46)))</f>
        <v>0.95300000000000007</v>
      </c>
      <c r="R6" s="950"/>
      <c r="S6" s="87"/>
      <c r="T6" s="99"/>
      <c r="U6" s="99">
        <v>2</v>
      </c>
      <c r="V6" s="99">
        <v>3</v>
      </c>
      <c r="W6" s="99">
        <v>6</v>
      </c>
      <c r="X6" s="99">
        <v>7</v>
      </c>
      <c r="Y6" s="99">
        <v>11</v>
      </c>
      <c r="Z6" s="99">
        <v>8</v>
      </c>
      <c r="AA6" s="99">
        <v>9</v>
      </c>
      <c r="AB6" s="99">
        <v>10</v>
      </c>
      <c r="AC6" s="99">
        <v>5</v>
      </c>
      <c r="AD6" s="99">
        <v>4</v>
      </c>
      <c r="AE6" s="99">
        <v>12</v>
      </c>
      <c r="AF6" s="99">
        <v>13</v>
      </c>
      <c r="AG6" s="99"/>
      <c r="AH6" s="99"/>
      <c r="AI6" s="104"/>
      <c r="AJ6" s="105"/>
      <c r="AK6" s="105"/>
      <c r="AL6" s="105"/>
      <c r="AM6" s="105" t="b">
        <f>IF(COUNT(AM8:AM39)&gt;0,TRUE,FALSE)</f>
        <v>1</v>
      </c>
      <c r="AN6" s="105" t="b">
        <f>IF(COUNT(AN8:AN39)&gt;0,TRUE,FALSE)</f>
        <v>1</v>
      </c>
      <c r="AO6" s="99"/>
      <c r="AP6" s="99"/>
      <c r="AQ6" s="98"/>
      <c r="AR6" s="98"/>
      <c r="AS6" s="99"/>
      <c r="AT6" s="106">
        <v>0.1</v>
      </c>
      <c r="AU6" s="99"/>
      <c r="AV6" s="107">
        <f>0.01*input_maxb</f>
        <v>0</v>
      </c>
      <c r="AW6" s="108" t="s">
        <v>287</v>
      </c>
      <c r="AX6" s="109"/>
      <c r="AY6" s="108" t="s">
        <v>288</v>
      </c>
      <c r="AZ6" s="109"/>
      <c r="BA6" s="110" t="s">
        <v>289</v>
      </c>
      <c r="BB6" s="110"/>
      <c r="BC6" s="108" t="s">
        <v>290</v>
      </c>
      <c r="BD6" s="110"/>
      <c r="BE6" s="111"/>
      <c r="BF6" s="112"/>
      <c r="BG6" s="99" t="s">
        <v>291</v>
      </c>
      <c r="BH6" s="944"/>
      <c r="BI6" s="944"/>
      <c r="BJ6" s="944"/>
      <c r="BK6" s="944"/>
      <c r="BL6" s="977"/>
      <c r="BM6" s="977"/>
      <c r="BN6" s="977"/>
      <c r="BO6" s="90"/>
    </row>
    <row r="7" spans="2:73" ht="27" customHeight="1" thickBot="1" x14ac:dyDescent="0.25">
      <c r="B7" s="951" t="s">
        <v>292</v>
      </c>
      <c r="C7" s="952"/>
      <c r="D7" s="952"/>
      <c r="E7" s="952"/>
      <c r="F7" s="953"/>
      <c r="G7" s="113" t="s">
        <v>293</v>
      </c>
      <c r="H7" s="114" t="s">
        <v>294</v>
      </c>
      <c r="I7" s="115" t="s">
        <v>295</v>
      </c>
      <c r="J7" s="116" t="s">
        <v>296</v>
      </c>
      <c r="K7" s="117" t="s">
        <v>297</v>
      </c>
      <c r="L7" s="954" t="s">
        <v>298</v>
      </c>
      <c r="M7" s="952"/>
      <c r="N7" s="952"/>
      <c r="O7" s="952"/>
      <c r="P7" s="952"/>
      <c r="Q7" s="952"/>
      <c r="R7" s="955"/>
      <c r="T7" s="118" t="s">
        <v>299</v>
      </c>
      <c r="U7" s="118"/>
      <c r="V7" s="118" t="s">
        <v>300</v>
      </c>
      <c r="W7" s="118" t="s">
        <v>301</v>
      </c>
      <c r="X7" s="118" t="s">
        <v>302</v>
      </c>
      <c r="Y7" s="118" t="s">
        <v>303</v>
      </c>
      <c r="Z7" s="118" t="s">
        <v>304</v>
      </c>
      <c r="AA7" s="118" t="s">
        <v>305</v>
      </c>
      <c r="AB7" s="118" t="s">
        <v>306</v>
      </c>
      <c r="AC7" s="118" t="s">
        <v>307</v>
      </c>
      <c r="AD7" s="118" t="s">
        <v>308</v>
      </c>
      <c r="AE7" s="118" t="s">
        <v>309</v>
      </c>
      <c r="AF7" s="118" t="s">
        <v>310</v>
      </c>
      <c r="AG7" s="118" t="s">
        <v>311</v>
      </c>
      <c r="AH7" s="118" t="s">
        <v>312</v>
      </c>
      <c r="AI7" s="119" t="s">
        <v>313</v>
      </c>
      <c r="AJ7" s="120" t="s">
        <v>314</v>
      </c>
      <c r="AK7" s="121" t="s">
        <v>315</v>
      </c>
      <c r="AL7" s="121" t="s">
        <v>316</v>
      </c>
      <c r="AM7" s="121" t="s">
        <v>317</v>
      </c>
      <c r="AN7" s="121" t="s">
        <v>318</v>
      </c>
      <c r="AO7" s="120" t="s">
        <v>319</v>
      </c>
      <c r="AP7" s="120" t="s">
        <v>320</v>
      </c>
      <c r="AQ7" s="122" t="s">
        <v>321</v>
      </c>
      <c r="AR7" s="123" t="s">
        <v>1</v>
      </c>
      <c r="AS7" s="122" t="s">
        <v>322</v>
      </c>
      <c r="AT7" s="123" t="s">
        <v>1</v>
      </c>
      <c r="AU7" s="122" t="s">
        <v>323</v>
      </c>
      <c r="AV7" s="124" t="s">
        <v>324</v>
      </c>
      <c r="AW7" s="125" t="s">
        <v>325</v>
      </c>
      <c r="AX7" s="126" t="s">
        <v>326</v>
      </c>
      <c r="AY7" s="125" t="s">
        <v>327</v>
      </c>
      <c r="AZ7" s="126" t="s">
        <v>328</v>
      </c>
      <c r="BA7" s="127" t="s">
        <v>329</v>
      </c>
      <c r="BB7" s="127" t="s">
        <v>330</v>
      </c>
      <c r="BC7" s="128" t="s">
        <v>331</v>
      </c>
      <c r="BD7" s="129" t="s">
        <v>332</v>
      </c>
      <c r="BE7" s="130" t="s">
        <v>333</v>
      </c>
      <c r="BF7" s="131" t="s">
        <v>334</v>
      </c>
      <c r="BH7" s="88" t="s">
        <v>335</v>
      </c>
      <c r="BI7" s="88" t="s">
        <v>336</v>
      </c>
      <c r="BJ7" s="118" t="s">
        <v>337</v>
      </c>
      <c r="BK7" s="88" t="s">
        <v>338</v>
      </c>
      <c r="BL7" s="88" t="s">
        <v>335</v>
      </c>
      <c r="BM7" s="88" t="s">
        <v>336</v>
      </c>
      <c r="BN7" s="88" t="s">
        <v>338</v>
      </c>
    </row>
    <row r="8" spans="2:73" ht="12.95" customHeight="1" x14ac:dyDescent="0.2">
      <c r="B8" s="132" t="str">
        <f>IF(ISNA(Z8),"",IF(OR(Z8=1,Z8=2),"",1))</f>
        <v/>
      </c>
      <c r="C8" s="956" t="str">
        <f t="shared" ref="C8:C36" si="0">IF(ISNA(Z8),"",CONCATENATE($U8,IF(ISNUMBER(AI8),TEXT(ROUND($AI8,3)," (0.0%)"),""),IF(AU8&gt;0," Bonus","")))</f>
        <v>Airmanship Tasks (10.0%)</v>
      </c>
      <c r="D8" s="956"/>
      <c r="E8" s="956"/>
      <c r="F8" s="957"/>
      <c r="G8" s="133" t="str">
        <f t="shared" ref="G8:G39" si="1">BH8</f>
        <v/>
      </c>
      <c r="H8" s="134" t="str">
        <f t="shared" ref="H8:I39" si="2">BJ8</f>
        <v/>
      </c>
      <c r="I8" s="135" t="str">
        <f t="shared" si="2"/>
        <v/>
      </c>
      <c r="J8" s="136" t="s">
        <v>340</v>
      </c>
      <c r="K8" s="137" t="s">
        <v>340</v>
      </c>
      <c r="L8" s="958" t="s">
        <v>1037</v>
      </c>
      <c r="M8" s="959"/>
      <c r="N8" s="959"/>
      <c r="O8" s="959"/>
      <c r="P8" s="959"/>
      <c r="Q8" s="959"/>
      <c r="R8" s="960"/>
      <c r="T8" s="88">
        <v>1</v>
      </c>
      <c r="U8" s="88" t="s">
        <v>339</v>
      </c>
      <c r="V8" s="453" t="s">
        <v>340</v>
      </c>
      <c r="W8" s="453" t="s">
        <v>340</v>
      </c>
      <c r="X8" s="453" t="s">
        <v>340</v>
      </c>
      <c r="Y8" s="453" t="s">
        <v>340</v>
      </c>
      <c r="Z8" s="453">
        <v>1</v>
      </c>
      <c r="AA8" s="453">
        <v>0</v>
      </c>
      <c r="AB8" s="453">
        <v>0</v>
      </c>
      <c r="AC8" s="453" t="s">
        <v>340</v>
      </c>
      <c r="AD8" s="453" t="s">
        <v>340</v>
      </c>
      <c r="AE8" s="453">
        <v>0</v>
      </c>
      <c r="AF8" s="453" t="s">
        <v>340</v>
      </c>
      <c r="AG8" s="453" t="str">
        <f t="shared" ref="AG8:AG39" si="3">IF(CrewSoloQual="Yes",$AC8,$AD8)</f>
        <v/>
      </c>
      <c r="AH8" s="453" t="str">
        <f t="shared" ref="AH8:AH39" si="4">IF(ISNUMBER(AC8),IF(CrewSoloQual="Yes",$AC8-1,$AD8-1),"")</f>
        <v/>
      </c>
      <c r="AI8" s="138">
        <f>IF(NOT(OR(Z8=1,Z8=2)),IF(AQ8&gt;0,$AR$44*AQ8/SUMIF($AQ$8:$AQ$39,"&gt;0"),IF(AU8&gt;0,$AV$44*AU8/SUMIF($AU$8:$AU$39,"&gt;0"),IF(AS8&gt;0,$AT$44*AS8/SUMIF($AS$8:$AS$39,"&gt;0"),""))),IF(SUMIF(AJ9:$AJ$39,"=" &amp; AJ8,AI9:$AI$39)=0,"",SUMIF(AJ9:$AJ$39,"=" &amp; AJ8,AI9:$AI$39)))</f>
        <v>0.1</v>
      </c>
      <c r="AJ8" s="139">
        <f>0</f>
        <v>0</v>
      </c>
      <c r="AK8" s="453" t="str">
        <f>BI8</f>
        <v/>
      </c>
      <c r="AL8" s="453" t="str">
        <f>IF(ISBLANK(K8),"",K8)</f>
        <v/>
      </c>
      <c r="AM8" s="453" t="str">
        <f>IF(ISNUMBER(AK8),IF(ISNUMBER(AL8),1,""),"")</f>
        <v/>
      </c>
      <c r="AN8" s="453" t="str">
        <f t="shared" ref="AN8:AN36" si="5">IF(ISNUMBER(AH8),IF(AND(AB8=0,ISNUMBER(AC8),ISNUMBER(AL8)),1,""),"")</f>
        <v/>
      </c>
      <c r="AO8" s="453" t="str">
        <f t="shared" ref="AO8:AO39" si="6">IF(AB8=0,IF(CrewSoloQual="No",BI8,BK8),"")</f>
        <v/>
      </c>
      <c r="AP8" s="453" t="str">
        <f t="shared" ref="AP8:AP39" si="7">IF(ISNA(Z8),"",IF(AND(ISNUMBER(B8),G8&gt;=1,H8&lt;&gt;"NG"),IF(K8&lt;BK8,TRUE,FALSE),IF(AND(G8&gt;=1,J8="NA"),TRUE,IF(AND(AM8=1,G8=0,AL8&lt;BI8),TRUE,""))))</f>
        <v/>
      </c>
      <c r="AQ8" s="140">
        <f>IF(ISNA(Z8),0,IF(OR(J8="NA",W8="",AB8=0),0,W8))</f>
        <v>0</v>
      </c>
      <c r="AR8" s="141" t="str">
        <f t="shared" ref="AR8:AR39" si="8">IF(ISNA(Z8),"",IF(AND(NOT(OR(Z8=1,Z8=2,AK8="NG",AB8=0)),IF(ISNUMBER(AL8),AL8&gt;=0,FALSE)),VLOOKUP((10*AD8+AC8),$AQ$50:$AV$58,2+AL8,FALSE),IF(AND(input_test=TRUE,ISNUMBER(AD8),V8&lt;&gt;0),VLOOKUP((10*AD8+AC8),$AQ$50:$AV$58,2,FALSE),"")))</f>
        <v/>
      </c>
      <c r="AS8" s="142">
        <f>IF(ISNA(Z8),0,IF(OR(J8="NA",X8="",AB8=1),0,X8))</f>
        <v>0</v>
      </c>
      <c r="AT8" s="141" t="str">
        <f t="shared" ref="AT8:AT39" si="9">IF(ISNA(Z8),"",IF(AND(NOT(OR(Z8=1,Z8=2,AK8="NG",AB8=1)),IF(ISNUMBER(AL8),AL8&gt;=0,FALSE)),VLOOKUP((10*AH8+AG8),$AQ$50:$AV$58,2+AL8,FALSE),IF(AND(input_test=TRUE,ISNUMBER(AD8),V8&lt;&gt;0),VLOOKUP((10*AH8+AG8),$AQ$50:$AV$58,2,FALSE),"")))</f>
        <v/>
      </c>
      <c r="AU8" s="143">
        <f t="shared" ref="AU8:AU39" si="10">IF(ISNA(Z8),0,IF(OR(J8="NA",Y8=""),0,Y8))</f>
        <v>0</v>
      </c>
      <c r="AV8" s="144" t="str">
        <f t="shared" ref="AV8:AV39" si="11">AR8</f>
        <v/>
      </c>
      <c r="AW8" s="143" t="b">
        <f t="shared" ref="AW8:AW39" si="12">IF(ISNA(Z8),FALSE,IF(OR(AB8=1,G8=0,Z8=1,Z8=2),FALSE,IF(OR(J8="NA",J8&gt;=G8),FALSE,TRUE)))</f>
        <v>0</v>
      </c>
      <c r="AX8" s="145" t="b">
        <f t="shared" ref="AX8:AX39" si="13">IF(ISNA(Z8),FALSE,IF(OR(AB8=0,G8=0,Z8=1,Z8=2,J8="NA"),FALSE,IF(AK8="NG",IF(NOT(ISBLANK(K8)),FALSE,TRUE),IF(J8&gt;=G8,FALSE,TRUE))))</f>
        <v>0</v>
      </c>
      <c r="AY8" s="143" t="b">
        <f t="shared" ref="AY8:AY39" si="14">IF(ISNA(Z8),FALSE,IF(OR(AB8=1,G8&lt;1,Z8=1,Z8=2,AE8=0,ISBLANK(K8)),FALSE,IF(OR(J8="NA",K8&gt;=BI8),FALSE,TRUE)))</f>
        <v>0</v>
      </c>
      <c r="AZ8" s="145" t="b">
        <f t="shared" ref="AZ8:AZ39" si="15">IF(ISNA(Z8),FALSE,IF(OR(AB8=0,G8=0,Z8=1,Z8=2,AE8=0,BI8="NG",K8="",ISBLANK(K8)),FALSE,IF(OR(J8="NA",K8&gt;=AK8),FALSE,TRUE)))</f>
        <v>0</v>
      </c>
      <c r="BA8" s="453" t="b">
        <f t="shared" ref="BA8:BA39" si="16">IF(ISNA(Z8),FALSE,IF(OR(AB8=1,G8&lt;1,Z8=1,Z8=2,AE8=0),FALSE,IF(J8="NA",TRUE,FALSE)))</f>
        <v>0</v>
      </c>
      <c r="BB8" s="453" t="b">
        <f t="shared" ref="BB8:BB39" si="17">IF(ISNA(Z8),FALSE,IF(OR(AB8=0,G8=0,Z8=1,Z8=2),FALSE,IF(J8="NA",TRUE,FALSE)))</f>
        <v>0</v>
      </c>
      <c r="BC8" s="143" t="b">
        <f t="shared" ref="BC8:BC39" si="18">IF(OR(ISNA($Z8),ISNUMBER($Z8),NOT(ISNUMBER($J8)),K8="D"),FALSE,IF(AND(NOT(ISNUMBER($K8)),J8&gt;0),TRUE,FALSE))</f>
        <v>0</v>
      </c>
      <c r="BD8" s="146" t="b">
        <f>IF(OR(ISNA($Z8),ISNUMBER($Z8),NOT(ISNUMBER(K8))),FALSE,OR(NOT(ISNUMBER(J8)),J8=0,AND(J8=0,K8&lt;&gt;0)))</f>
        <v>0</v>
      </c>
      <c r="BE8" s="145" t="b">
        <f t="shared" ref="BE8:BE21" si="19">IF(OR(ISNA($Z8),K8&lt;&gt;"D"),FALSE,IF(OR(AND(H8="NG",J8=0),AND(H8&lt;&gt;"NG",NOT(OR(J8="NA",J8=0)))),TRUE,FALSE))</f>
        <v>0</v>
      </c>
      <c r="BF8" s="147" t="b">
        <f t="shared" ref="BF8:BF30" si="20">IF(OR(ISNA($Z8),H8&lt;&gt;"NG"),FALSE,IF(AND(J8="NA",K8&lt;&gt;""),TRUE,FALSE))</f>
        <v>0</v>
      </c>
      <c r="BG8" s="453" t="b">
        <f t="shared" ref="BG8:BG21" si="21">IF(ISNA($Z8),"NA",IF(OR(AZ8,AY8,AX8,AW8,AP8,BA8,BB8),TRUE,FALSE))</f>
        <v>0</v>
      </c>
      <c r="BH8" s="148" t="str">
        <f>IF(ISNA($Z8),"",IF(OR($Z8=1,$Z8=2),"",$V8))</f>
        <v/>
      </c>
      <c r="BI8" s="453" t="str">
        <f t="shared" ref="BI8:BI39" si="22">IF(ISNA($Z8),"",IF(OR($Z8=1,$Z8=2,$G8=""),"",IF(AB8=0,AH8,$AD8)))</f>
        <v/>
      </c>
      <c r="BJ8" s="453" t="str">
        <f t="shared" ref="BJ8:BJ39" si="23">IF(ISNA(AE8),"",IF(OR(Z8=1,Z8=2),"",IF(OR(AE8=0,AD8="NG"),TEXT(BI8,"0"),CONCATENATE(TEXT(BI8,"0"),"*"))))</f>
        <v/>
      </c>
      <c r="BK8" s="453" t="str">
        <f t="shared" ref="BK8:BK39" si="24">IF(ISNA($Z8),"",IF(OR($Z8=1,$Z8=2,$G8=""),"",IF(AB8=0,AG8,$AC8)))</f>
        <v/>
      </c>
      <c r="BL8" s="148" t="str">
        <f>IF(ISBLANK(BH8),"",IF(BH8=0,"",BH8))</f>
        <v/>
      </c>
      <c r="BM8" s="453" t="str">
        <f t="shared" ref="BM8:BM39" si="25">IF($BH8=0,"",IF($BI8="NG","D",$BI8))</f>
        <v/>
      </c>
      <c r="BN8" s="453" t="str">
        <f t="shared" ref="BN8:BN39" si="26">IF(ISNA(U8),"",IF($BH8=0,"",IF($BI8="NG","D",BK8)))</f>
        <v/>
      </c>
      <c r="BO8" s="149" t="s">
        <v>341</v>
      </c>
      <c r="BP8" s="150"/>
    </row>
    <row r="9" spans="2:73" s="94" customFormat="1" ht="12.95" customHeight="1" x14ac:dyDescent="0.2">
      <c r="B9" s="151">
        <f>IF(ISNA(Z9),"",IF(OR(Z9=1,Z9=2),"    ",MAX($B$8:B8)+1))</f>
        <v>1</v>
      </c>
      <c r="C9" s="904" t="str">
        <f t="shared" si="0"/>
        <v>Basic Aircraft Procedures (2.0%)</v>
      </c>
      <c r="D9" s="904"/>
      <c r="E9" s="904"/>
      <c r="F9" s="905"/>
      <c r="G9" s="133">
        <f t="shared" si="1"/>
        <v>1</v>
      </c>
      <c r="H9" s="134" t="str">
        <f t="shared" si="2"/>
        <v>1*</v>
      </c>
      <c r="I9" s="152">
        <f t="shared" si="2"/>
        <v>2</v>
      </c>
      <c r="J9" s="480">
        <v>1</v>
      </c>
      <c r="K9" s="159">
        <v>2</v>
      </c>
      <c r="L9" s="961"/>
      <c r="M9" s="962"/>
      <c r="N9" s="962"/>
      <c r="O9" s="962"/>
      <c r="P9" s="962"/>
      <c r="Q9" s="962"/>
      <c r="R9" s="963"/>
      <c r="T9" s="99">
        <v>2</v>
      </c>
      <c r="U9" s="88" t="s">
        <v>342</v>
      </c>
      <c r="V9" s="453">
        <v>1</v>
      </c>
      <c r="W9" s="453" t="s">
        <v>340</v>
      </c>
      <c r="X9" s="453">
        <v>2</v>
      </c>
      <c r="Y9" s="453" t="s">
        <v>340</v>
      </c>
      <c r="Z9" s="146" t="s">
        <v>340</v>
      </c>
      <c r="AA9" s="146">
        <v>1</v>
      </c>
      <c r="AB9" s="146">
        <v>0</v>
      </c>
      <c r="AC9" s="453">
        <v>3</v>
      </c>
      <c r="AD9" s="453">
        <v>2</v>
      </c>
      <c r="AE9" s="453">
        <v>1</v>
      </c>
      <c r="AF9" s="453" t="b">
        <v>1</v>
      </c>
      <c r="AG9" s="453">
        <f t="shared" si="3"/>
        <v>2</v>
      </c>
      <c r="AH9" s="453">
        <f t="shared" si="4"/>
        <v>1</v>
      </c>
      <c r="AI9" s="138">
        <f>IF(NOT(OR(Z9=1,Z9=2)),IF(AQ9&gt;0,$AR$44*AQ9/SUMIF($AQ$8:$AQ$39,"&gt;0"),IF(AU9&gt;0,$AV$44*AU9/SUMIF($AU$8:$AU$39,"&gt;0"),IF(AS9&gt;0,$AT$44*AS9/SUMIF($AS$8:$AS$39,"&gt;0"),""))),IF(SUMIF(AJ10:$AJ$39,"=" &amp; AJ9,AI10:$AI$39)=0,"",SUMIF(AJ10:$AJ$39,"=" &amp; AJ9,AI10:$AI$39)))</f>
        <v>0.02</v>
      </c>
      <c r="AJ9" s="139">
        <f>IF(OR(Z9=1,Z9=2,AA9&lt;AA8),AJ8+1,AJ8)</f>
        <v>0</v>
      </c>
      <c r="AK9" s="453">
        <f t="shared" ref="AK9:AK39" si="27">BI9</f>
        <v>1</v>
      </c>
      <c r="AL9" s="146">
        <f t="shared" ref="AL9:AL39" si="28">IF(ISBLANK(K9),"",K9)</f>
        <v>2</v>
      </c>
      <c r="AM9" s="146">
        <f>IF(ISNUMBER(AK9),IF(ISNUMBER(AL9),1,""),"")</f>
        <v>1</v>
      </c>
      <c r="AN9" s="146">
        <f t="shared" si="5"/>
        <v>1</v>
      </c>
      <c r="AO9" s="146">
        <f t="shared" si="6"/>
        <v>1</v>
      </c>
      <c r="AP9" s="453" t="b">
        <f>IF(ISNA(Z9),"",IF(AND(ISNUMBER(B9),G9&gt;=1,H9&lt;&gt;"NG"),IF(K9&lt;BK9,TRUE,FALSE),IF(AND(G9&gt;=1,J9="NA"),TRUE,IF(AND(AM9=1,G9=0,AL9&lt;BI9),TRUE,""))))</f>
        <v>0</v>
      </c>
      <c r="AQ9" s="140">
        <f t="shared" ref="AQ9:AQ39" si="29">IF(ISNA(Z9),0,IF(OR(J9="NA",W9="",AB9=0),0,W9))</f>
        <v>0</v>
      </c>
      <c r="AR9" s="141" t="str">
        <f>IF(ISNA(Z9),"",IF(AND(NOT(OR(Z9=1,Z9=2,AK9="NG",AB9=0)),IF(ISNUMBER(AL9),AL9&gt;=0,FALSE)),VLOOKUP((10*AD9+AC9),$AQ$50:$AV$58,2+AL9,FALSE),IF(AND(input_test=TRUE,ISNUMBER(AD9),V9&lt;&gt;0),VLOOKUP((10*AD9+AC9),$AQ$50:$AV$58,2,FALSE),"")))</f>
        <v/>
      </c>
      <c r="AS9" s="142">
        <f t="shared" ref="AS9:AS39" si="30">IF(ISNA(Z9),0,IF(OR(J9="NA",X9="",AB9=1),0,X9))</f>
        <v>2</v>
      </c>
      <c r="AT9" s="141">
        <f>IF(ISNA(Z9),"",IF(AND(NOT(OR(Z9=1,Z9=2,AK9="NG",AB9=1)),IF(ISNUMBER(AL9),AL9&gt;=0,FALSE)),VLOOKUP((10*AH9+AG9),$AQ$50:$AV$58,2+AL9,FALSE),IF(AND(input_test=TRUE,ISNUMBER(AD9),V9&lt;&gt;0),VLOOKUP((10*AH9+AG9),$AQ$50:$AV$58,2,FALSE),"")))</f>
        <v>0.9</v>
      </c>
      <c r="AU9" s="143">
        <f t="shared" si="10"/>
        <v>0</v>
      </c>
      <c r="AV9" s="144" t="str">
        <f t="shared" si="11"/>
        <v/>
      </c>
      <c r="AW9" s="143" t="b">
        <f t="shared" si="12"/>
        <v>0</v>
      </c>
      <c r="AX9" s="145" t="b">
        <f t="shared" si="13"/>
        <v>0</v>
      </c>
      <c r="AY9" s="143" t="b">
        <f t="shared" si="14"/>
        <v>0</v>
      </c>
      <c r="AZ9" s="145" t="b">
        <f t="shared" si="15"/>
        <v>0</v>
      </c>
      <c r="BA9" s="453" t="b">
        <f t="shared" si="16"/>
        <v>0</v>
      </c>
      <c r="BB9" s="453" t="b">
        <f t="shared" si="17"/>
        <v>0</v>
      </c>
      <c r="BC9" s="143" t="b">
        <f t="shared" si="18"/>
        <v>0</v>
      </c>
      <c r="BD9" s="146" t="b">
        <f t="shared" ref="BD9:BD39" si="31">IF(OR(ISNA($Z9),ISNUMBER($Z9),NOT(ISNUMBER(K9))),FALSE,OR(NOT(ISNUMBER(J9)),J9=0,AND(J9=0,K9&lt;&gt;0)))</f>
        <v>0</v>
      </c>
      <c r="BE9" s="145" t="b">
        <f t="shared" si="19"/>
        <v>0</v>
      </c>
      <c r="BF9" s="147" t="b">
        <f t="shared" si="20"/>
        <v>0</v>
      </c>
      <c r="BG9" s="453" t="b">
        <f t="shared" si="21"/>
        <v>0</v>
      </c>
      <c r="BH9" s="453">
        <f t="shared" ref="BH9:BH39" si="32">IF(ISNA($Z9),"",IF(OR($Z9=1,$Z9=2),"",$V9))</f>
        <v>1</v>
      </c>
      <c r="BI9" s="453">
        <f t="shared" si="22"/>
        <v>1</v>
      </c>
      <c r="BJ9" s="453" t="str">
        <f t="shared" si="23"/>
        <v>1*</v>
      </c>
      <c r="BK9" s="453">
        <f t="shared" si="24"/>
        <v>2</v>
      </c>
      <c r="BL9" s="148">
        <f t="shared" ref="BL9:BL39" si="33">IF(ISBLANK(BH9),"",IF(BH9=0,"",BH9))</f>
        <v>1</v>
      </c>
      <c r="BM9" s="453">
        <f t="shared" si="25"/>
        <v>1</v>
      </c>
      <c r="BN9" s="453">
        <f t="shared" si="26"/>
        <v>2</v>
      </c>
      <c r="BO9" s="155" t="s">
        <v>343</v>
      </c>
      <c r="BP9" s="156" t="s">
        <v>344</v>
      </c>
    </row>
    <row r="10" spans="2:73" s="94" customFormat="1" ht="12.95" customHeight="1" x14ac:dyDescent="0.2">
      <c r="B10" s="151">
        <f>IF(ISNA(Z10),"",IF(OR(Z10=1,Z10=2),"    ",MAX($B$8:B9)+1))</f>
        <v>2</v>
      </c>
      <c r="C10" s="904" t="str">
        <f t="shared" si="0"/>
        <v>Basic Aircraft Handling (2.0%)</v>
      </c>
      <c r="D10" s="904"/>
      <c r="E10" s="904"/>
      <c r="F10" s="905"/>
      <c r="G10" s="133">
        <f t="shared" si="1"/>
        <v>1</v>
      </c>
      <c r="H10" s="134" t="str">
        <f t="shared" si="2"/>
        <v>1*</v>
      </c>
      <c r="I10" s="152">
        <f t="shared" si="2"/>
        <v>2</v>
      </c>
      <c r="J10" s="158">
        <v>1</v>
      </c>
      <c r="K10" s="159">
        <v>3</v>
      </c>
      <c r="L10" s="961"/>
      <c r="M10" s="962"/>
      <c r="N10" s="962"/>
      <c r="O10" s="962"/>
      <c r="P10" s="962"/>
      <c r="Q10" s="962"/>
      <c r="R10" s="963"/>
      <c r="T10" s="99">
        <v>3</v>
      </c>
      <c r="U10" s="88" t="s">
        <v>551</v>
      </c>
      <c r="V10" s="453">
        <v>1</v>
      </c>
      <c r="W10" s="453" t="s">
        <v>340</v>
      </c>
      <c r="X10" s="453">
        <v>2</v>
      </c>
      <c r="Y10" s="453" t="s">
        <v>340</v>
      </c>
      <c r="Z10" s="146" t="s">
        <v>340</v>
      </c>
      <c r="AA10" s="146">
        <v>1</v>
      </c>
      <c r="AB10" s="146">
        <v>0</v>
      </c>
      <c r="AC10" s="453">
        <v>3</v>
      </c>
      <c r="AD10" s="453">
        <v>2</v>
      </c>
      <c r="AE10" s="453">
        <v>1</v>
      </c>
      <c r="AF10" s="453" t="b">
        <v>1</v>
      </c>
      <c r="AG10" s="453">
        <f t="shared" si="3"/>
        <v>2</v>
      </c>
      <c r="AH10" s="453">
        <f t="shared" si="4"/>
        <v>1</v>
      </c>
      <c r="AI10" s="138">
        <f>IF(NOT(OR(Z10=1,Z10=2)),IF(AQ10&gt;0,$AR$44*AQ10/SUMIF($AQ$8:$AQ$39,"&gt;0"),IF(AU10&gt;0,$AV$44*AU10/SUMIF($AU$8:$AU$39,"&gt;0"),IF(AS10&gt;0,$AT$44*AS10/SUMIF($AS$8:$AS$39,"&gt;0"),""))),IF(SUMIF(AJ11:$AJ$39,"=" &amp; AJ10,AI11:$AI$39)=0,"",SUMIF(AJ11:$AJ$39,"=" &amp; AJ10,AI11:$AI$39)))</f>
        <v>0.02</v>
      </c>
      <c r="AJ10" s="139">
        <f t="shared" ref="AJ10:AJ39" si="34">IF(OR(Z10=1,Z10=2,AA10&lt;AA9),AJ9+1,AJ9)</f>
        <v>0</v>
      </c>
      <c r="AK10" s="453">
        <f t="shared" si="27"/>
        <v>1</v>
      </c>
      <c r="AL10" s="146">
        <f t="shared" si="28"/>
        <v>3</v>
      </c>
      <c r="AM10" s="146">
        <f t="shared" ref="AM10:AM39" si="35">IF(ISNUMBER(AK10),IF(ISNUMBER(AL10),1,""),"")</f>
        <v>1</v>
      </c>
      <c r="AN10" s="146">
        <f t="shared" si="5"/>
        <v>1</v>
      </c>
      <c r="AO10" s="146">
        <f t="shared" si="6"/>
        <v>1</v>
      </c>
      <c r="AP10" s="453" t="b">
        <f t="shared" si="7"/>
        <v>0</v>
      </c>
      <c r="AQ10" s="140">
        <f t="shared" si="29"/>
        <v>0</v>
      </c>
      <c r="AR10" s="141" t="str">
        <f t="shared" si="8"/>
        <v/>
      </c>
      <c r="AS10" s="142">
        <f t="shared" si="30"/>
        <v>2</v>
      </c>
      <c r="AT10" s="141">
        <f t="shared" si="9"/>
        <v>0.95</v>
      </c>
      <c r="AU10" s="143">
        <f t="shared" si="10"/>
        <v>0</v>
      </c>
      <c r="AV10" s="144" t="str">
        <f t="shared" si="11"/>
        <v/>
      </c>
      <c r="AW10" s="143" t="b">
        <f t="shared" si="12"/>
        <v>0</v>
      </c>
      <c r="AX10" s="145" t="b">
        <f t="shared" si="13"/>
        <v>0</v>
      </c>
      <c r="AY10" s="143" t="b">
        <f t="shared" si="14"/>
        <v>0</v>
      </c>
      <c r="AZ10" s="145" t="b">
        <f t="shared" si="15"/>
        <v>0</v>
      </c>
      <c r="BA10" s="453" t="b">
        <f t="shared" si="16"/>
        <v>0</v>
      </c>
      <c r="BB10" s="453" t="b">
        <f t="shared" si="17"/>
        <v>0</v>
      </c>
      <c r="BC10" s="143" t="b">
        <f t="shared" si="18"/>
        <v>0</v>
      </c>
      <c r="BD10" s="146" t="b">
        <f t="shared" si="31"/>
        <v>0</v>
      </c>
      <c r="BE10" s="145" t="b">
        <f t="shared" si="19"/>
        <v>0</v>
      </c>
      <c r="BF10" s="147" t="b">
        <f t="shared" si="20"/>
        <v>0</v>
      </c>
      <c r="BG10" s="453" t="b">
        <f t="shared" si="21"/>
        <v>0</v>
      </c>
      <c r="BH10" s="453">
        <f t="shared" si="32"/>
        <v>1</v>
      </c>
      <c r="BI10" s="453">
        <f t="shared" si="22"/>
        <v>1</v>
      </c>
      <c r="BJ10" s="453" t="str">
        <f t="shared" si="23"/>
        <v>1*</v>
      </c>
      <c r="BK10" s="453">
        <f t="shared" si="24"/>
        <v>2</v>
      </c>
      <c r="BL10" s="148">
        <f t="shared" si="33"/>
        <v>1</v>
      </c>
      <c r="BM10" s="453">
        <f t="shared" si="25"/>
        <v>1</v>
      </c>
      <c r="BN10" s="453">
        <f t="shared" si="26"/>
        <v>2</v>
      </c>
      <c r="BO10" s="155">
        <v>0</v>
      </c>
      <c r="BP10" s="156" t="s">
        <v>346</v>
      </c>
    </row>
    <row r="11" spans="2:73" s="94" customFormat="1" ht="12.95" customHeight="1" x14ac:dyDescent="0.2">
      <c r="B11" s="151">
        <f>IF(ISNA(Z11),"",IF(OR(Z11=1,Z11=2),"    ",MAX($B$8:B10)+1))</f>
        <v>3</v>
      </c>
      <c r="C11" s="904" t="str">
        <f t="shared" si="0"/>
        <v>Local Area Proc./Orientation/Comm (2.0%)</v>
      </c>
      <c r="D11" s="904"/>
      <c r="E11" s="904"/>
      <c r="F11" s="905"/>
      <c r="G11" s="133">
        <f t="shared" si="1"/>
        <v>1</v>
      </c>
      <c r="H11" s="134" t="str">
        <f t="shared" si="2"/>
        <v>2*</v>
      </c>
      <c r="I11" s="152">
        <f t="shared" si="2"/>
        <v>3</v>
      </c>
      <c r="J11" s="158">
        <v>1</v>
      </c>
      <c r="K11" s="159">
        <v>3</v>
      </c>
      <c r="L11" s="961"/>
      <c r="M11" s="962"/>
      <c r="N11" s="962"/>
      <c r="O11" s="962"/>
      <c r="P11" s="962"/>
      <c r="Q11" s="962"/>
      <c r="R11" s="963"/>
      <c r="T11" s="99">
        <v>4</v>
      </c>
      <c r="U11" s="88" t="s">
        <v>345</v>
      </c>
      <c r="V11" s="453">
        <v>1</v>
      </c>
      <c r="W11" s="453" t="s">
        <v>340</v>
      </c>
      <c r="X11" s="453">
        <v>2</v>
      </c>
      <c r="Y11" s="453" t="s">
        <v>340</v>
      </c>
      <c r="Z11" s="146" t="s">
        <v>340</v>
      </c>
      <c r="AA11" s="146">
        <v>1</v>
      </c>
      <c r="AB11" s="146">
        <v>0</v>
      </c>
      <c r="AC11" s="453">
        <v>3</v>
      </c>
      <c r="AD11" s="453">
        <v>3</v>
      </c>
      <c r="AE11" s="453">
        <v>1</v>
      </c>
      <c r="AF11" s="453" t="b">
        <v>1</v>
      </c>
      <c r="AG11" s="453">
        <f t="shared" si="3"/>
        <v>3</v>
      </c>
      <c r="AH11" s="453">
        <f t="shared" si="4"/>
        <v>2</v>
      </c>
      <c r="AI11" s="138">
        <f>IF(NOT(OR(Z11=1,Z11=2)),IF(AQ11&gt;0,$AR$44*AQ11/SUMIF($AQ$8:$AQ$39,"&gt;0"),IF(AU11&gt;0,$AV$44*AU11/SUMIF($AU$8:$AU$39,"&gt;0"),IF(AS11&gt;0,$AT$44*AS11/SUMIF($AS$8:$AS$39,"&gt;0"),""))),IF(SUMIF(AJ12:$AJ$39,"=" &amp; AJ11,AI12:$AI$39)=0,"",SUMIF(AJ12:$AJ$39,"=" &amp; AJ11,AI12:$AI$39)))</f>
        <v>0.02</v>
      </c>
      <c r="AJ11" s="139">
        <f t="shared" si="34"/>
        <v>0</v>
      </c>
      <c r="AK11" s="453">
        <f t="shared" si="27"/>
        <v>2</v>
      </c>
      <c r="AL11" s="146">
        <f t="shared" si="28"/>
        <v>3</v>
      </c>
      <c r="AM11" s="146">
        <f t="shared" si="35"/>
        <v>1</v>
      </c>
      <c r="AN11" s="146">
        <f t="shared" si="5"/>
        <v>1</v>
      </c>
      <c r="AO11" s="146">
        <f t="shared" si="6"/>
        <v>2</v>
      </c>
      <c r="AP11" s="453" t="b">
        <f t="shared" si="7"/>
        <v>0</v>
      </c>
      <c r="AQ11" s="140">
        <f t="shared" si="29"/>
        <v>0</v>
      </c>
      <c r="AR11" s="141" t="str">
        <f t="shared" si="8"/>
        <v/>
      </c>
      <c r="AS11" s="142">
        <f t="shared" si="30"/>
        <v>2</v>
      </c>
      <c r="AT11" s="141">
        <f t="shared" si="9"/>
        <v>0.9</v>
      </c>
      <c r="AU11" s="143">
        <f t="shared" si="10"/>
        <v>0</v>
      </c>
      <c r="AV11" s="144" t="str">
        <f t="shared" si="11"/>
        <v/>
      </c>
      <c r="AW11" s="143" t="b">
        <f t="shared" si="12"/>
        <v>0</v>
      </c>
      <c r="AX11" s="145" t="b">
        <f t="shared" si="13"/>
        <v>0</v>
      </c>
      <c r="AY11" s="143" t="b">
        <f t="shared" si="14"/>
        <v>0</v>
      </c>
      <c r="AZ11" s="145" t="b">
        <f t="shared" si="15"/>
        <v>0</v>
      </c>
      <c r="BA11" s="453" t="b">
        <f t="shared" si="16"/>
        <v>0</v>
      </c>
      <c r="BB11" s="453" t="b">
        <f t="shared" si="17"/>
        <v>0</v>
      </c>
      <c r="BC11" s="143" t="b">
        <f t="shared" si="18"/>
        <v>0</v>
      </c>
      <c r="BD11" s="146" t="b">
        <f t="shared" si="31"/>
        <v>0</v>
      </c>
      <c r="BE11" s="145" t="b">
        <f t="shared" si="19"/>
        <v>0</v>
      </c>
      <c r="BF11" s="147" t="b">
        <f t="shared" si="20"/>
        <v>0</v>
      </c>
      <c r="BG11" s="453" t="b">
        <f t="shared" si="21"/>
        <v>0</v>
      </c>
      <c r="BH11" s="453">
        <f t="shared" si="32"/>
        <v>1</v>
      </c>
      <c r="BI11" s="453">
        <f t="shared" si="22"/>
        <v>2</v>
      </c>
      <c r="BJ11" s="453" t="str">
        <f t="shared" si="23"/>
        <v>2*</v>
      </c>
      <c r="BK11" s="453">
        <f t="shared" si="24"/>
        <v>3</v>
      </c>
      <c r="BL11" s="148">
        <f t="shared" si="33"/>
        <v>1</v>
      </c>
      <c r="BM11" s="453">
        <f t="shared" si="25"/>
        <v>2</v>
      </c>
      <c r="BN11" s="453">
        <f t="shared" si="26"/>
        <v>3</v>
      </c>
      <c r="BO11" s="155">
        <v>1</v>
      </c>
      <c r="BP11" s="156" t="s">
        <v>348</v>
      </c>
    </row>
    <row r="12" spans="2:73" s="94" customFormat="1" ht="12.95" customHeight="1" x14ac:dyDescent="0.2">
      <c r="B12" s="151">
        <f>IF(ISNA(Z12),"",IF(OR(Z12=1,Z12=2),"    ",MAX($B$8:B11)+1))</f>
        <v>4</v>
      </c>
      <c r="C12" s="904" t="str">
        <f t="shared" si="0"/>
        <v>Situational Awareness/Judgement (2.0%)</v>
      </c>
      <c r="D12" s="904"/>
      <c r="E12" s="904"/>
      <c r="F12" s="905"/>
      <c r="G12" s="133">
        <f t="shared" si="1"/>
        <v>1</v>
      </c>
      <c r="H12" s="134" t="str">
        <f t="shared" si="2"/>
        <v>2*</v>
      </c>
      <c r="I12" s="152">
        <f t="shared" si="2"/>
        <v>3</v>
      </c>
      <c r="J12" s="158">
        <v>1</v>
      </c>
      <c r="K12" s="159">
        <v>3</v>
      </c>
      <c r="L12" s="961"/>
      <c r="M12" s="962"/>
      <c r="N12" s="962"/>
      <c r="O12" s="962"/>
      <c r="P12" s="962"/>
      <c r="Q12" s="962"/>
      <c r="R12" s="963"/>
      <c r="T12" s="99">
        <v>5</v>
      </c>
      <c r="U12" s="88" t="s">
        <v>347</v>
      </c>
      <c r="V12" s="453">
        <v>1</v>
      </c>
      <c r="W12" s="453" t="s">
        <v>340</v>
      </c>
      <c r="X12" s="453">
        <v>2</v>
      </c>
      <c r="Y12" s="453" t="s">
        <v>340</v>
      </c>
      <c r="Z12" s="146" t="s">
        <v>340</v>
      </c>
      <c r="AA12" s="146">
        <v>1</v>
      </c>
      <c r="AB12" s="146">
        <v>0</v>
      </c>
      <c r="AC12" s="453">
        <v>3</v>
      </c>
      <c r="AD12" s="453">
        <v>3</v>
      </c>
      <c r="AE12" s="453">
        <v>1</v>
      </c>
      <c r="AF12" s="453" t="b">
        <v>1</v>
      </c>
      <c r="AG12" s="453">
        <f t="shared" si="3"/>
        <v>3</v>
      </c>
      <c r="AH12" s="453">
        <f t="shared" si="4"/>
        <v>2</v>
      </c>
      <c r="AI12" s="138">
        <f>IF(NOT(OR(Z12=1,Z12=2)),IF(AQ12&gt;0,$AR$44*AQ12/SUMIF($AQ$8:$AQ$39,"&gt;0"),IF(AU12&gt;0,$AV$44*AU12/SUMIF($AU$8:$AU$39,"&gt;0"),IF(AS12&gt;0,$AT$44*AS12/SUMIF($AS$8:$AS$39,"&gt;0"),""))),IF(SUMIF(AJ13:$AJ$39,"=" &amp; AJ12,AI13:$AI$39)=0,"",SUMIF(AJ13:$AJ$39,"=" &amp; AJ12,AI13:$AI$39)))</f>
        <v>0.02</v>
      </c>
      <c r="AJ12" s="139">
        <f t="shared" si="34"/>
        <v>0</v>
      </c>
      <c r="AK12" s="453">
        <f t="shared" si="27"/>
        <v>2</v>
      </c>
      <c r="AL12" s="146">
        <f t="shared" si="28"/>
        <v>3</v>
      </c>
      <c r="AM12" s="146">
        <f t="shared" si="35"/>
        <v>1</v>
      </c>
      <c r="AN12" s="146">
        <f t="shared" si="5"/>
        <v>1</v>
      </c>
      <c r="AO12" s="146">
        <f t="shared" si="6"/>
        <v>2</v>
      </c>
      <c r="AP12" s="453" t="b">
        <f t="shared" si="7"/>
        <v>0</v>
      </c>
      <c r="AQ12" s="140">
        <f t="shared" si="29"/>
        <v>0</v>
      </c>
      <c r="AR12" s="141" t="str">
        <f t="shared" si="8"/>
        <v/>
      </c>
      <c r="AS12" s="142">
        <f t="shared" si="30"/>
        <v>2</v>
      </c>
      <c r="AT12" s="141">
        <f t="shared" si="9"/>
        <v>0.9</v>
      </c>
      <c r="AU12" s="143">
        <f t="shared" si="10"/>
        <v>0</v>
      </c>
      <c r="AV12" s="144" t="str">
        <f t="shared" si="11"/>
        <v/>
      </c>
      <c r="AW12" s="143" t="b">
        <f t="shared" si="12"/>
        <v>0</v>
      </c>
      <c r="AX12" s="145" t="b">
        <f t="shared" si="13"/>
        <v>0</v>
      </c>
      <c r="AY12" s="143" t="b">
        <f t="shared" si="14"/>
        <v>0</v>
      </c>
      <c r="AZ12" s="145" t="b">
        <f t="shared" si="15"/>
        <v>0</v>
      </c>
      <c r="BA12" s="453" t="b">
        <f t="shared" si="16"/>
        <v>0</v>
      </c>
      <c r="BB12" s="453" t="b">
        <f t="shared" si="17"/>
        <v>0</v>
      </c>
      <c r="BC12" s="143" t="b">
        <f t="shared" si="18"/>
        <v>0</v>
      </c>
      <c r="BD12" s="146" t="b">
        <f t="shared" si="31"/>
        <v>0</v>
      </c>
      <c r="BE12" s="145" t="b">
        <f t="shared" si="19"/>
        <v>0</v>
      </c>
      <c r="BF12" s="147" t="b">
        <f t="shared" si="20"/>
        <v>0</v>
      </c>
      <c r="BG12" s="453" t="b">
        <f t="shared" si="21"/>
        <v>0</v>
      </c>
      <c r="BH12" s="453">
        <f t="shared" si="32"/>
        <v>1</v>
      </c>
      <c r="BI12" s="453">
        <f t="shared" si="22"/>
        <v>2</v>
      </c>
      <c r="BJ12" s="453" t="str">
        <f t="shared" si="23"/>
        <v>2*</v>
      </c>
      <c r="BK12" s="453">
        <f t="shared" si="24"/>
        <v>3</v>
      </c>
      <c r="BL12" s="148">
        <f t="shared" si="33"/>
        <v>1</v>
      </c>
      <c r="BM12" s="453">
        <f t="shared" si="25"/>
        <v>2</v>
      </c>
      <c r="BN12" s="453">
        <f t="shared" si="26"/>
        <v>3</v>
      </c>
      <c r="BO12" s="155">
        <v>2</v>
      </c>
      <c r="BP12" s="156" t="s">
        <v>350</v>
      </c>
    </row>
    <row r="13" spans="2:73" s="94" customFormat="1" ht="12.95" customHeight="1" x14ac:dyDescent="0.2">
      <c r="B13" s="151">
        <f>IF(ISNA(Z13),"",IF(OR(Z13=1,Z13=2),"    ",MAX($B$8:B12)+1))</f>
        <v>5</v>
      </c>
      <c r="C13" s="904" t="str">
        <f t="shared" si="0"/>
        <v>Clearing/Visual Lookout (2.0%)</v>
      </c>
      <c r="D13" s="904"/>
      <c r="E13" s="904"/>
      <c r="F13" s="905"/>
      <c r="G13" s="133">
        <f t="shared" si="1"/>
        <v>1</v>
      </c>
      <c r="H13" s="134" t="str">
        <f t="shared" si="2"/>
        <v>2*</v>
      </c>
      <c r="I13" s="152">
        <f t="shared" si="2"/>
        <v>3</v>
      </c>
      <c r="J13" s="158">
        <v>1</v>
      </c>
      <c r="K13" s="159">
        <v>4</v>
      </c>
      <c r="L13" s="961"/>
      <c r="M13" s="962"/>
      <c r="N13" s="962"/>
      <c r="O13" s="962"/>
      <c r="P13" s="962"/>
      <c r="Q13" s="962"/>
      <c r="R13" s="963"/>
      <c r="T13" s="99">
        <v>6</v>
      </c>
      <c r="U13" s="88" t="s">
        <v>349</v>
      </c>
      <c r="V13" s="453">
        <v>1</v>
      </c>
      <c r="W13" s="453" t="s">
        <v>340</v>
      </c>
      <c r="X13" s="453">
        <v>2</v>
      </c>
      <c r="Y13" s="453" t="s">
        <v>340</v>
      </c>
      <c r="Z13" s="146" t="s">
        <v>340</v>
      </c>
      <c r="AA13" s="146">
        <v>1</v>
      </c>
      <c r="AB13" s="146">
        <v>0</v>
      </c>
      <c r="AC13" s="453">
        <v>3</v>
      </c>
      <c r="AD13" s="453">
        <v>3</v>
      </c>
      <c r="AE13" s="453">
        <v>1</v>
      </c>
      <c r="AF13" s="453" t="b">
        <v>1</v>
      </c>
      <c r="AG13" s="453">
        <f t="shared" si="3"/>
        <v>3</v>
      </c>
      <c r="AH13" s="453">
        <f t="shared" si="4"/>
        <v>2</v>
      </c>
      <c r="AI13" s="138">
        <f>IF(NOT(OR(Z13=1,Z13=2)),IF(AQ13&gt;0,$AR$44*AQ13/SUMIF($AQ$8:$AQ$39,"&gt;0"),IF(AU13&gt;0,$AV$44*AU13/SUMIF($AU$8:$AU$39,"&gt;0"),IF(AS13&gt;0,$AT$44*AS13/SUMIF($AS$8:$AS$39,"&gt;0"),""))),IF(SUMIF(AJ14:$AJ$39,"=" &amp; AJ13,AI14:$AI$39)=0,"",SUMIF(AJ14:$AJ$39,"=" &amp; AJ13,AI14:$AI$39)))</f>
        <v>0.02</v>
      </c>
      <c r="AJ13" s="139">
        <f t="shared" si="34"/>
        <v>0</v>
      </c>
      <c r="AK13" s="453">
        <f t="shared" si="27"/>
        <v>2</v>
      </c>
      <c r="AL13" s="146">
        <f t="shared" si="28"/>
        <v>4</v>
      </c>
      <c r="AM13" s="146">
        <f t="shared" si="35"/>
        <v>1</v>
      </c>
      <c r="AN13" s="146">
        <f t="shared" si="5"/>
        <v>1</v>
      </c>
      <c r="AO13" s="146">
        <f t="shared" si="6"/>
        <v>2</v>
      </c>
      <c r="AP13" s="453" t="b">
        <f t="shared" si="7"/>
        <v>0</v>
      </c>
      <c r="AQ13" s="140">
        <f t="shared" si="29"/>
        <v>0</v>
      </c>
      <c r="AR13" s="141" t="str">
        <f t="shared" si="8"/>
        <v/>
      </c>
      <c r="AS13" s="142">
        <f t="shared" si="30"/>
        <v>2</v>
      </c>
      <c r="AT13" s="141">
        <f t="shared" si="9"/>
        <v>1</v>
      </c>
      <c r="AU13" s="143">
        <f t="shared" si="10"/>
        <v>0</v>
      </c>
      <c r="AV13" s="144" t="str">
        <f t="shared" si="11"/>
        <v/>
      </c>
      <c r="AW13" s="143" t="b">
        <f t="shared" si="12"/>
        <v>0</v>
      </c>
      <c r="AX13" s="145" t="b">
        <f t="shared" si="13"/>
        <v>0</v>
      </c>
      <c r="AY13" s="143" t="b">
        <f t="shared" si="14"/>
        <v>0</v>
      </c>
      <c r="AZ13" s="145" t="b">
        <f t="shared" si="15"/>
        <v>0</v>
      </c>
      <c r="BA13" s="453" t="b">
        <f t="shared" si="16"/>
        <v>0</v>
      </c>
      <c r="BB13" s="453" t="b">
        <f t="shared" si="17"/>
        <v>0</v>
      </c>
      <c r="BC13" s="143" t="b">
        <f t="shared" si="18"/>
        <v>0</v>
      </c>
      <c r="BD13" s="146" t="b">
        <f t="shared" si="31"/>
        <v>0</v>
      </c>
      <c r="BE13" s="145" t="b">
        <f t="shared" si="19"/>
        <v>0</v>
      </c>
      <c r="BF13" s="147" t="b">
        <f t="shared" si="20"/>
        <v>0</v>
      </c>
      <c r="BG13" s="453" t="b">
        <f t="shared" si="21"/>
        <v>0</v>
      </c>
      <c r="BH13" s="453">
        <f t="shared" si="32"/>
        <v>1</v>
      </c>
      <c r="BI13" s="453">
        <f t="shared" si="22"/>
        <v>2</v>
      </c>
      <c r="BJ13" s="453" t="str">
        <f t="shared" si="23"/>
        <v>2*</v>
      </c>
      <c r="BK13" s="453">
        <f t="shared" si="24"/>
        <v>3</v>
      </c>
      <c r="BL13" s="148">
        <f t="shared" si="33"/>
        <v>1</v>
      </c>
      <c r="BM13" s="453">
        <f t="shared" si="25"/>
        <v>2</v>
      </c>
      <c r="BN13" s="453">
        <f t="shared" si="26"/>
        <v>3</v>
      </c>
      <c r="BO13" s="155">
        <v>3</v>
      </c>
      <c r="BP13" s="156" t="s">
        <v>352</v>
      </c>
    </row>
    <row r="14" spans="2:73" s="94" customFormat="1" ht="12.95" customHeight="1" x14ac:dyDescent="0.2">
      <c r="B14" s="151" t="str">
        <f>IF(ISNA(Z14),"",IF(OR(Z14=1,Z14=2),"    ",MAX($B$8:B13)+1))</f>
        <v xml:space="preserve">    </v>
      </c>
      <c r="C14" s="904" t="str">
        <f t="shared" si="0"/>
        <v>Academic Tasks</v>
      </c>
      <c r="D14" s="904"/>
      <c r="E14" s="904"/>
      <c r="F14" s="905"/>
      <c r="G14" s="133" t="str">
        <f t="shared" si="1"/>
        <v/>
      </c>
      <c r="H14" s="134" t="str">
        <f t="shared" si="2"/>
        <v/>
      </c>
      <c r="I14" s="152" t="str">
        <f t="shared" si="2"/>
        <v/>
      </c>
      <c r="J14" s="158" t="s">
        <v>340</v>
      </c>
      <c r="K14" s="159" t="s">
        <v>340</v>
      </c>
      <c r="L14" s="961"/>
      <c r="M14" s="962"/>
      <c r="N14" s="962"/>
      <c r="O14" s="962"/>
      <c r="P14" s="962"/>
      <c r="Q14" s="962"/>
      <c r="R14" s="963"/>
      <c r="T14" s="99">
        <v>7</v>
      </c>
      <c r="U14" s="88" t="s">
        <v>351</v>
      </c>
      <c r="V14" s="453" t="s">
        <v>340</v>
      </c>
      <c r="W14" s="453" t="s">
        <v>340</v>
      </c>
      <c r="X14" s="453" t="s">
        <v>340</v>
      </c>
      <c r="Y14" s="453" t="s">
        <v>340</v>
      </c>
      <c r="Z14" s="146">
        <v>1</v>
      </c>
      <c r="AA14" s="146">
        <v>0</v>
      </c>
      <c r="AB14" s="146">
        <v>1</v>
      </c>
      <c r="AC14" s="453" t="s">
        <v>340</v>
      </c>
      <c r="AD14" s="453" t="s">
        <v>340</v>
      </c>
      <c r="AE14" s="453">
        <v>0</v>
      </c>
      <c r="AF14" s="453" t="s">
        <v>340</v>
      </c>
      <c r="AG14" s="453" t="str">
        <f t="shared" si="3"/>
        <v/>
      </c>
      <c r="AH14" s="453" t="str">
        <f t="shared" si="4"/>
        <v/>
      </c>
      <c r="AI14" s="138" t="str">
        <f>IF(NOT(OR(Z14=1,Z14=2)),IF(AQ14&gt;0,$AR$44*AQ14/SUMIF($AQ$8:$AQ$39,"&gt;0"),IF(AU14&gt;0,$AV$44*AU14/SUMIF($AU$8:$AU$39,"&gt;0"),IF(AS14&gt;0,$AT$44*AS14/SUMIF($AS$8:$AS$39,"&gt;0"),""))),IF(SUMIF(AJ15:$AJ$39,"=" &amp; AJ14,AI15:$AI$39)=0,"",SUMIF(AJ15:$AJ$39,"=" &amp; AJ14,AI15:$AI$39)))</f>
        <v/>
      </c>
      <c r="AJ14" s="139">
        <f t="shared" si="34"/>
        <v>1</v>
      </c>
      <c r="AK14" s="453" t="str">
        <f t="shared" si="27"/>
        <v/>
      </c>
      <c r="AL14" s="146" t="str">
        <f t="shared" si="28"/>
        <v/>
      </c>
      <c r="AM14" s="146" t="str">
        <f t="shared" si="35"/>
        <v/>
      </c>
      <c r="AN14" s="146" t="str">
        <f t="shared" si="5"/>
        <v/>
      </c>
      <c r="AO14" s="146" t="str">
        <f t="shared" si="6"/>
        <v/>
      </c>
      <c r="AP14" s="453" t="str">
        <f t="shared" si="7"/>
        <v/>
      </c>
      <c r="AQ14" s="140">
        <f t="shared" si="29"/>
        <v>0</v>
      </c>
      <c r="AR14" s="141" t="str">
        <f t="shared" si="8"/>
        <v/>
      </c>
      <c r="AS14" s="142">
        <f t="shared" si="30"/>
        <v>0</v>
      </c>
      <c r="AT14" s="141" t="str">
        <f t="shared" si="9"/>
        <v/>
      </c>
      <c r="AU14" s="143">
        <f t="shared" si="10"/>
        <v>0</v>
      </c>
      <c r="AV14" s="144" t="str">
        <f t="shared" si="11"/>
        <v/>
      </c>
      <c r="AW14" s="143" t="b">
        <f t="shared" si="12"/>
        <v>0</v>
      </c>
      <c r="AX14" s="145" t="b">
        <f t="shared" si="13"/>
        <v>0</v>
      </c>
      <c r="AY14" s="143" t="b">
        <f t="shared" si="14"/>
        <v>0</v>
      </c>
      <c r="AZ14" s="145" t="b">
        <f t="shared" si="15"/>
        <v>0</v>
      </c>
      <c r="BA14" s="453" t="b">
        <f t="shared" si="16"/>
        <v>0</v>
      </c>
      <c r="BB14" s="453" t="b">
        <f t="shared" si="17"/>
        <v>0</v>
      </c>
      <c r="BC14" s="143" t="b">
        <f t="shared" si="18"/>
        <v>0</v>
      </c>
      <c r="BD14" s="146" t="b">
        <f t="shared" si="31"/>
        <v>0</v>
      </c>
      <c r="BE14" s="145" t="b">
        <f t="shared" si="19"/>
        <v>0</v>
      </c>
      <c r="BF14" s="147" t="b">
        <f t="shared" si="20"/>
        <v>0</v>
      </c>
      <c r="BG14" s="453" t="b">
        <f t="shared" si="21"/>
        <v>0</v>
      </c>
      <c r="BH14" s="453" t="str">
        <f t="shared" si="32"/>
        <v/>
      </c>
      <c r="BI14" s="453" t="str">
        <f t="shared" si="22"/>
        <v/>
      </c>
      <c r="BJ14" s="453" t="str">
        <f t="shared" si="23"/>
        <v/>
      </c>
      <c r="BK14" s="453" t="str">
        <f t="shared" si="24"/>
        <v/>
      </c>
      <c r="BL14" s="148" t="str">
        <f t="shared" si="33"/>
        <v/>
      </c>
      <c r="BM14" s="453" t="str">
        <f t="shared" si="25"/>
        <v/>
      </c>
      <c r="BN14" s="453" t="str">
        <f t="shared" si="26"/>
        <v/>
      </c>
      <c r="BO14" s="155">
        <v>4</v>
      </c>
      <c r="BP14" s="156" t="s">
        <v>354</v>
      </c>
    </row>
    <row r="15" spans="2:73" s="94" customFormat="1" ht="12.95" customHeight="1" x14ac:dyDescent="0.2">
      <c r="B15" s="151" t="str">
        <f>IF(ISNA(Z15),"",IF(OR(Z15=1,Z15=2),"    ",MAX($B$8:B14)+1))</f>
        <v xml:space="preserve">    </v>
      </c>
      <c r="C15" s="904" t="str">
        <f t="shared" si="0"/>
        <v>Test Conduct (60.0%)</v>
      </c>
      <c r="D15" s="904"/>
      <c r="E15" s="904"/>
      <c r="F15" s="905"/>
      <c r="G15" s="133" t="str">
        <f t="shared" si="1"/>
        <v/>
      </c>
      <c r="H15" s="134" t="str">
        <f t="shared" si="2"/>
        <v/>
      </c>
      <c r="I15" s="152" t="str">
        <f t="shared" si="2"/>
        <v/>
      </c>
      <c r="J15" s="158" t="s">
        <v>340</v>
      </c>
      <c r="K15" s="159" t="s">
        <v>340</v>
      </c>
      <c r="L15" s="961"/>
      <c r="M15" s="962"/>
      <c r="N15" s="962"/>
      <c r="O15" s="962"/>
      <c r="P15" s="962"/>
      <c r="Q15" s="962"/>
      <c r="R15" s="963"/>
      <c r="T15" s="99">
        <v>8</v>
      </c>
      <c r="U15" s="88" t="s">
        <v>353</v>
      </c>
      <c r="V15" s="453" t="s">
        <v>340</v>
      </c>
      <c r="W15" s="453" t="s">
        <v>340</v>
      </c>
      <c r="X15" s="453" t="s">
        <v>340</v>
      </c>
      <c r="Y15" s="453" t="s">
        <v>340</v>
      </c>
      <c r="Z15" s="146">
        <v>2</v>
      </c>
      <c r="AA15" s="146">
        <v>1</v>
      </c>
      <c r="AB15" s="146">
        <v>1</v>
      </c>
      <c r="AC15" s="453" t="s">
        <v>340</v>
      </c>
      <c r="AD15" s="453" t="s">
        <v>340</v>
      </c>
      <c r="AE15" s="453" t="s">
        <v>340</v>
      </c>
      <c r="AF15" s="453" t="s">
        <v>340</v>
      </c>
      <c r="AG15" s="453" t="str">
        <f t="shared" si="3"/>
        <v/>
      </c>
      <c r="AH15" s="453" t="str">
        <f t="shared" si="4"/>
        <v/>
      </c>
      <c r="AI15" s="138">
        <f>IF(NOT(OR(Z15=1,Z15=2)),IF(AQ15&gt;0,$AR$44*AQ15/SUMIF($AQ$8:$AQ$39,"&gt;0"),IF(AU15&gt;0,$AV$44*AU15/SUMIF($AU$8:$AU$39,"&gt;0"),IF(AS15&gt;0,$AT$44*AS15/SUMIF($AS$8:$AS$39,"&gt;0"),""))),IF(SUMIF(AJ16:$AJ$39,"=" &amp; AJ15,AI16:$AI$39)=0,"",SUMIF(AJ16:$AJ$39,"=" &amp; AJ15,AI16:$AI$39)))</f>
        <v>0.6</v>
      </c>
      <c r="AJ15" s="139">
        <f t="shared" si="34"/>
        <v>2</v>
      </c>
      <c r="AK15" s="453" t="str">
        <f t="shared" si="27"/>
        <v/>
      </c>
      <c r="AL15" s="146" t="str">
        <f t="shared" si="28"/>
        <v/>
      </c>
      <c r="AM15" s="146" t="str">
        <f t="shared" si="35"/>
        <v/>
      </c>
      <c r="AN15" s="146" t="str">
        <f t="shared" si="5"/>
        <v/>
      </c>
      <c r="AO15" s="146" t="str">
        <f t="shared" si="6"/>
        <v/>
      </c>
      <c r="AP15" s="453" t="str">
        <f t="shared" si="7"/>
        <v/>
      </c>
      <c r="AQ15" s="140">
        <f t="shared" si="29"/>
        <v>0</v>
      </c>
      <c r="AR15" s="141" t="str">
        <f t="shared" si="8"/>
        <v/>
      </c>
      <c r="AS15" s="142">
        <f t="shared" si="30"/>
        <v>0</v>
      </c>
      <c r="AT15" s="141" t="str">
        <f t="shared" si="9"/>
        <v/>
      </c>
      <c r="AU15" s="143">
        <f t="shared" si="10"/>
        <v>0</v>
      </c>
      <c r="AV15" s="144" t="str">
        <f t="shared" si="11"/>
        <v/>
      </c>
      <c r="AW15" s="143" t="b">
        <f t="shared" si="12"/>
        <v>0</v>
      </c>
      <c r="AX15" s="145" t="b">
        <f t="shared" si="13"/>
        <v>0</v>
      </c>
      <c r="AY15" s="143" t="b">
        <f t="shared" si="14"/>
        <v>0</v>
      </c>
      <c r="AZ15" s="145" t="b">
        <f t="shared" si="15"/>
        <v>0</v>
      </c>
      <c r="BA15" s="453" t="b">
        <f t="shared" si="16"/>
        <v>0</v>
      </c>
      <c r="BB15" s="453" t="b">
        <f t="shared" si="17"/>
        <v>0</v>
      </c>
      <c r="BC15" s="143" t="b">
        <f t="shared" si="18"/>
        <v>0</v>
      </c>
      <c r="BD15" s="146" t="b">
        <f t="shared" si="31"/>
        <v>0</v>
      </c>
      <c r="BE15" s="145" t="b">
        <f t="shared" si="19"/>
        <v>0</v>
      </c>
      <c r="BF15" s="147" t="b">
        <f t="shared" si="20"/>
        <v>0</v>
      </c>
      <c r="BG15" s="453" t="b">
        <f t="shared" si="21"/>
        <v>0</v>
      </c>
      <c r="BH15" s="453" t="str">
        <f t="shared" si="32"/>
        <v/>
      </c>
      <c r="BI15" s="453" t="str">
        <f t="shared" si="22"/>
        <v/>
      </c>
      <c r="BJ15" s="453" t="str">
        <f t="shared" si="23"/>
        <v/>
      </c>
      <c r="BK15" s="453" t="str">
        <f t="shared" si="24"/>
        <v/>
      </c>
      <c r="BL15" s="148" t="str">
        <f t="shared" si="33"/>
        <v/>
      </c>
      <c r="BM15" s="453" t="str">
        <f t="shared" si="25"/>
        <v/>
      </c>
      <c r="BN15" s="453" t="str">
        <f t="shared" si="26"/>
        <v/>
      </c>
      <c r="BO15" s="90"/>
    </row>
    <row r="16" spans="2:73" s="94" customFormat="1" ht="12.95" customHeight="1" x14ac:dyDescent="0.2">
      <c r="B16" s="151">
        <f>IF(ISNA(Z16),"",IF(OR(Z16=1,Z16=2),"    ",MAX($B$8:B15)+1))</f>
        <v>6</v>
      </c>
      <c r="C16" s="904" t="str">
        <f t="shared" si="0"/>
        <v xml:space="preserve">      - Mission Preparation (15.0%)</v>
      </c>
      <c r="D16" s="904"/>
      <c r="E16" s="904"/>
      <c r="F16" s="905"/>
      <c r="G16" s="133">
        <f t="shared" si="1"/>
        <v>1</v>
      </c>
      <c r="H16" s="134" t="str">
        <f t="shared" si="2"/>
        <v>1*</v>
      </c>
      <c r="I16" s="152">
        <f t="shared" si="2"/>
        <v>2</v>
      </c>
      <c r="J16" s="158">
        <v>1</v>
      </c>
      <c r="K16" s="159">
        <v>4</v>
      </c>
      <c r="L16" s="961"/>
      <c r="M16" s="962"/>
      <c r="N16" s="962"/>
      <c r="O16" s="962"/>
      <c r="P16" s="962"/>
      <c r="Q16" s="962"/>
      <c r="R16" s="963"/>
      <c r="T16" s="99">
        <v>9</v>
      </c>
      <c r="U16" s="88" t="s">
        <v>498</v>
      </c>
      <c r="V16" s="453">
        <v>1</v>
      </c>
      <c r="W16" s="453">
        <v>15</v>
      </c>
      <c r="X16" s="453" t="s">
        <v>340</v>
      </c>
      <c r="Y16" s="453" t="s">
        <v>340</v>
      </c>
      <c r="Z16" s="146" t="s">
        <v>340</v>
      </c>
      <c r="AA16" s="146">
        <v>2</v>
      </c>
      <c r="AB16" s="146">
        <v>1</v>
      </c>
      <c r="AC16" s="453">
        <v>2</v>
      </c>
      <c r="AD16" s="453">
        <v>1</v>
      </c>
      <c r="AE16" s="453">
        <v>1</v>
      </c>
      <c r="AF16" s="453" t="b">
        <v>1</v>
      </c>
      <c r="AG16" s="453">
        <f t="shared" si="3"/>
        <v>1</v>
      </c>
      <c r="AH16" s="453">
        <f t="shared" si="4"/>
        <v>0</v>
      </c>
      <c r="AI16" s="138">
        <f>IF(NOT(OR(Z16=1,Z16=2)),IF(AQ16&gt;0,$AR$44*AQ16/SUMIF($AQ$8:$AQ$39,"&gt;0"),IF(AU16&gt;0,$AV$44*AU16/SUMIF($AU$8:$AU$39,"&gt;0"),IF(AS16&gt;0,$AT$44*AS16/SUMIF($AS$8:$AS$39,"&gt;0"),""))),IF(SUMIF(AJ17:$AJ$39,"=" &amp; AJ16,AI17:$AI$39)=0,"",SUMIF(AJ17:$AJ$39,"=" &amp; AJ16,AI17:$AI$39)))</f>
        <v>0.15</v>
      </c>
      <c r="AJ16" s="139">
        <f t="shared" si="34"/>
        <v>2</v>
      </c>
      <c r="AK16" s="453">
        <f t="shared" si="27"/>
        <v>1</v>
      </c>
      <c r="AL16" s="146">
        <f t="shared" si="28"/>
        <v>4</v>
      </c>
      <c r="AM16" s="146">
        <f t="shared" si="35"/>
        <v>1</v>
      </c>
      <c r="AN16" s="146" t="str">
        <f t="shared" si="5"/>
        <v/>
      </c>
      <c r="AO16" s="146" t="str">
        <f t="shared" si="6"/>
        <v/>
      </c>
      <c r="AP16" s="453" t="b">
        <f t="shared" si="7"/>
        <v>0</v>
      </c>
      <c r="AQ16" s="140">
        <f t="shared" si="29"/>
        <v>15</v>
      </c>
      <c r="AR16" s="141">
        <f t="shared" si="8"/>
        <v>1</v>
      </c>
      <c r="AS16" s="142">
        <f t="shared" si="30"/>
        <v>0</v>
      </c>
      <c r="AT16" s="141" t="str">
        <f t="shared" si="9"/>
        <v/>
      </c>
      <c r="AU16" s="143">
        <f t="shared" si="10"/>
        <v>0</v>
      </c>
      <c r="AV16" s="144">
        <f t="shared" si="11"/>
        <v>1</v>
      </c>
      <c r="AW16" s="143" t="b">
        <f t="shared" si="12"/>
        <v>0</v>
      </c>
      <c r="AX16" s="145" t="b">
        <f t="shared" si="13"/>
        <v>0</v>
      </c>
      <c r="AY16" s="143" t="b">
        <f t="shared" si="14"/>
        <v>0</v>
      </c>
      <c r="AZ16" s="145" t="b">
        <f t="shared" si="15"/>
        <v>0</v>
      </c>
      <c r="BA16" s="453" t="b">
        <f t="shared" si="16"/>
        <v>0</v>
      </c>
      <c r="BB16" s="453" t="b">
        <f t="shared" si="17"/>
        <v>0</v>
      </c>
      <c r="BC16" s="143" t="b">
        <f t="shared" si="18"/>
        <v>0</v>
      </c>
      <c r="BD16" s="146" t="b">
        <f t="shared" si="31"/>
        <v>0</v>
      </c>
      <c r="BE16" s="145" t="b">
        <f t="shared" si="19"/>
        <v>0</v>
      </c>
      <c r="BF16" s="147" t="b">
        <f t="shared" si="20"/>
        <v>0</v>
      </c>
      <c r="BG16" s="453" t="b">
        <f t="shared" si="21"/>
        <v>0</v>
      </c>
      <c r="BH16" s="453">
        <f t="shared" si="32"/>
        <v>1</v>
      </c>
      <c r="BI16" s="453">
        <f t="shared" si="22"/>
        <v>1</v>
      </c>
      <c r="BJ16" s="453" t="str">
        <f t="shared" si="23"/>
        <v>1*</v>
      </c>
      <c r="BK16" s="453">
        <f t="shared" si="24"/>
        <v>2</v>
      </c>
      <c r="BL16" s="148">
        <f t="shared" si="33"/>
        <v>1</v>
      </c>
      <c r="BM16" s="453">
        <f t="shared" si="25"/>
        <v>1</v>
      </c>
      <c r="BN16" s="453">
        <f t="shared" si="26"/>
        <v>2</v>
      </c>
      <c r="BO16" s="155"/>
      <c r="BP16" s="160"/>
    </row>
    <row r="17" spans="2:73" s="94" customFormat="1" ht="12.95" customHeight="1" x14ac:dyDescent="0.2">
      <c r="B17" s="151">
        <f>IF(ISNA(Z17),"",IF(OR(Z17=1,Z17=2),"    ",MAX($B$8:B16)+1))</f>
        <v>7</v>
      </c>
      <c r="C17" s="904" t="str">
        <f t="shared" si="0"/>
        <v xml:space="preserve">      - Awareness/Adaptation (15.0%)</v>
      </c>
      <c r="D17" s="904"/>
      <c r="E17" s="904"/>
      <c r="F17" s="905"/>
      <c r="G17" s="133">
        <f t="shared" si="1"/>
        <v>1</v>
      </c>
      <c r="H17" s="134" t="str">
        <f t="shared" si="2"/>
        <v>1*</v>
      </c>
      <c r="I17" s="152">
        <f t="shared" si="2"/>
        <v>2</v>
      </c>
      <c r="J17" s="158">
        <v>1</v>
      </c>
      <c r="K17" s="159">
        <v>3</v>
      </c>
      <c r="L17" s="961"/>
      <c r="M17" s="962"/>
      <c r="N17" s="962"/>
      <c r="O17" s="962"/>
      <c r="P17" s="962"/>
      <c r="Q17" s="962"/>
      <c r="R17" s="963"/>
      <c r="T17" s="99">
        <v>10</v>
      </c>
      <c r="U17" s="88" t="s">
        <v>499</v>
      </c>
      <c r="V17" s="453">
        <v>1</v>
      </c>
      <c r="W17" s="453">
        <v>15</v>
      </c>
      <c r="X17" s="453" t="s">
        <v>340</v>
      </c>
      <c r="Y17" s="453" t="s">
        <v>340</v>
      </c>
      <c r="Z17" s="146" t="s">
        <v>340</v>
      </c>
      <c r="AA17" s="146">
        <v>2</v>
      </c>
      <c r="AB17" s="146">
        <v>1</v>
      </c>
      <c r="AC17" s="453">
        <v>2</v>
      </c>
      <c r="AD17" s="453">
        <v>1</v>
      </c>
      <c r="AE17" s="453">
        <v>1</v>
      </c>
      <c r="AF17" s="453" t="b">
        <v>1</v>
      </c>
      <c r="AG17" s="453">
        <f t="shared" si="3"/>
        <v>1</v>
      </c>
      <c r="AH17" s="453">
        <f t="shared" si="4"/>
        <v>0</v>
      </c>
      <c r="AI17" s="138">
        <f>IF(NOT(OR(Z17=1,Z17=2)),IF(AQ17&gt;0,$AR$44*AQ17/SUMIF($AQ$8:$AQ$39,"&gt;0"),IF(AU17&gt;0,$AV$44*AU17/SUMIF($AU$8:$AU$39,"&gt;0"),IF(AS17&gt;0,$AT$44*AS17/SUMIF($AS$8:$AS$39,"&gt;0"),""))),IF(SUMIF(AJ18:$AJ$39,"=" &amp; AJ17,AI18:$AI$39)=0,"",SUMIF(AJ18:$AJ$39,"=" &amp; AJ17,AI18:$AI$39)))</f>
        <v>0.15</v>
      </c>
      <c r="AJ17" s="139">
        <f t="shared" si="34"/>
        <v>2</v>
      </c>
      <c r="AK17" s="453">
        <f t="shared" si="27"/>
        <v>1</v>
      </c>
      <c r="AL17" s="146">
        <f t="shared" si="28"/>
        <v>3</v>
      </c>
      <c r="AM17" s="146">
        <f t="shared" si="35"/>
        <v>1</v>
      </c>
      <c r="AN17" s="146" t="str">
        <f t="shared" si="5"/>
        <v/>
      </c>
      <c r="AO17" s="146" t="str">
        <f t="shared" si="6"/>
        <v/>
      </c>
      <c r="AP17" s="453" t="b">
        <f t="shared" si="7"/>
        <v>0</v>
      </c>
      <c r="AQ17" s="140">
        <f t="shared" si="29"/>
        <v>15</v>
      </c>
      <c r="AR17" s="141">
        <f t="shared" si="8"/>
        <v>0.95</v>
      </c>
      <c r="AS17" s="142">
        <f t="shared" si="30"/>
        <v>0</v>
      </c>
      <c r="AT17" s="141" t="str">
        <f t="shared" si="9"/>
        <v/>
      </c>
      <c r="AU17" s="143">
        <f t="shared" si="10"/>
        <v>0</v>
      </c>
      <c r="AV17" s="144">
        <f t="shared" si="11"/>
        <v>0.95</v>
      </c>
      <c r="AW17" s="143" t="b">
        <f t="shared" si="12"/>
        <v>0</v>
      </c>
      <c r="AX17" s="145" t="b">
        <f t="shared" si="13"/>
        <v>0</v>
      </c>
      <c r="AY17" s="143" t="b">
        <f t="shared" si="14"/>
        <v>0</v>
      </c>
      <c r="AZ17" s="145" t="b">
        <f t="shared" si="15"/>
        <v>0</v>
      </c>
      <c r="BA17" s="453" t="b">
        <f t="shared" si="16"/>
        <v>0</v>
      </c>
      <c r="BB17" s="453" t="b">
        <f t="shared" si="17"/>
        <v>0</v>
      </c>
      <c r="BC17" s="143" t="b">
        <f t="shared" si="18"/>
        <v>0</v>
      </c>
      <c r="BD17" s="146" t="b">
        <f t="shared" si="31"/>
        <v>0</v>
      </c>
      <c r="BE17" s="145" t="b">
        <f t="shared" si="19"/>
        <v>0</v>
      </c>
      <c r="BF17" s="147" t="b">
        <f t="shared" si="20"/>
        <v>0</v>
      </c>
      <c r="BG17" s="453" t="b">
        <f t="shared" si="21"/>
        <v>0</v>
      </c>
      <c r="BH17" s="453">
        <f t="shared" si="32"/>
        <v>1</v>
      </c>
      <c r="BI17" s="453">
        <f t="shared" si="22"/>
        <v>1</v>
      </c>
      <c r="BJ17" s="453" t="str">
        <f t="shared" si="23"/>
        <v>1*</v>
      </c>
      <c r="BK17" s="453">
        <f t="shared" si="24"/>
        <v>2</v>
      </c>
      <c r="BL17" s="148">
        <f t="shared" si="33"/>
        <v>1</v>
      </c>
      <c r="BM17" s="453">
        <f t="shared" si="25"/>
        <v>1</v>
      </c>
      <c r="BN17" s="453">
        <f t="shared" si="26"/>
        <v>2</v>
      </c>
      <c r="BO17" s="90"/>
    </row>
    <row r="18" spans="2:73" s="94" customFormat="1" ht="12.95" customHeight="1" x14ac:dyDescent="0.2">
      <c r="B18" s="151">
        <f>IF(ISNA(Z18),"",IF(OR(Z18=1,Z18=2),"    ",MAX($B$8:B17)+1))</f>
        <v>8</v>
      </c>
      <c r="C18" s="904" t="str">
        <f t="shared" si="0"/>
        <v xml:space="preserve">      - Communication (15.0%)</v>
      </c>
      <c r="D18" s="904"/>
      <c r="E18" s="904"/>
      <c r="F18" s="905"/>
      <c r="G18" s="133">
        <f t="shared" si="1"/>
        <v>1</v>
      </c>
      <c r="H18" s="134" t="str">
        <f t="shared" si="2"/>
        <v>1*</v>
      </c>
      <c r="I18" s="152">
        <f t="shared" si="2"/>
        <v>2</v>
      </c>
      <c r="J18" s="158">
        <v>1</v>
      </c>
      <c r="K18" s="159">
        <v>3</v>
      </c>
      <c r="L18" s="961"/>
      <c r="M18" s="962"/>
      <c r="N18" s="962"/>
      <c r="O18" s="962"/>
      <c r="P18" s="962"/>
      <c r="Q18" s="962"/>
      <c r="R18" s="963"/>
      <c r="T18" s="99">
        <v>11</v>
      </c>
      <c r="U18" s="88" t="s">
        <v>500</v>
      </c>
      <c r="V18" s="453">
        <v>1</v>
      </c>
      <c r="W18" s="453">
        <v>15</v>
      </c>
      <c r="X18" s="453" t="s">
        <v>340</v>
      </c>
      <c r="Y18" s="453" t="s">
        <v>340</v>
      </c>
      <c r="Z18" s="146" t="s">
        <v>340</v>
      </c>
      <c r="AA18" s="146">
        <v>2</v>
      </c>
      <c r="AB18" s="146">
        <v>1</v>
      </c>
      <c r="AC18" s="453">
        <v>2</v>
      </c>
      <c r="AD18" s="453">
        <v>1</v>
      </c>
      <c r="AE18" s="453">
        <v>1</v>
      </c>
      <c r="AF18" s="453" t="b">
        <v>1</v>
      </c>
      <c r="AG18" s="453">
        <f t="shared" si="3"/>
        <v>1</v>
      </c>
      <c r="AH18" s="453">
        <f t="shared" si="4"/>
        <v>0</v>
      </c>
      <c r="AI18" s="138">
        <f>IF(NOT(OR(Z18=1,Z18=2)),IF(AQ18&gt;0,$AR$44*AQ18/SUMIF($AQ$8:$AQ$39,"&gt;0"),IF(AU18&gt;0,$AV$44*AU18/SUMIF($AU$8:$AU$39,"&gt;0"),IF(AS18&gt;0,$AT$44*AS18/SUMIF($AS$8:$AS$39,"&gt;0"),""))),IF(SUMIF(AJ19:$AJ$39,"=" &amp; AJ18,AI19:$AI$39)=0,"",SUMIF(AJ19:$AJ$39,"=" &amp; AJ18,AI19:$AI$39)))</f>
        <v>0.15</v>
      </c>
      <c r="AJ18" s="139">
        <f t="shared" si="34"/>
        <v>2</v>
      </c>
      <c r="AK18" s="453">
        <f t="shared" si="27"/>
        <v>1</v>
      </c>
      <c r="AL18" s="146">
        <f t="shared" si="28"/>
        <v>3</v>
      </c>
      <c r="AM18" s="146">
        <f t="shared" si="35"/>
        <v>1</v>
      </c>
      <c r="AN18" s="146" t="str">
        <f t="shared" si="5"/>
        <v/>
      </c>
      <c r="AO18" s="146" t="str">
        <f t="shared" si="6"/>
        <v/>
      </c>
      <c r="AP18" s="453" t="b">
        <f t="shared" si="7"/>
        <v>0</v>
      </c>
      <c r="AQ18" s="140">
        <f t="shared" si="29"/>
        <v>15</v>
      </c>
      <c r="AR18" s="141">
        <f t="shared" si="8"/>
        <v>0.95</v>
      </c>
      <c r="AS18" s="142">
        <f t="shared" si="30"/>
        <v>0</v>
      </c>
      <c r="AT18" s="141" t="str">
        <f t="shared" si="9"/>
        <v/>
      </c>
      <c r="AU18" s="143">
        <f t="shared" si="10"/>
        <v>0</v>
      </c>
      <c r="AV18" s="144">
        <f t="shared" si="11"/>
        <v>0.95</v>
      </c>
      <c r="AW18" s="143" t="b">
        <f t="shared" si="12"/>
        <v>0</v>
      </c>
      <c r="AX18" s="145" t="b">
        <f t="shared" si="13"/>
        <v>0</v>
      </c>
      <c r="AY18" s="143" t="b">
        <f t="shared" si="14"/>
        <v>0</v>
      </c>
      <c r="AZ18" s="145" t="b">
        <f t="shared" si="15"/>
        <v>0</v>
      </c>
      <c r="BA18" s="453" t="b">
        <f t="shared" si="16"/>
        <v>0</v>
      </c>
      <c r="BB18" s="453" t="b">
        <f t="shared" si="17"/>
        <v>0</v>
      </c>
      <c r="BC18" s="143" t="b">
        <f t="shared" si="18"/>
        <v>0</v>
      </c>
      <c r="BD18" s="146" t="b">
        <f t="shared" si="31"/>
        <v>0</v>
      </c>
      <c r="BE18" s="145" t="b">
        <f t="shared" si="19"/>
        <v>0</v>
      </c>
      <c r="BF18" s="147" t="b">
        <f t="shared" si="20"/>
        <v>0</v>
      </c>
      <c r="BG18" s="453" t="b">
        <f t="shared" si="21"/>
        <v>0</v>
      </c>
      <c r="BH18" s="453">
        <f t="shared" si="32"/>
        <v>1</v>
      </c>
      <c r="BI18" s="453">
        <f t="shared" si="22"/>
        <v>1</v>
      </c>
      <c r="BJ18" s="453" t="str">
        <f t="shared" si="23"/>
        <v>1*</v>
      </c>
      <c r="BK18" s="453">
        <f t="shared" si="24"/>
        <v>2</v>
      </c>
      <c r="BL18" s="148">
        <f t="shared" si="33"/>
        <v>1</v>
      </c>
      <c r="BM18" s="453">
        <f t="shared" si="25"/>
        <v>1</v>
      </c>
      <c r="BN18" s="453">
        <f t="shared" si="26"/>
        <v>2</v>
      </c>
      <c r="BO18" s="300"/>
      <c r="BP18" s="160" t="s">
        <v>355</v>
      </c>
      <c r="BQ18" s="161"/>
      <c r="BR18" s="161"/>
      <c r="BS18" s="161"/>
      <c r="BT18" s="161"/>
      <c r="BU18" s="161"/>
    </row>
    <row r="19" spans="2:73" s="94" customFormat="1" ht="12.95" customHeight="1" x14ac:dyDescent="0.2">
      <c r="B19" s="151">
        <f>IF(ISNA(Z19),"",IF(OR(Z19=1,Z19=2),"    ",MAX($B$8:B18)+1))</f>
        <v>9</v>
      </c>
      <c r="C19" s="904" t="str">
        <f t="shared" si="0"/>
        <v xml:space="preserve">      - Teamwork (15.0%)</v>
      </c>
      <c r="D19" s="904"/>
      <c r="E19" s="904"/>
      <c r="F19" s="905"/>
      <c r="G19" s="133">
        <f t="shared" si="1"/>
        <v>1</v>
      </c>
      <c r="H19" s="134" t="str">
        <f t="shared" si="2"/>
        <v>1*</v>
      </c>
      <c r="I19" s="152">
        <f t="shared" si="2"/>
        <v>2</v>
      </c>
      <c r="J19" s="158">
        <v>1</v>
      </c>
      <c r="K19" s="159">
        <v>3</v>
      </c>
      <c r="L19" s="961"/>
      <c r="M19" s="962"/>
      <c r="N19" s="962"/>
      <c r="O19" s="962"/>
      <c r="P19" s="962"/>
      <c r="Q19" s="962"/>
      <c r="R19" s="963"/>
      <c r="T19" s="99">
        <v>12</v>
      </c>
      <c r="U19" s="88" t="s">
        <v>501</v>
      </c>
      <c r="V19" s="453">
        <v>1</v>
      </c>
      <c r="W19" s="453">
        <v>15</v>
      </c>
      <c r="X19" s="453" t="s">
        <v>340</v>
      </c>
      <c r="Y19" s="453" t="s">
        <v>340</v>
      </c>
      <c r="Z19" s="146" t="s">
        <v>340</v>
      </c>
      <c r="AA19" s="146">
        <v>2</v>
      </c>
      <c r="AB19" s="146">
        <v>1</v>
      </c>
      <c r="AC19" s="453">
        <v>2</v>
      </c>
      <c r="AD19" s="453">
        <v>1</v>
      </c>
      <c r="AE19" s="453">
        <v>1</v>
      </c>
      <c r="AF19" s="453" t="b">
        <v>1</v>
      </c>
      <c r="AG19" s="453">
        <f t="shared" si="3"/>
        <v>1</v>
      </c>
      <c r="AH19" s="453">
        <f t="shared" si="4"/>
        <v>0</v>
      </c>
      <c r="AI19" s="138">
        <f>IF(NOT(OR(Z19=1,Z19=2)),IF(AQ19&gt;0,$AR$44*AQ19/SUMIF($AQ$8:$AQ$39,"&gt;0"),IF(AU19&gt;0,$AV$44*AU19/SUMIF($AU$8:$AU$39,"&gt;0"),IF(AS19&gt;0,$AT$44*AS19/SUMIF($AS$8:$AS$39,"&gt;0"),""))),IF(SUMIF(AJ20:$AJ$39,"=" &amp; AJ19,AI20:$AI$39)=0,"",SUMIF(AJ20:$AJ$39,"=" &amp; AJ19,AI20:$AI$39)))</f>
        <v>0.15</v>
      </c>
      <c r="AJ19" s="139">
        <f t="shared" si="34"/>
        <v>2</v>
      </c>
      <c r="AK19" s="453">
        <f t="shared" si="27"/>
        <v>1</v>
      </c>
      <c r="AL19" s="146">
        <f t="shared" si="28"/>
        <v>3</v>
      </c>
      <c r="AM19" s="146">
        <f t="shared" si="35"/>
        <v>1</v>
      </c>
      <c r="AN19" s="146" t="str">
        <f t="shared" si="5"/>
        <v/>
      </c>
      <c r="AO19" s="146" t="str">
        <f t="shared" si="6"/>
        <v/>
      </c>
      <c r="AP19" s="453" t="b">
        <f t="shared" si="7"/>
        <v>0</v>
      </c>
      <c r="AQ19" s="140">
        <f t="shared" si="29"/>
        <v>15</v>
      </c>
      <c r="AR19" s="141">
        <f t="shared" si="8"/>
        <v>0.95</v>
      </c>
      <c r="AS19" s="142">
        <f t="shared" si="30"/>
        <v>0</v>
      </c>
      <c r="AT19" s="141" t="str">
        <f t="shared" si="9"/>
        <v/>
      </c>
      <c r="AU19" s="143">
        <f t="shared" si="10"/>
        <v>0</v>
      </c>
      <c r="AV19" s="144">
        <f t="shared" si="11"/>
        <v>0.95</v>
      </c>
      <c r="AW19" s="143" t="b">
        <f t="shared" si="12"/>
        <v>0</v>
      </c>
      <c r="AX19" s="145" t="b">
        <f t="shared" si="13"/>
        <v>0</v>
      </c>
      <c r="AY19" s="143" t="b">
        <f t="shared" si="14"/>
        <v>0</v>
      </c>
      <c r="AZ19" s="145" t="b">
        <f t="shared" si="15"/>
        <v>0</v>
      </c>
      <c r="BA19" s="453" t="b">
        <f t="shared" si="16"/>
        <v>0</v>
      </c>
      <c r="BB19" s="453" t="b">
        <f t="shared" si="17"/>
        <v>0</v>
      </c>
      <c r="BC19" s="143" t="b">
        <f t="shared" si="18"/>
        <v>0</v>
      </c>
      <c r="BD19" s="146" t="b">
        <f t="shared" si="31"/>
        <v>0</v>
      </c>
      <c r="BE19" s="145" t="b">
        <f t="shared" si="19"/>
        <v>0</v>
      </c>
      <c r="BF19" s="147" t="b">
        <f t="shared" si="20"/>
        <v>0</v>
      </c>
      <c r="BG19" s="453" t="b">
        <f t="shared" si="21"/>
        <v>0</v>
      </c>
      <c r="BH19" s="453">
        <f t="shared" si="32"/>
        <v>1</v>
      </c>
      <c r="BI19" s="453">
        <f t="shared" si="22"/>
        <v>1</v>
      </c>
      <c r="BJ19" s="453" t="str">
        <f t="shared" si="23"/>
        <v>1*</v>
      </c>
      <c r="BK19" s="453">
        <f t="shared" si="24"/>
        <v>2</v>
      </c>
      <c r="BL19" s="148">
        <f t="shared" si="33"/>
        <v>1</v>
      </c>
      <c r="BM19" s="453">
        <f t="shared" si="25"/>
        <v>1</v>
      </c>
      <c r="BN19" s="453">
        <f t="shared" si="26"/>
        <v>2</v>
      </c>
      <c r="BO19" s="300"/>
      <c r="BP19" s="150"/>
      <c r="BQ19" s="935" t="s">
        <v>356</v>
      </c>
      <c r="BR19" s="935"/>
      <c r="BS19" s="935"/>
      <c r="BT19" s="935"/>
      <c r="BU19" s="935"/>
    </row>
    <row r="20" spans="2:73" s="94" customFormat="1" ht="12.95" customHeight="1" x14ac:dyDescent="0.2">
      <c r="B20" s="151" t="str">
        <f>IF(ISNA(Z20),"",IF(OR(Z20=1,Z20=2),"    ",MAX($B$8:B19)+1))</f>
        <v xml:space="preserve">    </v>
      </c>
      <c r="C20" s="904" t="str">
        <f t="shared" si="0"/>
        <v>Test Points/Procedures (25.0%)</v>
      </c>
      <c r="D20" s="904"/>
      <c r="E20" s="904"/>
      <c r="F20" s="905"/>
      <c r="G20" s="133" t="str">
        <f t="shared" si="1"/>
        <v/>
      </c>
      <c r="H20" s="134" t="str">
        <f t="shared" si="2"/>
        <v/>
      </c>
      <c r="I20" s="152" t="str">
        <f t="shared" si="2"/>
        <v/>
      </c>
      <c r="J20" s="158" t="s">
        <v>340</v>
      </c>
      <c r="K20" s="159" t="s">
        <v>340</v>
      </c>
      <c r="L20" s="961"/>
      <c r="M20" s="962"/>
      <c r="N20" s="962"/>
      <c r="O20" s="962"/>
      <c r="P20" s="962"/>
      <c r="Q20" s="962"/>
      <c r="R20" s="963"/>
      <c r="T20" s="99">
        <v>13</v>
      </c>
      <c r="U20" s="88" t="s">
        <v>590</v>
      </c>
      <c r="V20" s="453" t="s">
        <v>340</v>
      </c>
      <c r="W20" s="453" t="s">
        <v>340</v>
      </c>
      <c r="X20" s="453" t="s">
        <v>340</v>
      </c>
      <c r="Y20" s="453" t="s">
        <v>340</v>
      </c>
      <c r="Z20" s="146">
        <v>2</v>
      </c>
      <c r="AA20" s="146">
        <v>1</v>
      </c>
      <c r="AB20" s="146">
        <v>1</v>
      </c>
      <c r="AC20" s="453" t="s">
        <v>340</v>
      </c>
      <c r="AD20" s="453" t="s">
        <v>340</v>
      </c>
      <c r="AE20" s="453" t="s">
        <v>340</v>
      </c>
      <c r="AF20" s="453" t="s">
        <v>340</v>
      </c>
      <c r="AG20" s="453" t="str">
        <f t="shared" si="3"/>
        <v/>
      </c>
      <c r="AH20" s="453" t="str">
        <f t="shared" si="4"/>
        <v/>
      </c>
      <c r="AI20" s="138">
        <f>IF(NOT(OR(Z20=1,Z20=2)),IF(AQ20&gt;0,$AR$44*AQ20/SUMIF($AQ$8:$AQ$39,"&gt;0"),IF(AU20&gt;0,$AV$44*AU20/SUMIF($AU$8:$AU$39,"&gt;0"),IF(AS20&gt;0,$AT$44*AS20/SUMIF($AS$8:$AS$39,"&gt;0"),""))),IF(SUMIF(AJ21:$AJ$39,"=" &amp; AJ20,AI21:$AI$39)=0,"",SUMIF(AJ21:$AJ$39,"=" &amp; AJ20,AI21:$AI$39)))</f>
        <v>0.24999999999999997</v>
      </c>
      <c r="AJ20" s="139">
        <f t="shared" si="34"/>
        <v>3</v>
      </c>
      <c r="AK20" s="453" t="str">
        <f t="shared" si="27"/>
        <v/>
      </c>
      <c r="AL20" s="146" t="str">
        <f t="shared" si="28"/>
        <v/>
      </c>
      <c r="AM20" s="146" t="str">
        <f t="shared" si="35"/>
        <v/>
      </c>
      <c r="AN20" s="146" t="str">
        <f t="shared" si="5"/>
        <v/>
      </c>
      <c r="AO20" s="146" t="str">
        <f t="shared" si="6"/>
        <v/>
      </c>
      <c r="AP20" s="453" t="str">
        <f t="shared" si="7"/>
        <v/>
      </c>
      <c r="AQ20" s="140">
        <f t="shared" si="29"/>
        <v>0</v>
      </c>
      <c r="AR20" s="141" t="str">
        <f t="shared" si="8"/>
        <v/>
      </c>
      <c r="AS20" s="142">
        <f t="shared" si="30"/>
        <v>0</v>
      </c>
      <c r="AT20" s="141" t="str">
        <f t="shared" si="9"/>
        <v/>
      </c>
      <c r="AU20" s="143">
        <f t="shared" si="10"/>
        <v>0</v>
      </c>
      <c r="AV20" s="144" t="str">
        <f t="shared" si="11"/>
        <v/>
      </c>
      <c r="AW20" s="143" t="b">
        <f t="shared" si="12"/>
        <v>0</v>
      </c>
      <c r="AX20" s="145" t="b">
        <f t="shared" si="13"/>
        <v>0</v>
      </c>
      <c r="AY20" s="143" t="b">
        <f t="shared" si="14"/>
        <v>0</v>
      </c>
      <c r="AZ20" s="145" t="b">
        <f t="shared" si="15"/>
        <v>0</v>
      </c>
      <c r="BA20" s="453" t="b">
        <f t="shared" si="16"/>
        <v>0</v>
      </c>
      <c r="BB20" s="453" t="b">
        <f t="shared" si="17"/>
        <v>0</v>
      </c>
      <c r="BC20" s="143" t="b">
        <f t="shared" si="18"/>
        <v>0</v>
      </c>
      <c r="BD20" s="146" t="b">
        <f t="shared" si="31"/>
        <v>0</v>
      </c>
      <c r="BE20" s="145" t="b">
        <f t="shared" si="19"/>
        <v>0</v>
      </c>
      <c r="BF20" s="147" t="b">
        <f t="shared" si="20"/>
        <v>0</v>
      </c>
      <c r="BG20" s="453" t="b">
        <f t="shared" si="21"/>
        <v>0</v>
      </c>
      <c r="BH20" s="453" t="str">
        <f t="shared" si="32"/>
        <v/>
      </c>
      <c r="BI20" s="453" t="str">
        <f t="shared" si="22"/>
        <v/>
      </c>
      <c r="BJ20" s="453" t="str">
        <f t="shared" si="23"/>
        <v/>
      </c>
      <c r="BK20" s="453" t="str">
        <f t="shared" si="24"/>
        <v/>
      </c>
      <c r="BL20" s="148" t="str">
        <f t="shared" si="33"/>
        <v/>
      </c>
      <c r="BM20" s="453" t="str">
        <f t="shared" si="25"/>
        <v/>
      </c>
      <c r="BN20" s="453" t="str">
        <f t="shared" si="26"/>
        <v/>
      </c>
      <c r="BO20" s="300"/>
      <c r="BP20" s="300"/>
      <c r="BQ20" s="300">
        <v>0</v>
      </c>
      <c r="BR20" s="300">
        <v>1</v>
      </c>
      <c r="BS20" s="300">
        <v>2</v>
      </c>
      <c r="BT20" s="300">
        <v>3</v>
      </c>
      <c r="BU20" s="300">
        <v>4</v>
      </c>
    </row>
    <row r="21" spans="2:73" s="94" customFormat="1" ht="12.95" customHeight="1" x14ac:dyDescent="0.2">
      <c r="B21" s="151">
        <f>IF(ISNA(Z21),"",IF(OR(Z21=1,Z21=2),"    ",MAX($B$8:B20)+1))</f>
        <v>10</v>
      </c>
      <c r="C21" s="904" t="str">
        <f t="shared" si="0"/>
        <v xml:space="preserve">      - Check Climb (5.0%)</v>
      </c>
      <c r="D21" s="904"/>
      <c r="E21" s="904"/>
      <c r="F21" s="905"/>
      <c r="G21" s="133">
        <f t="shared" si="1"/>
        <v>1</v>
      </c>
      <c r="H21" s="134" t="str">
        <f t="shared" si="2"/>
        <v>1</v>
      </c>
      <c r="I21" s="152">
        <f t="shared" si="2"/>
        <v>2</v>
      </c>
      <c r="J21" s="158">
        <v>1</v>
      </c>
      <c r="K21" s="159">
        <v>3</v>
      </c>
      <c r="L21" s="961"/>
      <c r="M21" s="962"/>
      <c r="N21" s="962"/>
      <c r="O21" s="962"/>
      <c r="P21" s="962"/>
      <c r="Q21" s="962"/>
      <c r="R21" s="963"/>
      <c r="T21" s="99">
        <v>14</v>
      </c>
      <c r="U21" s="88" t="s">
        <v>666</v>
      </c>
      <c r="V21" s="453">
        <v>1</v>
      </c>
      <c r="W21" s="453">
        <v>5</v>
      </c>
      <c r="X21" s="453" t="s">
        <v>340</v>
      </c>
      <c r="Y21" s="453" t="s">
        <v>340</v>
      </c>
      <c r="Z21" s="146" t="s">
        <v>340</v>
      </c>
      <c r="AA21" s="146">
        <v>2</v>
      </c>
      <c r="AB21" s="146">
        <v>1</v>
      </c>
      <c r="AC21" s="453">
        <v>2</v>
      </c>
      <c r="AD21" s="453">
        <v>1</v>
      </c>
      <c r="AE21" s="453">
        <v>0</v>
      </c>
      <c r="AF21" s="453" t="b">
        <v>1</v>
      </c>
      <c r="AG21" s="453">
        <f t="shared" si="3"/>
        <v>1</v>
      </c>
      <c r="AH21" s="453">
        <f t="shared" si="4"/>
        <v>0</v>
      </c>
      <c r="AI21" s="138">
        <f>IF(NOT(OR(Z21=1,Z21=2)),IF(AQ21&gt;0,$AR$44*AQ21/SUMIF($AQ$8:$AQ$39,"&gt;0"),IF(AU21&gt;0,$AV$44*AU21/SUMIF($AU$8:$AU$39,"&gt;0"),IF(AS21&gt;0,$AT$44*AS21/SUMIF($AS$8:$AS$39,"&gt;0"),""))),IF(SUMIF(AJ22:$AJ$39,"=" &amp; AJ21,AI22:$AI$39)=0,"",SUMIF(AJ22:$AJ$39,"=" &amp; AJ21,AI22:$AI$39)))</f>
        <v>0.05</v>
      </c>
      <c r="AJ21" s="139">
        <f t="shared" si="34"/>
        <v>3</v>
      </c>
      <c r="AK21" s="453">
        <f t="shared" si="27"/>
        <v>1</v>
      </c>
      <c r="AL21" s="146">
        <f t="shared" si="28"/>
        <v>3</v>
      </c>
      <c r="AM21" s="146">
        <f t="shared" si="35"/>
        <v>1</v>
      </c>
      <c r="AN21" s="146" t="str">
        <f t="shared" si="5"/>
        <v/>
      </c>
      <c r="AO21" s="146" t="str">
        <f t="shared" si="6"/>
        <v/>
      </c>
      <c r="AP21" s="453" t="b">
        <f t="shared" si="7"/>
        <v>0</v>
      </c>
      <c r="AQ21" s="140">
        <f t="shared" si="29"/>
        <v>5</v>
      </c>
      <c r="AR21" s="141">
        <f t="shared" si="8"/>
        <v>0.95</v>
      </c>
      <c r="AS21" s="142">
        <f t="shared" si="30"/>
        <v>0</v>
      </c>
      <c r="AT21" s="141" t="str">
        <f t="shared" si="9"/>
        <v/>
      </c>
      <c r="AU21" s="143">
        <f t="shared" si="10"/>
        <v>0</v>
      </c>
      <c r="AV21" s="144">
        <f t="shared" si="11"/>
        <v>0.95</v>
      </c>
      <c r="AW21" s="143" t="b">
        <f t="shared" si="12"/>
        <v>0</v>
      </c>
      <c r="AX21" s="145" t="b">
        <f t="shared" si="13"/>
        <v>0</v>
      </c>
      <c r="AY21" s="143" t="b">
        <f t="shared" si="14"/>
        <v>0</v>
      </c>
      <c r="AZ21" s="145" t="b">
        <f t="shared" si="15"/>
        <v>0</v>
      </c>
      <c r="BA21" s="453" t="b">
        <f t="shared" si="16"/>
        <v>0</v>
      </c>
      <c r="BB21" s="453" t="b">
        <f t="shared" si="17"/>
        <v>0</v>
      </c>
      <c r="BC21" s="143" t="b">
        <f t="shared" si="18"/>
        <v>0</v>
      </c>
      <c r="BD21" s="146" t="b">
        <f t="shared" si="31"/>
        <v>0</v>
      </c>
      <c r="BE21" s="145" t="b">
        <f t="shared" si="19"/>
        <v>0</v>
      </c>
      <c r="BF21" s="147" t="b">
        <f t="shared" si="20"/>
        <v>0</v>
      </c>
      <c r="BG21" s="453" t="b">
        <f t="shared" si="21"/>
        <v>0</v>
      </c>
      <c r="BH21" s="453">
        <f t="shared" si="32"/>
        <v>1</v>
      </c>
      <c r="BI21" s="453">
        <f t="shared" si="22"/>
        <v>1</v>
      </c>
      <c r="BJ21" s="453" t="str">
        <f t="shared" si="23"/>
        <v>1</v>
      </c>
      <c r="BK21" s="453">
        <f t="shared" si="24"/>
        <v>2</v>
      </c>
      <c r="BL21" s="148">
        <f t="shared" si="33"/>
        <v>1</v>
      </c>
      <c r="BM21" s="453">
        <f t="shared" si="25"/>
        <v>1</v>
      </c>
      <c r="BN21" s="453">
        <f t="shared" si="26"/>
        <v>2</v>
      </c>
      <c r="BO21" s="936" t="s">
        <v>358</v>
      </c>
      <c r="BP21" s="300" t="s">
        <v>359</v>
      </c>
      <c r="BQ21" s="162">
        <f t="shared" ref="BQ21:BU29" si="36">AR50</f>
        <v>0.7</v>
      </c>
      <c r="BR21" s="163">
        <f t="shared" si="36"/>
        <v>0.9</v>
      </c>
      <c r="BS21" s="163">
        <f t="shared" si="36"/>
        <v>0.93330000000000002</v>
      </c>
      <c r="BT21" s="163">
        <f t="shared" si="36"/>
        <v>0.9667</v>
      </c>
      <c r="BU21" s="164">
        <f t="shared" si="36"/>
        <v>1</v>
      </c>
    </row>
    <row r="22" spans="2:73" s="94" customFormat="1" ht="12.95" customHeight="1" x14ac:dyDescent="0.2">
      <c r="B22" s="151">
        <f>IF(ISNA(Z22),"",IF(OR(Z22=1,Z22=2),"    ",MAX($B$8:B21)+1))</f>
        <v>11</v>
      </c>
      <c r="C22" s="904" t="str">
        <f t="shared" si="0"/>
        <v xml:space="preserve">      - Trim Shot (2.5%)</v>
      </c>
      <c r="D22" s="904"/>
      <c r="E22" s="904"/>
      <c r="F22" s="905"/>
      <c r="G22" s="133">
        <f t="shared" si="1"/>
        <v>1</v>
      </c>
      <c r="H22" s="134" t="str">
        <f t="shared" si="2"/>
        <v>1</v>
      </c>
      <c r="I22" s="152">
        <f t="shared" si="2"/>
        <v>2</v>
      </c>
      <c r="J22" s="158">
        <v>1</v>
      </c>
      <c r="K22" s="159">
        <v>3</v>
      </c>
      <c r="L22" s="961"/>
      <c r="M22" s="962"/>
      <c r="N22" s="962"/>
      <c r="O22" s="962"/>
      <c r="P22" s="962"/>
      <c r="Q22" s="962"/>
      <c r="R22" s="963"/>
      <c r="T22" s="99">
        <v>15</v>
      </c>
      <c r="U22" s="88" t="s">
        <v>667</v>
      </c>
      <c r="V22" s="453">
        <v>1</v>
      </c>
      <c r="W22" s="453">
        <v>2.5</v>
      </c>
      <c r="X22" s="453" t="s">
        <v>340</v>
      </c>
      <c r="Y22" s="453" t="s">
        <v>340</v>
      </c>
      <c r="Z22" s="146" t="s">
        <v>340</v>
      </c>
      <c r="AA22" s="146">
        <v>2</v>
      </c>
      <c r="AB22" s="146">
        <v>1</v>
      </c>
      <c r="AC22" s="453">
        <v>2</v>
      </c>
      <c r="AD22" s="453">
        <v>1</v>
      </c>
      <c r="AE22" s="453">
        <v>0</v>
      </c>
      <c r="AF22" s="453" t="b">
        <v>1</v>
      </c>
      <c r="AG22" s="453">
        <f t="shared" si="3"/>
        <v>1</v>
      </c>
      <c r="AH22" s="453">
        <f t="shared" si="4"/>
        <v>0</v>
      </c>
      <c r="AI22" s="138">
        <f>IF(NOT(OR(Z22=1,Z22=2)),IF(AQ22&gt;0,$AR$44*AQ22/SUMIF($AQ$8:$AQ$39,"&gt;0"),IF(AU22&gt;0,$AV$44*AU22/SUMIF($AU$8:$AU$39,"&gt;0"),IF(AS22&gt;0,$AT$44*AS22/SUMIF($AS$8:$AS$39,"&gt;0"),""))),IF(SUMIF(AJ23:$AJ$39,"=" &amp; AJ22,AI23:$AI$39)=0,"",SUMIF(AJ23:$AJ$39,"=" &amp; AJ22,AI23:$AI$39)))</f>
        <v>2.5000000000000001E-2</v>
      </c>
      <c r="AJ22" s="139">
        <f t="shared" si="34"/>
        <v>3</v>
      </c>
      <c r="AK22" s="453">
        <f t="shared" si="27"/>
        <v>1</v>
      </c>
      <c r="AL22" s="146">
        <f t="shared" si="28"/>
        <v>3</v>
      </c>
      <c r="AM22" s="146">
        <f t="shared" si="35"/>
        <v>1</v>
      </c>
      <c r="AN22" s="146" t="str">
        <f t="shared" si="5"/>
        <v/>
      </c>
      <c r="AO22" s="146" t="str">
        <f t="shared" si="6"/>
        <v/>
      </c>
      <c r="AP22" s="453" t="b">
        <f t="shared" si="7"/>
        <v>0</v>
      </c>
      <c r="AQ22" s="140">
        <f t="shared" si="29"/>
        <v>2.5</v>
      </c>
      <c r="AR22" s="141">
        <f t="shared" si="8"/>
        <v>0.95</v>
      </c>
      <c r="AS22" s="142">
        <f t="shared" si="30"/>
        <v>0</v>
      </c>
      <c r="AT22" s="141" t="str">
        <f t="shared" si="9"/>
        <v/>
      </c>
      <c r="AU22" s="143">
        <f t="shared" si="10"/>
        <v>0</v>
      </c>
      <c r="AV22" s="144">
        <f t="shared" si="11"/>
        <v>0.95</v>
      </c>
      <c r="AW22" s="143" t="b">
        <f t="shared" si="12"/>
        <v>0</v>
      </c>
      <c r="AX22" s="145" t="b">
        <f t="shared" si="13"/>
        <v>0</v>
      </c>
      <c r="AY22" s="143" t="b">
        <f t="shared" si="14"/>
        <v>0</v>
      </c>
      <c r="AZ22" s="145" t="b">
        <f t="shared" si="15"/>
        <v>0</v>
      </c>
      <c r="BA22" s="453" t="b">
        <f t="shared" si="16"/>
        <v>0</v>
      </c>
      <c r="BB22" s="453" t="b">
        <f t="shared" si="17"/>
        <v>0</v>
      </c>
      <c r="BC22" s="143" t="b">
        <f t="shared" si="18"/>
        <v>0</v>
      </c>
      <c r="BD22" s="146" t="b">
        <f t="shared" si="31"/>
        <v>0</v>
      </c>
      <c r="BE22" s="145" t="b">
        <f>IF(OR(ISNA($Z22),K22&lt;&gt;"D"),FALSE,IF(OR(AND(H22="NG",J22=0),AND(H22&lt;&gt;"NG",NOT(OR(J22="NA",J22=0)))),TRUE,FALSE))</f>
        <v>0</v>
      </c>
      <c r="BF22" s="147" t="b">
        <f t="shared" si="20"/>
        <v>0</v>
      </c>
      <c r="BG22" s="453" t="b">
        <f>IF(ISNA($Z22),"NA",IF(OR(AZ22,AY22,AX22,AW22,AP22,BA22,BB22),TRUE,FALSE))</f>
        <v>0</v>
      </c>
      <c r="BH22" s="453">
        <f t="shared" si="32"/>
        <v>1</v>
      </c>
      <c r="BI22" s="453">
        <f t="shared" si="22"/>
        <v>1</v>
      </c>
      <c r="BJ22" s="453" t="str">
        <f t="shared" si="23"/>
        <v>1</v>
      </c>
      <c r="BK22" s="453">
        <f t="shared" si="24"/>
        <v>2</v>
      </c>
      <c r="BL22" s="148">
        <f t="shared" si="33"/>
        <v>1</v>
      </c>
      <c r="BM22" s="453">
        <f t="shared" si="25"/>
        <v>1</v>
      </c>
      <c r="BN22" s="453">
        <f t="shared" si="26"/>
        <v>2</v>
      </c>
      <c r="BO22" s="936"/>
      <c r="BP22" s="300" t="s">
        <v>360</v>
      </c>
      <c r="BQ22" s="165">
        <f t="shared" si="36"/>
        <v>0.7</v>
      </c>
      <c r="BR22" s="166">
        <f t="shared" si="36"/>
        <v>0.8</v>
      </c>
      <c r="BS22" s="166">
        <f t="shared" si="36"/>
        <v>0.9</v>
      </c>
      <c r="BT22" s="166">
        <f t="shared" si="36"/>
        <v>0.95</v>
      </c>
      <c r="BU22" s="167">
        <f t="shared" si="36"/>
        <v>1</v>
      </c>
    </row>
    <row r="23" spans="2:73" s="94" customFormat="1" ht="12.95" customHeight="1" x14ac:dyDescent="0.2">
      <c r="B23" s="151">
        <f>IF(ISNA(Z23),"",IF(OR(Z23=1,Z23=2),"    ",MAX($B$8:B22)+1))</f>
        <v>12</v>
      </c>
      <c r="C23" s="904" t="str">
        <f t="shared" si="0"/>
        <v xml:space="preserve">      - 40% Flaps Level Accel (5.0%)</v>
      </c>
      <c r="D23" s="904"/>
      <c r="E23" s="904"/>
      <c r="F23" s="905"/>
      <c r="G23" s="133">
        <f t="shared" si="1"/>
        <v>1</v>
      </c>
      <c r="H23" s="134" t="str">
        <f t="shared" si="2"/>
        <v>1</v>
      </c>
      <c r="I23" s="152">
        <f t="shared" si="2"/>
        <v>2</v>
      </c>
      <c r="J23" s="158">
        <v>1</v>
      </c>
      <c r="K23" s="159">
        <v>2</v>
      </c>
      <c r="L23" s="961"/>
      <c r="M23" s="962"/>
      <c r="N23" s="962"/>
      <c r="O23" s="962"/>
      <c r="P23" s="962"/>
      <c r="Q23" s="962"/>
      <c r="R23" s="963"/>
      <c r="T23" s="99">
        <v>16</v>
      </c>
      <c r="U23" s="88" t="s">
        <v>835</v>
      </c>
      <c r="V23" s="453">
        <v>1</v>
      </c>
      <c r="W23" s="453">
        <v>5</v>
      </c>
      <c r="X23" s="453" t="s">
        <v>340</v>
      </c>
      <c r="Y23" s="453" t="s">
        <v>340</v>
      </c>
      <c r="Z23" s="146" t="s">
        <v>340</v>
      </c>
      <c r="AA23" s="146">
        <v>2</v>
      </c>
      <c r="AB23" s="146">
        <v>1</v>
      </c>
      <c r="AC23" s="453">
        <v>2</v>
      </c>
      <c r="AD23" s="453">
        <v>1</v>
      </c>
      <c r="AE23" s="453">
        <v>0</v>
      </c>
      <c r="AF23" s="453" t="b">
        <v>1</v>
      </c>
      <c r="AG23" s="453">
        <f t="shared" si="3"/>
        <v>1</v>
      </c>
      <c r="AH23" s="453">
        <f t="shared" si="4"/>
        <v>0</v>
      </c>
      <c r="AI23" s="138">
        <f>IF(NOT(OR(Z23=1,Z23=2)),IF(AQ23&gt;0,$AR$44*AQ23/SUMIF($AQ$8:$AQ$39,"&gt;0"),IF(AU23&gt;0,$AV$44*AU23/SUMIF($AU$8:$AU$39,"&gt;0"),IF(AS23&gt;0,$AT$44*AS23/SUMIF($AS$8:$AS$39,"&gt;0"),""))),IF(SUMIF(AJ24:$AJ$39,"=" &amp; AJ23,AI24:$AI$39)=0,"",SUMIF(AJ24:$AJ$39,"=" &amp; AJ23,AI24:$AI$39)))</f>
        <v>0.05</v>
      </c>
      <c r="AJ23" s="139">
        <f t="shared" si="34"/>
        <v>3</v>
      </c>
      <c r="AK23" s="453">
        <f t="shared" si="27"/>
        <v>1</v>
      </c>
      <c r="AL23" s="146">
        <f t="shared" si="28"/>
        <v>2</v>
      </c>
      <c r="AM23" s="146">
        <f t="shared" si="35"/>
        <v>1</v>
      </c>
      <c r="AN23" s="146" t="str">
        <f t="shared" si="5"/>
        <v/>
      </c>
      <c r="AO23" s="146" t="str">
        <f t="shared" si="6"/>
        <v/>
      </c>
      <c r="AP23" s="453" t="b">
        <f t="shared" si="7"/>
        <v>0</v>
      </c>
      <c r="AQ23" s="140">
        <f t="shared" si="29"/>
        <v>5</v>
      </c>
      <c r="AR23" s="141">
        <f t="shared" si="8"/>
        <v>0.9</v>
      </c>
      <c r="AS23" s="142">
        <f t="shared" si="30"/>
        <v>0</v>
      </c>
      <c r="AT23" s="141" t="str">
        <f t="shared" si="9"/>
        <v/>
      </c>
      <c r="AU23" s="143">
        <f t="shared" si="10"/>
        <v>0</v>
      </c>
      <c r="AV23" s="144">
        <f t="shared" si="11"/>
        <v>0.9</v>
      </c>
      <c r="AW23" s="143" t="b">
        <f t="shared" si="12"/>
        <v>0</v>
      </c>
      <c r="AX23" s="145" t="b">
        <f t="shared" si="13"/>
        <v>0</v>
      </c>
      <c r="AY23" s="143" t="b">
        <f t="shared" si="14"/>
        <v>0</v>
      </c>
      <c r="AZ23" s="145" t="b">
        <f t="shared" si="15"/>
        <v>0</v>
      </c>
      <c r="BA23" s="453" t="b">
        <f t="shared" si="16"/>
        <v>0</v>
      </c>
      <c r="BB23" s="453" t="b">
        <f t="shared" si="17"/>
        <v>0</v>
      </c>
      <c r="BC23" s="143" t="b">
        <f t="shared" si="18"/>
        <v>0</v>
      </c>
      <c r="BD23" s="146" t="b">
        <f t="shared" si="31"/>
        <v>0</v>
      </c>
      <c r="BE23" s="145" t="b">
        <f t="shared" ref="BE23:BE39" si="37">IF(OR(ISNA($Z23),K23&lt;&gt;"D"),FALSE,IF(OR(AND(H23="NG",J23=0),AND(H23&lt;&gt;"NG",NOT(OR(J23="NA",J23=0)))),TRUE,FALSE))</f>
        <v>0</v>
      </c>
      <c r="BF23" s="147" t="b">
        <f t="shared" si="20"/>
        <v>0</v>
      </c>
      <c r="BG23" s="453" t="b">
        <f t="shared" ref="BG23:BG39" si="38">IF(ISNA($Z23),"NA",IF(OR(AZ23,AY23,AX23,AW23,AP23,BA23,BB23),TRUE,FALSE))</f>
        <v>0</v>
      </c>
      <c r="BH23" s="453">
        <f t="shared" si="32"/>
        <v>1</v>
      </c>
      <c r="BI23" s="453">
        <f t="shared" si="22"/>
        <v>1</v>
      </c>
      <c r="BJ23" s="453" t="str">
        <f t="shared" si="23"/>
        <v>1</v>
      </c>
      <c r="BK23" s="453">
        <f t="shared" si="24"/>
        <v>2</v>
      </c>
      <c r="BL23" s="148">
        <f t="shared" si="33"/>
        <v>1</v>
      </c>
      <c r="BM23" s="453">
        <f t="shared" si="25"/>
        <v>1</v>
      </c>
      <c r="BN23" s="453">
        <f t="shared" si="26"/>
        <v>2</v>
      </c>
      <c r="BO23" s="936"/>
      <c r="BP23" s="300" t="s">
        <v>361</v>
      </c>
      <c r="BQ23" s="165">
        <f t="shared" si="36"/>
        <v>0.7</v>
      </c>
      <c r="BR23" s="166">
        <f t="shared" si="36"/>
        <v>0.76670000000000005</v>
      </c>
      <c r="BS23" s="166">
        <f t="shared" si="36"/>
        <v>0.83330000000000004</v>
      </c>
      <c r="BT23" s="166">
        <f t="shared" si="36"/>
        <v>0.9</v>
      </c>
      <c r="BU23" s="167">
        <f t="shared" si="36"/>
        <v>1</v>
      </c>
    </row>
    <row r="24" spans="2:73" s="94" customFormat="1" ht="12.95" customHeight="1" x14ac:dyDescent="0.2">
      <c r="B24" s="151">
        <f>IF(ISNA(Z24),"",IF(OR(Z24=1,Z24=2),"    ",MAX($B$8:B23)+1))</f>
        <v>13</v>
      </c>
      <c r="C24" s="904" t="str">
        <f t="shared" si="0"/>
        <v xml:space="preserve">      - Check Descent (5.0%)</v>
      </c>
      <c r="D24" s="904"/>
      <c r="E24" s="904"/>
      <c r="F24" s="905"/>
      <c r="G24" s="133">
        <f t="shared" si="1"/>
        <v>1</v>
      </c>
      <c r="H24" s="134" t="str">
        <f t="shared" si="2"/>
        <v>1</v>
      </c>
      <c r="I24" s="152">
        <f t="shared" si="2"/>
        <v>2</v>
      </c>
      <c r="J24" s="158">
        <v>1</v>
      </c>
      <c r="K24" s="159">
        <v>4</v>
      </c>
      <c r="L24" s="961"/>
      <c r="M24" s="962"/>
      <c r="N24" s="962"/>
      <c r="O24" s="962"/>
      <c r="P24" s="962"/>
      <c r="Q24" s="962"/>
      <c r="R24" s="963"/>
      <c r="T24" s="99">
        <v>17</v>
      </c>
      <c r="U24" s="88" t="s">
        <v>668</v>
      </c>
      <c r="V24" s="453">
        <v>1</v>
      </c>
      <c r="W24" s="453">
        <v>5</v>
      </c>
      <c r="X24" s="453" t="s">
        <v>340</v>
      </c>
      <c r="Y24" s="453" t="s">
        <v>340</v>
      </c>
      <c r="Z24" s="146" t="s">
        <v>340</v>
      </c>
      <c r="AA24" s="146">
        <v>2</v>
      </c>
      <c r="AB24" s="146">
        <v>1</v>
      </c>
      <c r="AC24" s="453">
        <v>2</v>
      </c>
      <c r="AD24" s="453">
        <v>1</v>
      </c>
      <c r="AE24" s="453">
        <v>0</v>
      </c>
      <c r="AF24" s="453" t="b">
        <v>1</v>
      </c>
      <c r="AG24" s="453">
        <f t="shared" si="3"/>
        <v>1</v>
      </c>
      <c r="AH24" s="453">
        <f t="shared" si="4"/>
        <v>0</v>
      </c>
      <c r="AI24" s="138">
        <f>IF(NOT(OR(Z24=1,Z24=2)),IF(AQ24&gt;0,$AR$44*AQ24/SUMIF($AQ$8:$AQ$39,"&gt;0"),IF(AU24&gt;0,$AV$44*AU24/SUMIF($AU$8:$AU$39,"&gt;0"),IF(AS24&gt;0,$AT$44*AS24/SUMIF($AS$8:$AS$39,"&gt;0"),""))),IF(SUMIF(AJ25:$AJ$39,"=" &amp; AJ24,AI25:$AI$39)=0,"",SUMIF(AJ25:$AJ$39,"=" &amp; AJ24,AI25:$AI$39)))</f>
        <v>0.05</v>
      </c>
      <c r="AJ24" s="139">
        <f t="shared" si="34"/>
        <v>3</v>
      </c>
      <c r="AK24" s="453">
        <f t="shared" si="27"/>
        <v>1</v>
      </c>
      <c r="AL24" s="146">
        <f t="shared" si="28"/>
        <v>4</v>
      </c>
      <c r="AM24" s="146">
        <f t="shared" si="35"/>
        <v>1</v>
      </c>
      <c r="AN24" s="146" t="str">
        <f t="shared" si="5"/>
        <v/>
      </c>
      <c r="AO24" s="146" t="str">
        <f t="shared" si="6"/>
        <v/>
      </c>
      <c r="AP24" s="453" t="b">
        <f t="shared" si="7"/>
        <v>0</v>
      </c>
      <c r="AQ24" s="140">
        <f t="shared" si="29"/>
        <v>5</v>
      </c>
      <c r="AR24" s="141">
        <f t="shared" si="8"/>
        <v>1</v>
      </c>
      <c r="AS24" s="142">
        <f t="shared" si="30"/>
        <v>0</v>
      </c>
      <c r="AT24" s="141" t="str">
        <f t="shared" si="9"/>
        <v/>
      </c>
      <c r="AU24" s="143">
        <f t="shared" si="10"/>
        <v>0</v>
      </c>
      <c r="AV24" s="144">
        <f t="shared" si="11"/>
        <v>1</v>
      </c>
      <c r="AW24" s="143" t="b">
        <f t="shared" si="12"/>
        <v>0</v>
      </c>
      <c r="AX24" s="145" t="b">
        <f t="shared" si="13"/>
        <v>0</v>
      </c>
      <c r="AY24" s="143" t="b">
        <f t="shared" si="14"/>
        <v>0</v>
      </c>
      <c r="AZ24" s="145" t="b">
        <f t="shared" si="15"/>
        <v>0</v>
      </c>
      <c r="BA24" s="453" t="b">
        <f t="shared" si="16"/>
        <v>0</v>
      </c>
      <c r="BB24" s="453" t="b">
        <f t="shared" si="17"/>
        <v>0</v>
      </c>
      <c r="BC24" s="143" t="b">
        <f t="shared" si="18"/>
        <v>0</v>
      </c>
      <c r="BD24" s="146" t="b">
        <f t="shared" si="31"/>
        <v>0</v>
      </c>
      <c r="BE24" s="145" t="b">
        <f t="shared" si="37"/>
        <v>0</v>
      </c>
      <c r="BF24" s="147" t="b">
        <f t="shared" si="20"/>
        <v>0</v>
      </c>
      <c r="BG24" s="453" t="b">
        <f t="shared" si="38"/>
        <v>0</v>
      </c>
      <c r="BH24" s="453">
        <f t="shared" si="32"/>
        <v>1</v>
      </c>
      <c r="BI24" s="453">
        <f t="shared" si="22"/>
        <v>1</v>
      </c>
      <c r="BJ24" s="453" t="str">
        <f t="shared" si="23"/>
        <v>1</v>
      </c>
      <c r="BK24" s="453">
        <f t="shared" si="24"/>
        <v>2</v>
      </c>
      <c r="BL24" s="148">
        <f t="shared" si="33"/>
        <v>1</v>
      </c>
      <c r="BM24" s="453">
        <f t="shared" si="25"/>
        <v>1</v>
      </c>
      <c r="BN24" s="453">
        <f t="shared" si="26"/>
        <v>2</v>
      </c>
      <c r="BO24" s="936"/>
      <c r="BP24" s="300" t="s">
        <v>362</v>
      </c>
      <c r="BQ24" s="165">
        <f t="shared" si="36"/>
        <v>0.6</v>
      </c>
      <c r="BR24" s="166">
        <f t="shared" si="36"/>
        <v>0.9</v>
      </c>
      <c r="BS24" s="166">
        <f t="shared" si="36"/>
        <v>0.93330000000000002</v>
      </c>
      <c r="BT24" s="166">
        <f t="shared" si="36"/>
        <v>0.9667</v>
      </c>
      <c r="BU24" s="167">
        <f t="shared" si="36"/>
        <v>1</v>
      </c>
    </row>
    <row r="25" spans="2:73" s="94" customFormat="1" ht="12.95" customHeight="1" x14ac:dyDescent="0.2">
      <c r="B25" s="151">
        <f>IF(ISNA(Z25),"",IF(OR(Z25=1,Z25=2),"    ",MAX($B$8:B24)+1))</f>
        <v>14</v>
      </c>
      <c r="C25" s="904" t="str">
        <f t="shared" si="0"/>
        <v xml:space="preserve">      - RNAV Approach (5.0%)</v>
      </c>
      <c r="D25" s="904"/>
      <c r="E25" s="904"/>
      <c r="F25" s="905"/>
      <c r="G25" s="133">
        <f t="shared" si="1"/>
        <v>1</v>
      </c>
      <c r="H25" s="134" t="str">
        <f t="shared" si="2"/>
        <v>1</v>
      </c>
      <c r="I25" s="152">
        <f t="shared" si="2"/>
        <v>2</v>
      </c>
      <c r="J25" s="158">
        <v>1</v>
      </c>
      <c r="K25" s="159">
        <v>3</v>
      </c>
      <c r="L25" s="961"/>
      <c r="M25" s="962"/>
      <c r="N25" s="962"/>
      <c r="O25" s="962"/>
      <c r="P25" s="962"/>
      <c r="Q25" s="962"/>
      <c r="R25" s="963"/>
      <c r="T25" s="99">
        <v>18</v>
      </c>
      <c r="U25" s="88" t="s">
        <v>836</v>
      </c>
      <c r="V25" s="453">
        <v>1</v>
      </c>
      <c r="W25" s="453">
        <v>5</v>
      </c>
      <c r="X25" s="453" t="s">
        <v>340</v>
      </c>
      <c r="Y25" s="453" t="s">
        <v>340</v>
      </c>
      <c r="Z25" s="146" t="s">
        <v>340</v>
      </c>
      <c r="AA25" s="146">
        <v>2</v>
      </c>
      <c r="AB25" s="146">
        <v>1</v>
      </c>
      <c r="AC25" s="453">
        <v>2</v>
      </c>
      <c r="AD25" s="453">
        <v>1</v>
      </c>
      <c r="AE25" s="453">
        <v>0</v>
      </c>
      <c r="AF25" s="453" t="b">
        <v>1</v>
      </c>
      <c r="AG25" s="453">
        <f t="shared" si="3"/>
        <v>1</v>
      </c>
      <c r="AH25" s="453">
        <f t="shared" si="4"/>
        <v>0</v>
      </c>
      <c r="AI25" s="138">
        <f>IF(NOT(OR(Z25=1,Z25=2)),IF(AQ25&gt;0,$AR$44*AQ25/SUMIF($AQ$8:$AQ$39,"&gt;0"),IF(AU25&gt;0,$AV$44*AU25/SUMIF($AU$8:$AU$39,"&gt;0"),IF(AS25&gt;0,$AT$44*AS25/SUMIF($AS$8:$AS$39,"&gt;0"),""))),IF(SUMIF(AJ26:$AJ$39,"=" &amp; AJ25,AI26:$AI$39)=0,"",SUMIF(AJ26:$AJ$39,"=" &amp; AJ25,AI26:$AI$39)))</f>
        <v>0.05</v>
      </c>
      <c r="AJ25" s="139">
        <f t="shared" si="34"/>
        <v>3</v>
      </c>
      <c r="AK25" s="453">
        <f t="shared" si="27"/>
        <v>1</v>
      </c>
      <c r="AL25" s="146">
        <f t="shared" si="28"/>
        <v>3</v>
      </c>
      <c r="AM25" s="146">
        <f t="shared" si="35"/>
        <v>1</v>
      </c>
      <c r="AN25" s="146" t="str">
        <f t="shared" si="5"/>
        <v/>
      </c>
      <c r="AO25" s="146" t="str">
        <f t="shared" si="6"/>
        <v/>
      </c>
      <c r="AP25" s="453" t="b">
        <f t="shared" si="7"/>
        <v>0</v>
      </c>
      <c r="AQ25" s="140">
        <f t="shared" si="29"/>
        <v>5</v>
      </c>
      <c r="AR25" s="141">
        <f t="shared" si="8"/>
        <v>0.95</v>
      </c>
      <c r="AS25" s="142">
        <f t="shared" si="30"/>
        <v>0</v>
      </c>
      <c r="AT25" s="141" t="str">
        <f t="shared" si="9"/>
        <v/>
      </c>
      <c r="AU25" s="143">
        <f t="shared" si="10"/>
        <v>0</v>
      </c>
      <c r="AV25" s="144">
        <f t="shared" si="11"/>
        <v>0.95</v>
      </c>
      <c r="AW25" s="143" t="b">
        <f t="shared" si="12"/>
        <v>0</v>
      </c>
      <c r="AX25" s="145" t="b">
        <f t="shared" si="13"/>
        <v>0</v>
      </c>
      <c r="AY25" s="143" t="b">
        <f t="shared" si="14"/>
        <v>0</v>
      </c>
      <c r="AZ25" s="145" t="b">
        <f t="shared" si="15"/>
        <v>0</v>
      </c>
      <c r="BA25" s="453" t="b">
        <f t="shared" si="16"/>
        <v>0</v>
      </c>
      <c r="BB25" s="453" t="b">
        <f t="shared" si="17"/>
        <v>0</v>
      </c>
      <c r="BC25" s="143" t="b">
        <f t="shared" si="18"/>
        <v>0</v>
      </c>
      <c r="BD25" s="146" t="b">
        <f t="shared" si="31"/>
        <v>0</v>
      </c>
      <c r="BE25" s="145" t="b">
        <f t="shared" si="37"/>
        <v>0</v>
      </c>
      <c r="BF25" s="147" t="b">
        <f t="shared" si="20"/>
        <v>0</v>
      </c>
      <c r="BG25" s="453" t="b">
        <f t="shared" si="38"/>
        <v>0</v>
      </c>
      <c r="BH25" s="453">
        <f t="shared" si="32"/>
        <v>1</v>
      </c>
      <c r="BI25" s="453">
        <f t="shared" si="22"/>
        <v>1</v>
      </c>
      <c r="BJ25" s="453" t="str">
        <f t="shared" si="23"/>
        <v>1</v>
      </c>
      <c r="BK25" s="453">
        <f t="shared" si="24"/>
        <v>2</v>
      </c>
      <c r="BL25" s="148">
        <f t="shared" si="33"/>
        <v>1</v>
      </c>
      <c r="BM25" s="453">
        <f t="shared" si="25"/>
        <v>1</v>
      </c>
      <c r="BN25" s="453">
        <f t="shared" si="26"/>
        <v>2</v>
      </c>
      <c r="BO25" s="936"/>
      <c r="BP25" s="300" t="s">
        <v>363</v>
      </c>
      <c r="BQ25" s="165">
        <f t="shared" si="36"/>
        <v>0.6</v>
      </c>
      <c r="BR25" s="166">
        <f t="shared" si="36"/>
        <v>0.7</v>
      </c>
      <c r="BS25" s="166">
        <f t="shared" si="36"/>
        <v>0.9</v>
      </c>
      <c r="BT25" s="166">
        <f t="shared" si="36"/>
        <v>0.95</v>
      </c>
      <c r="BU25" s="167">
        <f t="shared" si="36"/>
        <v>1</v>
      </c>
    </row>
    <row r="26" spans="2:73" s="94" customFormat="1" ht="12.95" customHeight="1" x14ac:dyDescent="0.2">
      <c r="B26" s="151">
        <f>IF(ISNA(Z26),"",IF(OR(Z26=1,Z26=2),"    ",MAX($B$8:B25)+1))</f>
        <v>15</v>
      </c>
      <c r="C26" s="904" t="str">
        <f t="shared" si="0"/>
        <v xml:space="preserve">      - Ground Block (2.5%)</v>
      </c>
      <c r="D26" s="904"/>
      <c r="E26" s="904"/>
      <c r="F26" s="905"/>
      <c r="G26" s="133">
        <f t="shared" si="1"/>
        <v>1</v>
      </c>
      <c r="H26" s="134" t="str">
        <f t="shared" si="2"/>
        <v>1</v>
      </c>
      <c r="I26" s="152">
        <f t="shared" si="2"/>
        <v>2</v>
      </c>
      <c r="J26" s="158">
        <v>1</v>
      </c>
      <c r="K26" s="159">
        <v>3</v>
      </c>
      <c r="L26" s="961"/>
      <c r="M26" s="962"/>
      <c r="N26" s="962"/>
      <c r="O26" s="962"/>
      <c r="P26" s="962"/>
      <c r="Q26" s="962"/>
      <c r="R26" s="963"/>
      <c r="T26" s="99">
        <v>19</v>
      </c>
      <c r="U26" s="88" t="s">
        <v>463</v>
      </c>
      <c r="V26" s="453">
        <v>1</v>
      </c>
      <c r="W26" s="453">
        <v>2.5</v>
      </c>
      <c r="X26" s="453" t="s">
        <v>340</v>
      </c>
      <c r="Y26" s="453" t="s">
        <v>340</v>
      </c>
      <c r="Z26" s="146" t="s">
        <v>340</v>
      </c>
      <c r="AA26" s="146">
        <v>2</v>
      </c>
      <c r="AB26" s="146">
        <v>1</v>
      </c>
      <c r="AC26" s="453">
        <v>2</v>
      </c>
      <c r="AD26" s="453">
        <v>1</v>
      </c>
      <c r="AE26" s="453">
        <v>0</v>
      </c>
      <c r="AF26" s="453" t="b">
        <v>1</v>
      </c>
      <c r="AG26" s="453">
        <f t="shared" si="3"/>
        <v>1</v>
      </c>
      <c r="AH26" s="453">
        <f t="shared" si="4"/>
        <v>0</v>
      </c>
      <c r="AI26" s="138">
        <f>IF(NOT(OR(Z26=1,Z26=2)),IF(AQ26&gt;0,$AR$44*AQ26/SUMIF($AQ$8:$AQ$39,"&gt;0"),IF(AU26&gt;0,$AV$44*AU26/SUMIF($AU$8:$AU$39,"&gt;0"),IF(AS26&gt;0,$AT$44*AS26/SUMIF($AS$8:$AS$39,"&gt;0"),""))),IF(SUMIF(AJ27:$AJ$39,"=" &amp; AJ26,AI27:$AI$39)=0,"",SUMIF(AJ27:$AJ$39,"=" &amp; AJ26,AI27:$AI$39)))</f>
        <v>2.5000000000000001E-2</v>
      </c>
      <c r="AJ26" s="139">
        <f t="shared" si="34"/>
        <v>3</v>
      </c>
      <c r="AK26" s="453">
        <f t="shared" si="27"/>
        <v>1</v>
      </c>
      <c r="AL26" s="146">
        <f t="shared" si="28"/>
        <v>3</v>
      </c>
      <c r="AM26" s="146">
        <f t="shared" si="35"/>
        <v>1</v>
      </c>
      <c r="AN26" s="146" t="str">
        <f t="shared" si="5"/>
        <v/>
      </c>
      <c r="AO26" s="146" t="str">
        <f t="shared" si="6"/>
        <v/>
      </c>
      <c r="AP26" s="453" t="b">
        <f t="shared" si="7"/>
        <v>0</v>
      </c>
      <c r="AQ26" s="140">
        <f t="shared" si="29"/>
        <v>2.5</v>
      </c>
      <c r="AR26" s="141">
        <f t="shared" si="8"/>
        <v>0.95</v>
      </c>
      <c r="AS26" s="142">
        <f t="shared" si="30"/>
        <v>0</v>
      </c>
      <c r="AT26" s="141" t="str">
        <f t="shared" si="9"/>
        <v/>
      </c>
      <c r="AU26" s="143">
        <f t="shared" si="10"/>
        <v>0</v>
      </c>
      <c r="AV26" s="144">
        <f t="shared" si="11"/>
        <v>0.95</v>
      </c>
      <c r="AW26" s="143" t="b">
        <f t="shared" si="12"/>
        <v>0</v>
      </c>
      <c r="AX26" s="145" t="b">
        <f t="shared" si="13"/>
        <v>0</v>
      </c>
      <c r="AY26" s="143" t="b">
        <f t="shared" si="14"/>
        <v>0</v>
      </c>
      <c r="AZ26" s="145" t="b">
        <f t="shared" si="15"/>
        <v>0</v>
      </c>
      <c r="BA26" s="453" t="b">
        <f t="shared" si="16"/>
        <v>0</v>
      </c>
      <c r="BB26" s="453" t="b">
        <f t="shared" si="17"/>
        <v>0</v>
      </c>
      <c r="BC26" s="143" t="b">
        <f t="shared" si="18"/>
        <v>0</v>
      </c>
      <c r="BD26" s="146" t="b">
        <f t="shared" si="31"/>
        <v>0</v>
      </c>
      <c r="BE26" s="145" t="b">
        <f t="shared" si="37"/>
        <v>0</v>
      </c>
      <c r="BF26" s="147" t="b">
        <f t="shared" si="20"/>
        <v>0</v>
      </c>
      <c r="BG26" s="453" t="b">
        <f t="shared" si="38"/>
        <v>0</v>
      </c>
      <c r="BH26" s="453">
        <f t="shared" si="32"/>
        <v>1</v>
      </c>
      <c r="BI26" s="453">
        <f t="shared" si="22"/>
        <v>1</v>
      </c>
      <c r="BJ26" s="453" t="str">
        <f t="shared" si="23"/>
        <v>1</v>
      </c>
      <c r="BK26" s="453">
        <f t="shared" si="24"/>
        <v>2</v>
      </c>
      <c r="BL26" s="148">
        <f t="shared" si="33"/>
        <v>1</v>
      </c>
      <c r="BM26" s="453">
        <f t="shared" si="25"/>
        <v>1</v>
      </c>
      <c r="BN26" s="453">
        <f t="shared" si="26"/>
        <v>2</v>
      </c>
      <c r="BO26" s="936"/>
      <c r="BP26" s="300" t="s">
        <v>364</v>
      </c>
      <c r="BQ26" s="165">
        <f t="shared" si="36"/>
        <v>0.6</v>
      </c>
      <c r="BR26" s="166">
        <f t="shared" si="36"/>
        <v>0.7</v>
      </c>
      <c r="BS26" s="166">
        <f t="shared" si="36"/>
        <v>0.8</v>
      </c>
      <c r="BT26" s="166">
        <f t="shared" si="36"/>
        <v>0.9</v>
      </c>
      <c r="BU26" s="167">
        <f t="shared" si="36"/>
        <v>1</v>
      </c>
    </row>
    <row r="27" spans="2:73" s="94" customFormat="1" ht="12.95" customHeight="1" x14ac:dyDescent="0.2">
      <c r="B27" s="151" t="str">
        <f>IF(ISNA(Z27),"",IF(OR(Z27=1,Z27=2),"    ",MAX($B$8:B26)+1))</f>
        <v xml:space="preserve">    </v>
      </c>
      <c r="C27" s="904" t="str">
        <f t="shared" si="0"/>
        <v>Post Flight (5.0%)</v>
      </c>
      <c r="D27" s="904"/>
      <c r="E27" s="904"/>
      <c r="F27" s="905"/>
      <c r="G27" s="133" t="str">
        <f t="shared" si="1"/>
        <v/>
      </c>
      <c r="H27" s="134" t="str">
        <f t="shared" si="2"/>
        <v/>
      </c>
      <c r="I27" s="152" t="str">
        <f t="shared" si="2"/>
        <v/>
      </c>
      <c r="J27" s="158" t="s">
        <v>340</v>
      </c>
      <c r="K27" s="159" t="s">
        <v>340</v>
      </c>
      <c r="L27" s="961"/>
      <c r="M27" s="962"/>
      <c r="N27" s="962"/>
      <c r="O27" s="962"/>
      <c r="P27" s="962"/>
      <c r="Q27" s="962"/>
      <c r="R27" s="963"/>
      <c r="T27" s="99">
        <v>20</v>
      </c>
      <c r="U27" s="88" t="s">
        <v>502</v>
      </c>
      <c r="V27" s="453" t="s">
        <v>340</v>
      </c>
      <c r="W27" s="453" t="s">
        <v>340</v>
      </c>
      <c r="X27" s="453" t="s">
        <v>340</v>
      </c>
      <c r="Y27" s="453" t="s">
        <v>340</v>
      </c>
      <c r="Z27" s="146">
        <v>2</v>
      </c>
      <c r="AA27" s="146">
        <v>1</v>
      </c>
      <c r="AB27" s="146">
        <v>1</v>
      </c>
      <c r="AC27" s="453" t="s">
        <v>340</v>
      </c>
      <c r="AD27" s="453" t="s">
        <v>340</v>
      </c>
      <c r="AE27" s="453" t="s">
        <v>340</v>
      </c>
      <c r="AF27" s="453" t="s">
        <v>340</v>
      </c>
      <c r="AG27" s="453" t="str">
        <f t="shared" si="3"/>
        <v/>
      </c>
      <c r="AH27" s="453" t="str">
        <f t="shared" si="4"/>
        <v/>
      </c>
      <c r="AI27" s="138">
        <f>IF(NOT(OR(Z27=1,Z27=2)),IF(AQ27&gt;0,$AR$44*AQ27/SUMIF($AQ$8:$AQ$39,"&gt;0"),IF(AU27&gt;0,$AV$44*AU27/SUMIF($AU$8:$AU$39,"&gt;0"),IF(AS27&gt;0,$AT$44*AS27/SUMIF($AS$8:$AS$39,"&gt;0"),""))),IF(SUMIF(AJ28:$AJ$39,"=" &amp; AJ27,AI28:$AI$39)=0,"",SUMIF(AJ28:$AJ$39,"=" &amp; AJ27,AI28:$AI$39)))</f>
        <v>0.05</v>
      </c>
      <c r="AJ27" s="139">
        <f t="shared" si="34"/>
        <v>4</v>
      </c>
      <c r="AK27" s="453" t="str">
        <f t="shared" si="27"/>
        <v/>
      </c>
      <c r="AL27" s="146" t="str">
        <f t="shared" si="28"/>
        <v/>
      </c>
      <c r="AM27" s="146" t="str">
        <f t="shared" si="35"/>
        <v/>
      </c>
      <c r="AN27" s="146" t="str">
        <f t="shared" si="5"/>
        <v/>
      </c>
      <c r="AO27" s="146" t="str">
        <f t="shared" si="6"/>
        <v/>
      </c>
      <c r="AP27" s="453" t="str">
        <f t="shared" si="7"/>
        <v/>
      </c>
      <c r="AQ27" s="140">
        <f t="shared" si="29"/>
        <v>0</v>
      </c>
      <c r="AR27" s="141" t="str">
        <f t="shared" si="8"/>
        <v/>
      </c>
      <c r="AS27" s="142">
        <f t="shared" si="30"/>
        <v>0</v>
      </c>
      <c r="AT27" s="141" t="str">
        <f t="shared" si="9"/>
        <v/>
      </c>
      <c r="AU27" s="143">
        <f t="shared" si="10"/>
        <v>0</v>
      </c>
      <c r="AV27" s="144" t="str">
        <f t="shared" si="11"/>
        <v/>
      </c>
      <c r="AW27" s="143" t="b">
        <f t="shared" si="12"/>
        <v>0</v>
      </c>
      <c r="AX27" s="145" t="b">
        <f t="shared" si="13"/>
        <v>0</v>
      </c>
      <c r="AY27" s="143" t="b">
        <f t="shared" si="14"/>
        <v>0</v>
      </c>
      <c r="AZ27" s="145" t="b">
        <f t="shared" si="15"/>
        <v>0</v>
      </c>
      <c r="BA27" s="453" t="b">
        <f t="shared" si="16"/>
        <v>0</v>
      </c>
      <c r="BB27" s="453" t="b">
        <f t="shared" si="17"/>
        <v>0</v>
      </c>
      <c r="BC27" s="143" t="b">
        <f t="shared" si="18"/>
        <v>0</v>
      </c>
      <c r="BD27" s="146" t="b">
        <f t="shared" si="31"/>
        <v>0</v>
      </c>
      <c r="BE27" s="145" t="b">
        <f t="shared" si="37"/>
        <v>0</v>
      </c>
      <c r="BF27" s="147" t="b">
        <f t="shared" si="20"/>
        <v>0</v>
      </c>
      <c r="BG27" s="453" t="b">
        <f t="shared" si="38"/>
        <v>0</v>
      </c>
      <c r="BH27" s="453" t="str">
        <f t="shared" si="32"/>
        <v/>
      </c>
      <c r="BI27" s="453" t="str">
        <f t="shared" si="22"/>
        <v/>
      </c>
      <c r="BJ27" s="453" t="str">
        <f t="shared" si="23"/>
        <v/>
      </c>
      <c r="BK27" s="453" t="str">
        <f t="shared" si="24"/>
        <v/>
      </c>
      <c r="BL27" s="148" t="str">
        <f t="shared" si="33"/>
        <v/>
      </c>
      <c r="BM27" s="453" t="str">
        <f t="shared" si="25"/>
        <v/>
      </c>
      <c r="BN27" s="453" t="str">
        <f t="shared" si="26"/>
        <v/>
      </c>
      <c r="BO27" s="936"/>
      <c r="BP27" s="300" t="s">
        <v>365</v>
      </c>
      <c r="BQ27" s="165">
        <f t="shared" si="36"/>
        <v>0.3</v>
      </c>
      <c r="BR27" s="166">
        <f t="shared" si="36"/>
        <v>0.6</v>
      </c>
      <c r="BS27" s="166">
        <f t="shared" si="36"/>
        <v>0.9</v>
      </c>
      <c r="BT27" s="166">
        <f t="shared" si="36"/>
        <v>0.95</v>
      </c>
      <c r="BU27" s="167">
        <f t="shared" si="36"/>
        <v>1</v>
      </c>
    </row>
    <row r="28" spans="2:73" s="94" customFormat="1" ht="12.95" customHeight="1" x14ac:dyDescent="0.2">
      <c r="B28" s="151">
        <f>IF(ISNA(Z28),"",IF(OR(Z28=1,Z28=2),"    ",MAX($B$8:B27)+1))</f>
        <v>16</v>
      </c>
      <c r="C28" s="904" t="str">
        <f t="shared" si="0"/>
        <v xml:space="preserve">      - Mission Analysis (5.0%)</v>
      </c>
      <c r="D28" s="904"/>
      <c r="E28" s="904"/>
      <c r="F28" s="905"/>
      <c r="G28" s="133">
        <f t="shared" si="1"/>
        <v>1</v>
      </c>
      <c r="H28" s="134" t="str">
        <f t="shared" si="2"/>
        <v>1*</v>
      </c>
      <c r="I28" s="152">
        <f t="shared" si="2"/>
        <v>2</v>
      </c>
      <c r="J28" s="158">
        <v>1</v>
      </c>
      <c r="K28" s="159">
        <v>2</v>
      </c>
      <c r="L28" s="961"/>
      <c r="M28" s="962"/>
      <c r="N28" s="962"/>
      <c r="O28" s="962"/>
      <c r="P28" s="962"/>
      <c r="Q28" s="962"/>
      <c r="R28" s="963"/>
      <c r="T28" s="99">
        <v>21</v>
      </c>
      <c r="U28" s="88" t="s">
        <v>837</v>
      </c>
      <c r="V28" s="453">
        <v>1</v>
      </c>
      <c r="W28" s="453">
        <v>5</v>
      </c>
      <c r="X28" s="453" t="s">
        <v>340</v>
      </c>
      <c r="Y28" s="453" t="s">
        <v>340</v>
      </c>
      <c r="Z28" s="146" t="s">
        <v>340</v>
      </c>
      <c r="AA28" s="146">
        <v>2</v>
      </c>
      <c r="AB28" s="146">
        <v>1</v>
      </c>
      <c r="AC28" s="453">
        <v>2</v>
      </c>
      <c r="AD28" s="453">
        <v>1</v>
      </c>
      <c r="AE28" s="453">
        <v>1</v>
      </c>
      <c r="AF28" s="453" t="b">
        <v>1</v>
      </c>
      <c r="AG28" s="453">
        <f t="shared" si="3"/>
        <v>1</v>
      </c>
      <c r="AH28" s="453">
        <f t="shared" si="4"/>
        <v>0</v>
      </c>
      <c r="AI28" s="138">
        <f>IF(NOT(OR(Z28=1,Z28=2)),IF(AQ28&gt;0,$AR$44*AQ28/SUMIF($AQ$8:$AQ$39,"&gt;0"),IF(AU28&gt;0,$AV$44*AU28/SUMIF($AU$8:$AU$39,"&gt;0"),IF(AS28&gt;0,$AT$44*AS28/SUMIF($AS$8:$AS$39,"&gt;0"),""))),IF(SUMIF(AJ29:$AJ$39,"=" &amp; AJ28,AI29:$AI$39)=0,"",SUMIF(AJ29:$AJ$39,"=" &amp; AJ28,AI29:$AI$39)))</f>
        <v>0.05</v>
      </c>
      <c r="AJ28" s="139">
        <f t="shared" si="34"/>
        <v>4</v>
      </c>
      <c r="AK28" s="453">
        <f t="shared" si="27"/>
        <v>1</v>
      </c>
      <c r="AL28" s="146">
        <f t="shared" si="28"/>
        <v>2</v>
      </c>
      <c r="AM28" s="146">
        <f t="shared" si="35"/>
        <v>1</v>
      </c>
      <c r="AN28" s="146" t="str">
        <f t="shared" si="5"/>
        <v/>
      </c>
      <c r="AO28" s="146" t="str">
        <f t="shared" si="6"/>
        <v/>
      </c>
      <c r="AP28" s="453" t="b">
        <f t="shared" si="7"/>
        <v>0</v>
      </c>
      <c r="AQ28" s="140">
        <f t="shared" si="29"/>
        <v>5</v>
      </c>
      <c r="AR28" s="141">
        <f t="shared" si="8"/>
        <v>0.9</v>
      </c>
      <c r="AS28" s="142">
        <f t="shared" si="30"/>
        <v>0</v>
      </c>
      <c r="AT28" s="141" t="str">
        <f t="shared" si="9"/>
        <v/>
      </c>
      <c r="AU28" s="143">
        <f t="shared" si="10"/>
        <v>0</v>
      </c>
      <c r="AV28" s="144">
        <f t="shared" si="11"/>
        <v>0.9</v>
      </c>
      <c r="AW28" s="143" t="b">
        <f t="shared" si="12"/>
        <v>0</v>
      </c>
      <c r="AX28" s="145" t="b">
        <f t="shared" si="13"/>
        <v>0</v>
      </c>
      <c r="AY28" s="143" t="b">
        <f t="shared" si="14"/>
        <v>0</v>
      </c>
      <c r="AZ28" s="145" t="b">
        <f t="shared" si="15"/>
        <v>0</v>
      </c>
      <c r="BA28" s="453" t="b">
        <f t="shared" si="16"/>
        <v>0</v>
      </c>
      <c r="BB28" s="453" t="b">
        <f t="shared" si="17"/>
        <v>0</v>
      </c>
      <c r="BC28" s="143" t="b">
        <f t="shared" si="18"/>
        <v>0</v>
      </c>
      <c r="BD28" s="146" t="b">
        <f t="shared" si="31"/>
        <v>0</v>
      </c>
      <c r="BE28" s="145" t="b">
        <f t="shared" si="37"/>
        <v>0</v>
      </c>
      <c r="BF28" s="147" t="b">
        <f t="shared" si="20"/>
        <v>0</v>
      </c>
      <c r="BG28" s="453" t="b">
        <f t="shared" si="38"/>
        <v>0</v>
      </c>
      <c r="BH28" s="453">
        <f t="shared" si="32"/>
        <v>1</v>
      </c>
      <c r="BI28" s="453">
        <f t="shared" si="22"/>
        <v>1</v>
      </c>
      <c r="BJ28" s="453" t="str">
        <f t="shared" si="23"/>
        <v>1*</v>
      </c>
      <c r="BK28" s="453">
        <f t="shared" si="24"/>
        <v>2</v>
      </c>
      <c r="BL28" s="148">
        <f t="shared" si="33"/>
        <v>1</v>
      </c>
      <c r="BM28" s="453">
        <f t="shared" si="25"/>
        <v>1</v>
      </c>
      <c r="BN28" s="453">
        <f t="shared" si="26"/>
        <v>2</v>
      </c>
      <c r="BO28" s="936"/>
      <c r="BP28" s="300" t="s">
        <v>366</v>
      </c>
      <c r="BQ28" s="165">
        <f t="shared" si="36"/>
        <v>0.3</v>
      </c>
      <c r="BR28" s="166">
        <f t="shared" si="36"/>
        <v>0.6</v>
      </c>
      <c r="BS28" s="166">
        <f t="shared" si="36"/>
        <v>0.7</v>
      </c>
      <c r="BT28" s="166">
        <f t="shared" si="36"/>
        <v>0.9</v>
      </c>
      <c r="BU28" s="167">
        <f t="shared" si="36"/>
        <v>1</v>
      </c>
    </row>
    <row r="29" spans="2:73" s="94" customFormat="1" ht="12.95" customHeight="1" x14ac:dyDescent="0.2">
      <c r="B29" s="151" t="str">
        <f>IF(ISNA(Z29),"",IF(OR(Z29=1,Z29=2),"    ",MAX($B$8:B28)+1))</f>
        <v/>
      </c>
      <c r="C29" s="904" t="str">
        <f t="shared" si="0"/>
        <v/>
      </c>
      <c r="D29" s="904"/>
      <c r="E29" s="904"/>
      <c r="F29" s="905"/>
      <c r="G29" s="133" t="str">
        <f t="shared" si="1"/>
        <v/>
      </c>
      <c r="H29" s="134" t="str">
        <f t="shared" si="2"/>
        <v/>
      </c>
      <c r="I29" s="152" t="str">
        <f t="shared" si="2"/>
        <v/>
      </c>
      <c r="J29" s="158" t="s">
        <v>340</v>
      </c>
      <c r="K29" s="159" t="s">
        <v>340</v>
      </c>
      <c r="L29" s="961"/>
      <c r="M29" s="962"/>
      <c r="N29" s="962"/>
      <c r="O29" s="962"/>
      <c r="P29" s="962"/>
      <c r="Q29" s="962"/>
      <c r="R29" s="963"/>
      <c r="T29" s="99">
        <v>22</v>
      </c>
      <c r="U29" s="88" t="e">
        <v>#N/A</v>
      </c>
      <c r="V29" s="453" t="e">
        <v>#N/A</v>
      </c>
      <c r="W29" s="453" t="e">
        <v>#N/A</v>
      </c>
      <c r="X29" s="453" t="e">
        <v>#N/A</v>
      </c>
      <c r="Y29" s="453" t="e">
        <v>#N/A</v>
      </c>
      <c r="Z29" s="146" t="e">
        <v>#N/A</v>
      </c>
      <c r="AA29" s="146" t="e">
        <v>#N/A</v>
      </c>
      <c r="AB29" s="146" t="e">
        <v>#N/A</v>
      </c>
      <c r="AC29" s="453" t="e">
        <v>#N/A</v>
      </c>
      <c r="AD29" s="453" t="e">
        <v>#N/A</v>
      </c>
      <c r="AE29" s="453" t="e">
        <v>#N/A</v>
      </c>
      <c r="AF29" s="453" t="e">
        <v>#N/A</v>
      </c>
      <c r="AG29" s="453" t="e">
        <f t="shared" si="3"/>
        <v>#N/A</v>
      </c>
      <c r="AH29" s="453" t="str">
        <f t="shared" si="4"/>
        <v/>
      </c>
      <c r="AI29" s="138" t="e">
        <f>IF(NOT(OR(Z29=1,Z29=2)),IF(AQ29&gt;0,$AR$44*AQ29/SUMIF($AQ$8:$AQ$39,"&gt;0"),IF(AU29&gt;0,$AV$44*AU29/SUMIF($AU$8:$AU$39,"&gt;0"),IF(AS29&gt;0,$AT$44*AS29/SUMIF($AS$8:$AS$39,"&gt;0"),""))),IF(SUMIF(AJ30:$AJ$39,"=" &amp; AJ29,AI30:$AI$39)=0,"",SUMIF(AJ30:$AJ$39,"=" &amp; AJ29,AI30:$AI$39)))</f>
        <v>#N/A</v>
      </c>
      <c r="AJ29" s="139" t="e">
        <f t="shared" si="34"/>
        <v>#N/A</v>
      </c>
      <c r="AK29" s="453" t="str">
        <f t="shared" si="27"/>
        <v/>
      </c>
      <c r="AL29" s="146" t="str">
        <f t="shared" si="28"/>
        <v/>
      </c>
      <c r="AM29" s="146" t="str">
        <f t="shared" si="35"/>
        <v/>
      </c>
      <c r="AN29" s="146" t="str">
        <f t="shared" si="5"/>
        <v/>
      </c>
      <c r="AO29" s="146" t="e">
        <f t="shared" si="6"/>
        <v>#N/A</v>
      </c>
      <c r="AP29" s="453" t="str">
        <f t="shared" si="7"/>
        <v/>
      </c>
      <c r="AQ29" s="140">
        <f t="shared" si="29"/>
        <v>0</v>
      </c>
      <c r="AR29" s="141" t="str">
        <f t="shared" si="8"/>
        <v/>
      </c>
      <c r="AS29" s="142">
        <f t="shared" si="30"/>
        <v>0</v>
      </c>
      <c r="AT29" s="141" t="str">
        <f t="shared" si="9"/>
        <v/>
      </c>
      <c r="AU29" s="143">
        <f t="shared" si="10"/>
        <v>0</v>
      </c>
      <c r="AV29" s="144" t="str">
        <f t="shared" si="11"/>
        <v/>
      </c>
      <c r="AW29" s="143" t="b">
        <f t="shared" si="12"/>
        <v>0</v>
      </c>
      <c r="AX29" s="145" t="b">
        <f t="shared" si="13"/>
        <v>0</v>
      </c>
      <c r="AY29" s="143" t="b">
        <f t="shared" si="14"/>
        <v>0</v>
      </c>
      <c r="AZ29" s="145" t="b">
        <f t="shared" si="15"/>
        <v>0</v>
      </c>
      <c r="BA29" s="453" t="b">
        <f t="shared" si="16"/>
        <v>0</v>
      </c>
      <c r="BB29" s="453" t="b">
        <f t="shared" si="17"/>
        <v>0</v>
      </c>
      <c r="BC29" s="143" t="b">
        <f t="shared" si="18"/>
        <v>0</v>
      </c>
      <c r="BD29" s="146" t="b">
        <f t="shared" si="31"/>
        <v>0</v>
      </c>
      <c r="BE29" s="145" t="b">
        <f t="shared" si="37"/>
        <v>0</v>
      </c>
      <c r="BF29" s="147" t="b">
        <f t="shared" si="20"/>
        <v>0</v>
      </c>
      <c r="BG29" s="453" t="str">
        <f t="shared" si="38"/>
        <v>NA</v>
      </c>
      <c r="BH29" s="453" t="str">
        <f t="shared" si="32"/>
        <v/>
      </c>
      <c r="BI29" s="453" t="str">
        <f t="shared" si="22"/>
        <v/>
      </c>
      <c r="BJ29" s="453" t="str">
        <f t="shared" si="23"/>
        <v/>
      </c>
      <c r="BK29" s="453" t="str">
        <f t="shared" si="24"/>
        <v/>
      </c>
      <c r="BL29" s="148" t="str">
        <f t="shared" si="33"/>
        <v/>
      </c>
      <c r="BM29" s="453" t="str">
        <f t="shared" si="25"/>
        <v/>
      </c>
      <c r="BN29" s="453" t="str">
        <f t="shared" si="26"/>
        <v/>
      </c>
      <c r="BO29" s="936"/>
      <c r="BP29" s="300" t="s">
        <v>367</v>
      </c>
      <c r="BQ29" s="168">
        <f t="shared" si="36"/>
        <v>0</v>
      </c>
      <c r="BR29" s="169">
        <f t="shared" si="36"/>
        <v>0.3</v>
      </c>
      <c r="BS29" s="169">
        <f t="shared" si="36"/>
        <v>0.6</v>
      </c>
      <c r="BT29" s="169">
        <f t="shared" si="36"/>
        <v>0.9</v>
      </c>
      <c r="BU29" s="170">
        <f t="shared" si="36"/>
        <v>1</v>
      </c>
    </row>
    <row r="30" spans="2:73" s="94" customFormat="1" ht="12.95" customHeight="1" x14ac:dyDescent="0.2">
      <c r="B30" s="151" t="str">
        <f>IF(ISNA(Z30),"",IF(OR(Z30=1,Z30=2),"    ",MAX($B$8:B29)+1))</f>
        <v/>
      </c>
      <c r="C30" s="904" t="str">
        <f t="shared" si="0"/>
        <v/>
      </c>
      <c r="D30" s="904"/>
      <c r="E30" s="904"/>
      <c r="F30" s="905"/>
      <c r="G30" s="133" t="str">
        <f t="shared" si="1"/>
        <v/>
      </c>
      <c r="H30" s="134" t="str">
        <f t="shared" si="2"/>
        <v/>
      </c>
      <c r="I30" s="152" t="str">
        <f t="shared" si="2"/>
        <v/>
      </c>
      <c r="J30" s="158" t="s">
        <v>340</v>
      </c>
      <c r="K30" s="159" t="s">
        <v>340</v>
      </c>
      <c r="L30" s="961"/>
      <c r="M30" s="962"/>
      <c r="N30" s="962"/>
      <c r="O30" s="962"/>
      <c r="P30" s="962"/>
      <c r="Q30" s="962"/>
      <c r="R30" s="963"/>
      <c r="T30" s="99">
        <v>23</v>
      </c>
      <c r="U30" s="88" t="e">
        <v>#N/A</v>
      </c>
      <c r="V30" s="453" t="e">
        <v>#N/A</v>
      </c>
      <c r="W30" s="453" t="e">
        <v>#N/A</v>
      </c>
      <c r="X30" s="453" t="e">
        <v>#N/A</v>
      </c>
      <c r="Y30" s="453" t="e">
        <v>#N/A</v>
      </c>
      <c r="Z30" s="146" t="e">
        <v>#N/A</v>
      </c>
      <c r="AA30" s="146" t="e">
        <v>#N/A</v>
      </c>
      <c r="AB30" s="146" t="e">
        <v>#N/A</v>
      </c>
      <c r="AC30" s="453" t="e">
        <v>#N/A</v>
      </c>
      <c r="AD30" s="453" t="e">
        <v>#N/A</v>
      </c>
      <c r="AE30" s="453" t="e">
        <v>#N/A</v>
      </c>
      <c r="AF30" s="453" t="e">
        <v>#N/A</v>
      </c>
      <c r="AG30" s="453" t="e">
        <f t="shared" si="3"/>
        <v>#N/A</v>
      </c>
      <c r="AH30" s="453" t="str">
        <f t="shared" si="4"/>
        <v/>
      </c>
      <c r="AI30" s="138" t="e">
        <f>IF(NOT(OR(Z30=1,Z30=2)),IF(AQ30&gt;0,$AR$44*AQ30/SUMIF($AQ$8:$AQ$39,"&gt;0"),IF(AU30&gt;0,$AV$44*AU30/SUMIF($AU$8:$AU$39,"&gt;0"),IF(AS30&gt;0,$AT$44*AS30/SUMIF($AS$8:$AS$39,"&gt;0"),""))),IF(SUMIF(AJ31:$AJ$39,"=" &amp; AJ30,AI31:$AI$39)=0,"",SUMIF(AJ31:$AJ$39,"=" &amp; AJ30,AI31:$AI$39)))</f>
        <v>#N/A</v>
      </c>
      <c r="AJ30" s="139" t="e">
        <f t="shared" si="34"/>
        <v>#N/A</v>
      </c>
      <c r="AK30" s="453" t="str">
        <f t="shared" si="27"/>
        <v/>
      </c>
      <c r="AL30" s="146" t="str">
        <f t="shared" si="28"/>
        <v/>
      </c>
      <c r="AM30" s="146" t="str">
        <f t="shared" si="35"/>
        <v/>
      </c>
      <c r="AN30" s="146" t="str">
        <f t="shared" si="5"/>
        <v/>
      </c>
      <c r="AO30" s="146" t="e">
        <f t="shared" si="6"/>
        <v>#N/A</v>
      </c>
      <c r="AP30" s="453" t="str">
        <f t="shared" si="7"/>
        <v/>
      </c>
      <c r="AQ30" s="140">
        <f t="shared" si="29"/>
        <v>0</v>
      </c>
      <c r="AR30" s="141" t="str">
        <f t="shared" si="8"/>
        <v/>
      </c>
      <c r="AS30" s="142">
        <f t="shared" si="30"/>
        <v>0</v>
      </c>
      <c r="AT30" s="141" t="str">
        <f t="shared" si="9"/>
        <v/>
      </c>
      <c r="AU30" s="143">
        <f t="shared" si="10"/>
        <v>0</v>
      </c>
      <c r="AV30" s="144" t="str">
        <f t="shared" si="11"/>
        <v/>
      </c>
      <c r="AW30" s="143" t="b">
        <f t="shared" si="12"/>
        <v>0</v>
      </c>
      <c r="AX30" s="145" t="b">
        <f t="shared" si="13"/>
        <v>0</v>
      </c>
      <c r="AY30" s="143" t="b">
        <f t="shared" si="14"/>
        <v>0</v>
      </c>
      <c r="AZ30" s="145" t="b">
        <f t="shared" si="15"/>
        <v>0</v>
      </c>
      <c r="BA30" s="453" t="b">
        <f t="shared" si="16"/>
        <v>0</v>
      </c>
      <c r="BB30" s="453" t="b">
        <f t="shared" si="17"/>
        <v>0</v>
      </c>
      <c r="BC30" s="143" t="b">
        <f t="shared" si="18"/>
        <v>0</v>
      </c>
      <c r="BD30" s="146" t="b">
        <f t="shared" si="31"/>
        <v>0</v>
      </c>
      <c r="BE30" s="145" t="b">
        <f t="shared" si="37"/>
        <v>0</v>
      </c>
      <c r="BF30" s="147" t="b">
        <f t="shared" si="20"/>
        <v>0</v>
      </c>
      <c r="BG30" s="453" t="str">
        <f t="shared" si="38"/>
        <v>NA</v>
      </c>
      <c r="BH30" s="453" t="str">
        <f t="shared" si="32"/>
        <v/>
      </c>
      <c r="BI30" s="453" t="str">
        <f t="shared" si="22"/>
        <v/>
      </c>
      <c r="BJ30" s="453" t="str">
        <f t="shared" si="23"/>
        <v/>
      </c>
      <c r="BK30" s="453" t="str">
        <f t="shared" si="24"/>
        <v/>
      </c>
      <c r="BL30" s="148" t="str">
        <f t="shared" si="33"/>
        <v/>
      </c>
      <c r="BM30" s="453" t="str">
        <f t="shared" si="25"/>
        <v/>
      </c>
      <c r="BN30" s="453" t="str">
        <f t="shared" si="26"/>
        <v/>
      </c>
      <c r="BO30" s="90"/>
    </row>
    <row r="31" spans="2:73" s="94" customFormat="1" ht="12.95" customHeight="1" x14ac:dyDescent="0.2">
      <c r="B31" s="151" t="str">
        <f>IF(ISNA(Z31),"",IF(OR(Z31=1,Z31=2),"    ",MAX($B$8:B30)+1))</f>
        <v/>
      </c>
      <c r="C31" s="904" t="str">
        <f t="shared" si="0"/>
        <v/>
      </c>
      <c r="D31" s="904"/>
      <c r="E31" s="904"/>
      <c r="F31" s="905"/>
      <c r="G31" s="133" t="str">
        <f t="shared" si="1"/>
        <v/>
      </c>
      <c r="H31" s="134" t="str">
        <f t="shared" si="2"/>
        <v/>
      </c>
      <c r="I31" s="152" t="str">
        <f t="shared" si="2"/>
        <v/>
      </c>
      <c r="J31" s="158" t="s">
        <v>340</v>
      </c>
      <c r="K31" s="159" t="s">
        <v>340</v>
      </c>
      <c r="L31" s="961"/>
      <c r="M31" s="962"/>
      <c r="N31" s="962"/>
      <c r="O31" s="962"/>
      <c r="P31" s="962"/>
      <c r="Q31" s="962"/>
      <c r="R31" s="963"/>
      <c r="T31" s="99">
        <v>24</v>
      </c>
      <c r="U31" s="88" t="e">
        <v>#N/A</v>
      </c>
      <c r="V31" s="453" t="e">
        <v>#N/A</v>
      </c>
      <c r="W31" s="453" t="e">
        <v>#N/A</v>
      </c>
      <c r="X31" s="453" t="e">
        <v>#N/A</v>
      </c>
      <c r="Y31" s="453" t="e">
        <v>#N/A</v>
      </c>
      <c r="Z31" s="146" t="e">
        <v>#N/A</v>
      </c>
      <c r="AA31" s="146" t="e">
        <v>#N/A</v>
      </c>
      <c r="AB31" s="146" t="e">
        <v>#N/A</v>
      </c>
      <c r="AC31" s="453" t="e">
        <v>#N/A</v>
      </c>
      <c r="AD31" s="453" t="e">
        <v>#N/A</v>
      </c>
      <c r="AE31" s="453" t="e">
        <v>#N/A</v>
      </c>
      <c r="AF31" s="453" t="e">
        <v>#N/A</v>
      </c>
      <c r="AG31" s="453" t="e">
        <f t="shared" si="3"/>
        <v>#N/A</v>
      </c>
      <c r="AH31" s="453" t="str">
        <f t="shared" si="4"/>
        <v/>
      </c>
      <c r="AI31" s="138" t="e">
        <f>IF(NOT(OR(Z31=1,Z31=2)),IF(AQ31&gt;0,$AR$44*AQ31/SUMIF($AQ$8:$AQ$39,"&gt;0"),IF(AU31&gt;0,$AV$44*AU31/SUMIF($AU$8:$AU$39,"&gt;0"),IF(AS31&gt;0,$AT$44*AS31/SUMIF($AS$8:$AS$39,"&gt;0"),""))),IF(SUMIF(AJ32:$AJ$39,"=" &amp; AJ31,AI32:$AI$39)=0,"",SUMIF(AJ32:$AJ$39,"=" &amp; AJ31,AI32:$AI$39)))</f>
        <v>#N/A</v>
      </c>
      <c r="AJ31" s="139" t="e">
        <f t="shared" si="34"/>
        <v>#N/A</v>
      </c>
      <c r="AK31" s="453" t="str">
        <f t="shared" si="27"/>
        <v/>
      </c>
      <c r="AL31" s="146" t="str">
        <f t="shared" si="28"/>
        <v/>
      </c>
      <c r="AM31" s="146" t="str">
        <f t="shared" si="35"/>
        <v/>
      </c>
      <c r="AN31" s="146" t="str">
        <f t="shared" si="5"/>
        <v/>
      </c>
      <c r="AO31" s="146" t="e">
        <f t="shared" si="6"/>
        <v>#N/A</v>
      </c>
      <c r="AP31" s="453" t="str">
        <f t="shared" si="7"/>
        <v/>
      </c>
      <c r="AQ31" s="140">
        <f t="shared" si="29"/>
        <v>0</v>
      </c>
      <c r="AR31" s="141" t="str">
        <f t="shared" si="8"/>
        <v/>
      </c>
      <c r="AS31" s="142">
        <f t="shared" si="30"/>
        <v>0</v>
      </c>
      <c r="AT31" s="141" t="str">
        <f t="shared" si="9"/>
        <v/>
      </c>
      <c r="AU31" s="143">
        <f t="shared" si="10"/>
        <v>0</v>
      </c>
      <c r="AV31" s="144" t="str">
        <f t="shared" si="11"/>
        <v/>
      </c>
      <c r="AW31" s="143" t="b">
        <f t="shared" si="12"/>
        <v>0</v>
      </c>
      <c r="AX31" s="145" t="b">
        <f t="shared" si="13"/>
        <v>0</v>
      </c>
      <c r="AY31" s="143" t="b">
        <f t="shared" si="14"/>
        <v>0</v>
      </c>
      <c r="AZ31" s="145" t="b">
        <f t="shared" si="15"/>
        <v>0</v>
      </c>
      <c r="BA31" s="453" t="b">
        <f t="shared" si="16"/>
        <v>0</v>
      </c>
      <c r="BB31" s="453" t="b">
        <f t="shared" si="17"/>
        <v>0</v>
      </c>
      <c r="BC31" s="143" t="b">
        <f t="shared" si="18"/>
        <v>0</v>
      </c>
      <c r="BD31" s="146" t="b">
        <f>IF(OR(ISNA($Z31),ISNUMBER($Z31),NOT(ISNUMBER(K31))),FALSE,OR(NOT(ISNUMBER(J31)),J31=0,AND(J31=0,K31&lt;&gt;0)))</f>
        <v>0</v>
      </c>
      <c r="BE31" s="145" t="b">
        <f t="shared" si="37"/>
        <v>0</v>
      </c>
      <c r="BF31" s="147" t="b">
        <f>IF(OR(ISNA($Z31),H31&lt;&gt;"NG"),FALSE,IF(AND(J31="NA",K31&lt;&gt;""),TRUE,FALSE))</f>
        <v>0</v>
      </c>
      <c r="BG31" s="453" t="str">
        <f t="shared" si="38"/>
        <v>NA</v>
      </c>
      <c r="BH31" s="453" t="str">
        <f t="shared" si="32"/>
        <v/>
      </c>
      <c r="BI31" s="453" t="str">
        <f t="shared" si="22"/>
        <v/>
      </c>
      <c r="BJ31" s="453" t="str">
        <f t="shared" si="23"/>
        <v/>
      </c>
      <c r="BK31" s="453" t="str">
        <f t="shared" si="24"/>
        <v/>
      </c>
      <c r="BL31" s="148" t="str">
        <f t="shared" si="33"/>
        <v/>
      </c>
      <c r="BM31" s="453" t="str">
        <f t="shared" si="25"/>
        <v/>
      </c>
      <c r="BN31" s="453" t="str">
        <f t="shared" si="26"/>
        <v/>
      </c>
      <c r="BO31" s="155" t="s">
        <v>368</v>
      </c>
      <c r="BP31" s="161" t="s">
        <v>369</v>
      </c>
    </row>
    <row r="32" spans="2:73" s="94" customFormat="1" ht="12.95" customHeight="1" x14ac:dyDescent="0.2">
      <c r="B32" s="151" t="str">
        <f>IF(ISNA(Z32),"",IF(OR(Z32=1,Z32=2),"    ",MAX($B$8:B31)+1))</f>
        <v/>
      </c>
      <c r="C32" s="904" t="str">
        <f t="shared" si="0"/>
        <v/>
      </c>
      <c r="D32" s="904"/>
      <c r="E32" s="904"/>
      <c r="F32" s="905"/>
      <c r="G32" s="133" t="str">
        <f t="shared" si="1"/>
        <v/>
      </c>
      <c r="H32" s="134" t="str">
        <f t="shared" si="2"/>
        <v/>
      </c>
      <c r="I32" s="152" t="str">
        <f t="shared" si="2"/>
        <v/>
      </c>
      <c r="J32" s="158" t="s">
        <v>340</v>
      </c>
      <c r="K32" s="159" t="s">
        <v>340</v>
      </c>
      <c r="L32" s="961"/>
      <c r="M32" s="962"/>
      <c r="N32" s="962"/>
      <c r="O32" s="962"/>
      <c r="P32" s="962"/>
      <c r="Q32" s="962"/>
      <c r="R32" s="963"/>
      <c r="T32" s="99">
        <v>25</v>
      </c>
      <c r="U32" s="88" t="e">
        <v>#N/A</v>
      </c>
      <c r="V32" s="453" t="e">
        <v>#N/A</v>
      </c>
      <c r="W32" s="453" t="e">
        <v>#N/A</v>
      </c>
      <c r="X32" s="453" t="e">
        <v>#N/A</v>
      </c>
      <c r="Y32" s="453" t="e">
        <v>#N/A</v>
      </c>
      <c r="Z32" s="146" t="e">
        <v>#N/A</v>
      </c>
      <c r="AA32" s="146" t="e">
        <v>#N/A</v>
      </c>
      <c r="AB32" s="146" t="e">
        <v>#N/A</v>
      </c>
      <c r="AC32" s="453" t="e">
        <v>#N/A</v>
      </c>
      <c r="AD32" s="453" t="e">
        <v>#N/A</v>
      </c>
      <c r="AE32" s="453" t="e">
        <v>#N/A</v>
      </c>
      <c r="AF32" s="453" t="e">
        <v>#N/A</v>
      </c>
      <c r="AG32" s="453" t="e">
        <f t="shared" si="3"/>
        <v>#N/A</v>
      </c>
      <c r="AH32" s="453" t="str">
        <f t="shared" si="4"/>
        <v/>
      </c>
      <c r="AI32" s="138" t="e">
        <f>IF(NOT(OR(Z32=1,Z32=2)),IF(AQ32&gt;0,$AR$44*AQ32/SUMIF($AQ$8:$AQ$39,"&gt;0"),IF(AU32&gt;0,$AV$44*AU32/SUMIF($AU$8:$AU$39,"&gt;0"),IF(AS32&gt;0,$AT$44*AS32/SUMIF($AS$8:$AS$39,"&gt;0"),""))),IF(SUMIF(AJ33:$AJ$39,"=" &amp; AJ32,AI33:$AI$39)=0,"",SUMIF(AJ33:$AJ$39,"=" &amp; AJ32,AI33:$AI$39)))</f>
        <v>#N/A</v>
      </c>
      <c r="AJ32" s="139" t="e">
        <f t="shared" si="34"/>
        <v>#N/A</v>
      </c>
      <c r="AK32" s="453" t="str">
        <f t="shared" si="27"/>
        <v/>
      </c>
      <c r="AL32" s="146" t="str">
        <f t="shared" si="28"/>
        <v/>
      </c>
      <c r="AM32" s="146" t="str">
        <f t="shared" si="35"/>
        <v/>
      </c>
      <c r="AN32" s="146" t="str">
        <f t="shared" si="5"/>
        <v/>
      </c>
      <c r="AO32" s="146" t="e">
        <f t="shared" si="6"/>
        <v>#N/A</v>
      </c>
      <c r="AP32" s="453" t="str">
        <f t="shared" si="7"/>
        <v/>
      </c>
      <c r="AQ32" s="140">
        <f t="shared" si="29"/>
        <v>0</v>
      </c>
      <c r="AR32" s="141" t="str">
        <f t="shared" si="8"/>
        <v/>
      </c>
      <c r="AS32" s="142">
        <f t="shared" si="30"/>
        <v>0</v>
      </c>
      <c r="AT32" s="141" t="str">
        <f t="shared" si="9"/>
        <v/>
      </c>
      <c r="AU32" s="143">
        <f t="shared" si="10"/>
        <v>0</v>
      </c>
      <c r="AV32" s="144" t="str">
        <f t="shared" si="11"/>
        <v/>
      </c>
      <c r="AW32" s="143" t="b">
        <f t="shared" si="12"/>
        <v>0</v>
      </c>
      <c r="AX32" s="145" t="b">
        <f t="shared" si="13"/>
        <v>0</v>
      </c>
      <c r="AY32" s="143" t="b">
        <f t="shared" si="14"/>
        <v>0</v>
      </c>
      <c r="AZ32" s="145" t="b">
        <f t="shared" si="15"/>
        <v>0</v>
      </c>
      <c r="BA32" s="453" t="b">
        <f t="shared" si="16"/>
        <v>0</v>
      </c>
      <c r="BB32" s="453" t="b">
        <f t="shared" si="17"/>
        <v>0</v>
      </c>
      <c r="BC32" s="143" t="b">
        <f t="shared" si="18"/>
        <v>0</v>
      </c>
      <c r="BD32" s="146" t="b">
        <f t="shared" si="31"/>
        <v>0</v>
      </c>
      <c r="BE32" s="145" t="b">
        <f t="shared" si="37"/>
        <v>0</v>
      </c>
      <c r="BF32" s="147" t="b">
        <f t="shared" ref="BF32:BF39" si="39">IF(OR(ISNA($Z32),H32&lt;&gt;"NG"),FALSE,IF(AND(J32="NA",K32&lt;&gt;""),TRUE,FALSE))</f>
        <v>0</v>
      </c>
      <c r="BG32" s="453" t="str">
        <f t="shared" si="38"/>
        <v>NA</v>
      </c>
      <c r="BH32" s="453" t="str">
        <f t="shared" si="32"/>
        <v/>
      </c>
      <c r="BI32" s="453" t="str">
        <f t="shared" si="22"/>
        <v/>
      </c>
      <c r="BJ32" s="453" t="str">
        <f t="shared" si="23"/>
        <v/>
      </c>
      <c r="BK32" s="453" t="str">
        <f t="shared" si="24"/>
        <v/>
      </c>
      <c r="BL32" s="148" t="str">
        <f t="shared" si="33"/>
        <v/>
      </c>
      <c r="BM32" s="453" t="str">
        <f t="shared" si="25"/>
        <v/>
      </c>
      <c r="BN32" s="453" t="str">
        <f t="shared" si="26"/>
        <v/>
      </c>
      <c r="BO32" s="155" t="s">
        <v>370</v>
      </c>
      <c r="BP32" s="161" t="s">
        <v>371</v>
      </c>
    </row>
    <row r="33" spans="2:73" s="94" customFormat="1" ht="12.95" customHeight="1" x14ac:dyDescent="0.2">
      <c r="B33" s="151" t="str">
        <f>IF(ISNA(Z33),"",IF(OR(Z33=1,Z33=2),"    ",MAX($B$8:B32)+1))</f>
        <v/>
      </c>
      <c r="C33" s="904" t="str">
        <f t="shared" si="0"/>
        <v/>
      </c>
      <c r="D33" s="904"/>
      <c r="E33" s="904"/>
      <c r="F33" s="905"/>
      <c r="G33" s="133" t="str">
        <f t="shared" si="1"/>
        <v/>
      </c>
      <c r="H33" s="134" t="str">
        <f t="shared" si="2"/>
        <v/>
      </c>
      <c r="I33" s="152" t="str">
        <f t="shared" si="2"/>
        <v/>
      </c>
      <c r="J33" s="158" t="s">
        <v>340</v>
      </c>
      <c r="K33" s="159" t="s">
        <v>340</v>
      </c>
      <c r="L33" s="961"/>
      <c r="M33" s="962"/>
      <c r="N33" s="962"/>
      <c r="O33" s="962"/>
      <c r="P33" s="962"/>
      <c r="Q33" s="962"/>
      <c r="R33" s="963"/>
      <c r="T33" s="99">
        <v>26</v>
      </c>
      <c r="U33" s="88" t="e">
        <v>#N/A</v>
      </c>
      <c r="V33" s="453" t="e">
        <v>#N/A</v>
      </c>
      <c r="W33" s="453" t="e">
        <v>#N/A</v>
      </c>
      <c r="X33" s="453" t="e">
        <v>#N/A</v>
      </c>
      <c r="Y33" s="453" t="e">
        <v>#N/A</v>
      </c>
      <c r="Z33" s="146" t="e">
        <v>#N/A</v>
      </c>
      <c r="AA33" s="146" t="e">
        <v>#N/A</v>
      </c>
      <c r="AB33" s="146" t="e">
        <v>#N/A</v>
      </c>
      <c r="AC33" s="453" t="e">
        <v>#N/A</v>
      </c>
      <c r="AD33" s="453" t="e">
        <v>#N/A</v>
      </c>
      <c r="AE33" s="453" t="e">
        <v>#N/A</v>
      </c>
      <c r="AF33" s="453" t="e">
        <v>#N/A</v>
      </c>
      <c r="AG33" s="453" t="e">
        <f t="shared" si="3"/>
        <v>#N/A</v>
      </c>
      <c r="AH33" s="453" t="str">
        <f t="shared" si="4"/>
        <v/>
      </c>
      <c r="AI33" s="138" t="e">
        <f>IF(NOT(OR(Z33=1,Z33=2)),IF(AQ33&gt;0,$AR$44*AQ33/SUMIF($AQ$8:$AQ$39,"&gt;0"),IF(AU33&gt;0,$AV$44*AU33/SUMIF($AU$8:$AU$39,"&gt;0"),IF(AS33&gt;0,$AT$44*AS33/SUMIF($AS$8:$AS$39,"&gt;0"),""))),IF(SUMIF(AJ34:$AJ$39,"=" &amp; AJ33,AI34:$AI$39)=0,"",SUMIF(AJ34:$AJ$39,"=" &amp; AJ33,AI34:$AI$39)))</f>
        <v>#N/A</v>
      </c>
      <c r="AJ33" s="139" t="e">
        <f t="shared" si="34"/>
        <v>#N/A</v>
      </c>
      <c r="AK33" s="453" t="str">
        <f t="shared" si="27"/>
        <v/>
      </c>
      <c r="AL33" s="146" t="str">
        <f t="shared" si="28"/>
        <v/>
      </c>
      <c r="AM33" s="146" t="str">
        <f t="shared" si="35"/>
        <v/>
      </c>
      <c r="AN33" s="146" t="str">
        <f t="shared" si="5"/>
        <v/>
      </c>
      <c r="AO33" s="146" t="e">
        <f t="shared" si="6"/>
        <v>#N/A</v>
      </c>
      <c r="AP33" s="453" t="str">
        <f t="shared" si="7"/>
        <v/>
      </c>
      <c r="AQ33" s="140">
        <f t="shared" si="29"/>
        <v>0</v>
      </c>
      <c r="AR33" s="141" t="str">
        <f t="shared" si="8"/>
        <v/>
      </c>
      <c r="AS33" s="142">
        <f t="shared" si="30"/>
        <v>0</v>
      </c>
      <c r="AT33" s="141" t="str">
        <f t="shared" si="9"/>
        <v/>
      </c>
      <c r="AU33" s="143">
        <f t="shared" si="10"/>
        <v>0</v>
      </c>
      <c r="AV33" s="144" t="str">
        <f t="shared" si="11"/>
        <v/>
      </c>
      <c r="AW33" s="143" t="b">
        <f t="shared" si="12"/>
        <v>0</v>
      </c>
      <c r="AX33" s="145" t="b">
        <f t="shared" si="13"/>
        <v>0</v>
      </c>
      <c r="AY33" s="143" t="b">
        <f t="shared" si="14"/>
        <v>0</v>
      </c>
      <c r="AZ33" s="145" t="b">
        <f t="shared" si="15"/>
        <v>0</v>
      </c>
      <c r="BA33" s="453" t="b">
        <f t="shared" si="16"/>
        <v>0</v>
      </c>
      <c r="BB33" s="453" t="b">
        <f t="shared" si="17"/>
        <v>0</v>
      </c>
      <c r="BC33" s="143" t="b">
        <f t="shared" si="18"/>
        <v>0</v>
      </c>
      <c r="BD33" s="146" t="b">
        <f t="shared" si="31"/>
        <v>0</v>
      </c>
      <c r="BE33" s="145" t="b">
        <f t="shared" si="37"/>
        <v>0</v>
      </c>
      <c r="BF33" s="147" t="b">
        <f t="shared" si="39"/>
        <v>0</v>
      </c>
      <c r="BG33" s="453" t="str">
        <f t="shared" si="38"/>
        <v>NA</v>
      </c>
      <c r="BH33" s="453" t="str">
        <f t="shared" si="32"/>
        <v/>
      </c>
      <c r="BI33" s="453" t="str">
        <f t="shared" si="22"/>
        <v/>
      </c>
      <c r="BJ33" s="453" t="str">
        <f t="shared" si="23"/>
        <v/>
      </c>
      <c r="BK33" s="453" t="str">
        <f t="shared" si="24"/>
        <v/>
      </c>
      <c r="BL33" s="148" t="str">
        <f t="shared" si="33"/>
        <v/>
      </c>
      <c r="BM33" s="453" t="str">
        <f t="shared" si="25"/>
        <v/>
      </c>
      <c r="BN33" s="453" t="str">
        <f t="shared" si="26"/>
        <v/>
      </c>
      <c r="BO33" s="150" t="s">
        <v>372</v>
      </c>
      <c r="BP33" s="161"/>
      <c r="BQ33" s="161"/>
      <c r="BR33" s="161"/>
      <c r="BS33" s="161"/>
      <c r="BT33" s="161"/>
      <c r="BU33" s="161"/>
    </row>
    <row r="34" spans="2:73" s="94" customFormat="1" ht="12.95" customHeight="1" x14ac:dyDescent="0.2">
      <c r="B34" s="151" t="str">
        <f>IF(ISNA(Z34),"",IF(OR(Z34=1,Z34=2),"    ",MAX($B$8:B33)+1))</f>
        <v/>
      </c>
      <c r="C34" s="904" t="str">
        <f t="shared" si="0"/>
        <v/>
      </c>
      <c r="D34" s="904"/>
      <c r="E34" s="904"/>
      <c r="F34" s="905"/>
      <c r="G34" s="133" t="str">
        <f t="shared" si="1"/>
        <v/>
      </c>
      <c r="H34" s="134" t="str">
        <f t="shared" si="2"/>
        <v/>
      </c>
      <c r="I34" s="152" t="str">
        <f t="shared" si="2"/>
        <v/>
      </c>
      <c r="J34" s="158" t="s">
        <v>340</v>
      </c>
      <c r="K34" s="159" t="s">
        <v>340</v>
      </c>
      <c r="L34" s="961"/>
      <c r="M34" s="962"/>
      <c r="N34" s="962"/>
      <c r="O34" s="962"/>
      <c r="P34" s="962"/>
      <c r="Q34" s="962"/>
      <c r="R34" s="963"/>
      <c r="T34" s="99">
        <v>27</v>
      </c>
      <c r="U34" s="88" t="e">
        <v>#N/A</v>
      </c>
      <c r="V34" s="453" t="e">
        <v>#N/A</v>
      </c>
      <c r="W34" s="453" t="e">
        <v>#N/A</v>
      </c>
      <c r="X34" s="453" t="e">
        <v>#N/A</v>
      </c>
      <c r="Y34" s="453" t="e">
        <v>#N/A</v>
      </c>
      <c r="Z34" s="146" t="e">
        <v>#N/A</v>
      </c>
      <c r="AA34" s="146" t="e">
        <v>#N/A</v>
      </c>
      <c r="AB34" s="146" t="e">
        <v>#N/A</v>
      </c>
      <c r="AC34" s="453" t="e">
        <v>#N/A</v>
      </c>
      <c r="AD34" s="453" t="e">
        <v>#N/A</v>
      </c>
      <c r="AE34" s="453" t="e">
        <v>#N/A</v>
      </c>
      <c r="AF34" s="453" t="e">
        <v>#N/A</v>
      </c>
      <c r="AG34" s="453" t="e">
        <f t="shared" si="3"/>
        <v>#N/A</v>
      </c>
      <c r="AH34" s="453" t="str">
        <f t="shared" si="4"/>
        <v/>
      </c>
      <c r="AI34" s="138" t="e">
        <f>IF(NOT(OR(Z34=1,Z34=2)),IF(AQ34&gt;0,$AR$44*AQ34/SUMIF($AQ$8:$AQ$39,"&gt;0"),IF(AU34&gt;0,$AV$44*AU34/SUMIF($AU$8:$AU$39,"&gt;0"),IF(AS34&gt;0,$AT$44*AS34/SUMIF($AS$8:$AS$39,"&gt;0"),""))),IF(SUMIF(AJ35:$AJ$39,"=" &amp; AJ34,AI35:$AI$39)=0,"",SUMIF(AJ35:$AJ$39,"=" &amp; AJ34,AI35:$AI$39)))</f>
        <v>#N/A</v>
      </c>
      <c r="AJ34" s="139" t="e">
        <f t="shared" si="34"/>
        <v>#N/A</v>
      </c>
      <c r="AK34" s="453" t="str">
        <f t="shared" si="27"/>
        <v/>
      </c>
      <c r="AL34" s="146" t="str">
        <f t="shared" si="28"/>
        <v/>
      </c>
      <c r="AM34" s="146" t="str">
        <f t="shared" si="35"/>
        <v/>
      </c>
      <c r="AN34" s="146" t="str">
        <f t="shared" si="5"/>
        <v/>
      </c>
      <c r="AO34" s="146" t="e">
        <f t="shared" si="6"/>
        <v>#N/A</v>
      </c>
      <c r="AP34" s="453" t="str">
        <f t="shared" si="7"/>
        <v/>
      </c>
      <c r="AQ34" s="140">
        <f t="shared" si="29"/>
        <v>0</v>
      </c>
      <c r="AR34" s="141" t="str">
        <f t="shared" si="8"/>
        <v/>
      </c>
      <c r="AS34" s="142">
        <f t="shared" si="30"/>
        <v>0</v>
      </c>
      <c r="AT34" s="141" t="str">
        <f t="shared" si="9"/>
        <v/>
      </c>
      <c r="AU34" s="143">
        <f t="shared" si="10"/>
        <v>0</v>
      </c>
      <c r="AV34" s="144" t="str">
        <f t="shared" si="11"/>
        <v/>
      </c>
      <c r="AW34" s="143" t="b">
        <f t="shared" si="12"/>
        <v>0</v>
      </c>
      <c r="AX34" s="145" t="b">
        <f t="shared" si="13"/>
        <v>0</v>
      </c>
      <c r="AY34" s="143" t="b">
        <f t="shared" si="14"/>
        <v>0</v>
      </c>
      <c r="AZ34" s="145" t="b">
        <f t="shared" si="15"/>
        <v>0</v>
      </c>
      <c r="BA34" s="453" t="b">
        <f t="shared" si="16"/>
        <v>0</v>
      </c>
      <c r="BB34" s="453" t="b">
        <f t="shared" si="17"/>
        <v>0</v>
      </c>
      <c r="BC34" s="143" t="b">
        <f t="shared" si="18"/>
        <v>0</v>
      </c>
      <c r="BD34" s="146" t="b">
        <f t="shared" si="31"/>
        <v>0</v>
      </c>
      <c r="BE34" s="145" t="b">
        <f t="shared" si="37"/>
        <v>0</v>
      </c>
      <c r="BF34" s="147" t="b">
        <f t="shared" si="39"/>
        <v>0</v>
      </c>
      <c r="BG34" s="453" t="str">
        <f t="shared" si="38"/>
        <v>NA</v>
      </c>
      <c r="BH34" s="453" t="str">
        <f t="shared" si="32"/>
        <v/>
      </c>
      <c r="BI34" s="453" t="str">
        <f t="shared" si="22"/>
        <v/>
      </c>
      <c r="BJ34" s="453" t="str">
        <f t="shared" si="23"/>
        <v/>
      </c>
      <c r="BK34" s="453" t="str">
        <f t="shared" si="24"/>
        <v/>
      </c>
      <c r="BL34" s="148" t="str">
        <f t="shared" si="33"/>
        <v/>
      </c>
      <c r="BM34" s="453" t="str">
        <f t="shared" si="25"/>
        <v/>
      </c>
      <c r="BN34" s="453" t="str">
        <f t="shared" si="26"/>
        <v/>
      </c>
      <c r="BO34" s="906"/>
      <c r="BP34" s="907"/>
      <c r="BQ34" s="907"/>
      <c r="BR34" s="907"/>
      <c r="BS34" s="907"/>
      <c r="BT34" s="907"/>
      <c r="BU34" s="908"/>
    </row>
    <row r="35" spans="2:73" s="94" customFormat="1" ht="12.95" customHeight="1" x14ac:dyDescent="0.2">
      <c r="B35" s="151" t="str">
        <f>IF(ISNA(Z35),"",IF(OR(Z35=1,Z35=2),"    ",MAX($B$8:B34)+1))</f>
        <v/>
      </c>
      <c r="C35" s="904" t="str">
        <f t="shared" si="0"/>
        <v/>
      </c>
      <c r="D35" s="904"/>
      <c r="E35" s="904"/>
      <c r="F35" s="905"/>
      <c r="G35" s="133" t="str">
        <f t="shared" si="1"/>
        <v/>
      </c>
      <c r="H35" s="134" t="str">
        <f t="shared" si="2"/>
        <v/>
      </c>
      <c r="I35" s="152" t="str">
        <f t="shared" si="2"/>
        <v/>
      </c>
      <c r="J35" s="158" t="s">
        <v>340</v>
      </c>
      <c r="K35" s="159" t="s">
        <v>340</v>
      </c>
      <c r="L35" s="961"/>
      <c r="M35" s="962"/>
      <c r="N35" s="962"/>
      <c r="O35" s="962"/>
      <c r="P35" s="962"/>
      <c r="Q35" s="962"/>
      <c r="R35" s="963"/>
      <c r="T35" s="99">
        <v>28</v>
      </c>
      <c r="U35" s="88" t="e">
        <v>#N/A</v>
      </c>
      <c r="V35" s="453" t="e">
        <v>#N/A</v>
      </c>
      <c r="W35" s="453" t="e">
        <v>#N/A</v>
      </c>
      <c r="X35" s="453" t="e">
        <v>#N/A</v>
      </c>
      <c r="Y35" s="453" t="e">
        <v>#N/A</v>
      </c>
      <c r="Z35" s="146" t="e">
        <v>#N/A</v>
      </c>
      <c r="AA35" s="146" t="e">
        <v>#N/A</v>
      </c>
      <c r="AB35" s="146" t="e">
        <v>#N/A</v>
      </c>
      <c r="AC35" s="453" t="e">
        <v>#N/A</v>
      </c>
      <c r="AD35" s="453" t="e">
        <v>#N/A</v>
      </c>
      <c r="AE35" s="453" t="e">
        <v>#N/A</v>
      </c>
      <c r="AF35" s="453" t="e">
        <v>#N/A</v>
      </c>
      <c r="AG35" s="453" t="e">
        <f t="shared" si="3"/>
        <v>#N/A</v>
      </c>
      <c r="AH35" s="453" t="str">
        <f t="shared" si="4"/>
        <v/>
      </c>
      <c r="AI35" s="138" t="e">
        <f>IF(NOT(OR(Z35=1,Z35=2)),IF(AQ35&gt;0,$AR$44*AQ35/SUMIF($AQ$8:$AQ$39,"&gt;0"),IF(AU35&gt;0,$AV$44*AU35/SUMIF($AU$8:$AU$39,"&gt;0"),IF(AS35&gt;0,$AT$44*AS35/SUMIF($AS$8:$AS$39,"&gt;0"),""))),IF(SUMIF(AJ36:$AJ$39,"=" &amp; AJ35,AI36:$AI$39)=0,"",SUMIF(AJ36:$AJ$39,"=" &amp; AJ35,AI36:$AI$39)))</f>
        <v>#N/A</v>
      </c>
      <c r="AJ35" s="139" t="e">
        <f t="shared" si="34"/>
        <v>#N/A</v>
      </c>
      <c r="AK35" s="453" t="str">
        <f t="shared" si="27"/>
        <v/>
      </c>
      <c r="AL35" s="146" t="str">
        <f t="shared" si="28"/>
        <v/>
      </c>
      <c r="AM35" s="146" t="str">
        <f t="shared" si="35"/>
        <v/>
      </c>
      <c r="AN35" s="146" t="str">
        <f t="shared" si="5"/>
        <v/>
      </c>
      <c r="AO35" s="146" t="e">
        <f t="shared" si="6"/>
        <v>#N/A</v>
      </c>
      <c r="AP35" s="453" t="str">
        <f t="shared" si="7"/>
        <v/>
      </c>
      <c r="AQ35" s="140">
        <f t="shared" si="29"/>
        <v>0</v>
      </c>
      <c r="AR35" s="141" t="str">
        <f t="shared" si="8"/>
        <v/>
      </c>
      <c r="AS35" s="142">
        <f t="shared" si="30"/>
        <v>0</v>
      </c>
      <c r="AT35" s="141" t="str">
        <f t="shared" si="9"/>
        <v/>
      </c>
      <c r="AU35" s="143">
        <f t="shared" si="10"/>
        <v>0</v>
      </c>
      <c r="AV35" s="144" t="str">
        <f t="shared" si="11"/>
        <v/>
      </c>
      <c r="AW35" s="143" t="b">
        <f t="shared" si="12"/>
        <v>0</v>
      </c>
      <c r="AX35" s="145" t="b">
        <f t="shared" si="13"/>
        <v>0</v>
      </c>
      <c r="AY35" s="143" t="b">
        <f t="shared" si="14"/>
        <v>0</v>
      </c>
      <c r="AZ35" s="145" t="b">
        <f t="shared" si="15"/>
        <v>0</v>
      </c>
      <c r="BA35" s="453" t="b">
        <f t="shared" si="16"/>
        <v>0</v>
      </c>
      <c r="BB35" s="453" t="b">
        <f t="shared" si="17"/>
        <v>0</v>
      </c>
      <c r="BC35" s="143" t="b">
        <f t="shared" si="18"/>
        <v>0</v>
      </c>
      <c r="BD35" s="146" t="b">
        <f t="shared" si="31"/>
        <v>0</v>
      </c>
      <c r="BE35" s="145" t="b">
        <f t="shared" si="37"/>
        <v>0</v>
      </c>
      <c r="BF35" s="147" t="b">
        <f t="shared" si="39"/>
        <v>0</v>
      </c>
      <c r="BG35" s="453" t="str">
        <f t="shared" si="38"/>
        <v>NA</v>
      </c>
      <c r="BH35" s="453" t="str">
        <f t="shared" si="32"/>
        <v/>
      </c>
      <c r="BI35" s="453" t="str">
        <f t="shared" si="22"/>
        <v/>
      </c>
      <c r="BJ35" s="453" t="str">
        <f t="shared" si="23"/>
        <v/>
      </c>
      <c r="BK35" s="453" t="str">
        <f t="shared" si="24"/>
        <v/>
      </c>
      <c r="BL35" s="148" t="str">
        <f t="shared" si="33"/>
        <v/>
      </c>
      <c r="BM35" s="453" t="str">
        <f t="shared" si="25"/>
        <v/>
      </c>
      <c r="BN35" s="453" t="str">
        <f t="shared" si="26"/>
        <v/>
      </c>
      <c r="BO35" s="909"/>
      <c r="BP35" s="910"/>
      <c r="BQ35" s="910"/>
      <c r="BR35" s="910"/>
      <c r="BS35" s="910"/>
      <c r="BT35" s="910"/>
      <c r="BU35" s="911"/>
    </row>
    <row r="36" spans="2:73" s="94" customFormat="1" ht="12.95" customHeight="1" x14ac:dyDescent="0.2">
      <c r="B36" s="151" t="str">
        <f>IF(ISNA(Z36),"",IF(OR(Z36=1,Z36=2),"    ",MAX($B$8:B35)+1))</f>
        <v/>
      </c>
      <c r="C36" s="904" t="str">
        <f t="shared" si="0"/>
        <v/>
      </c>
      <c r="D36" s="904"/>
      <c r="E36" s="904"/>
      <c r="F36" s="905"/>
      <c r="G36" s="133" t="str">
        <f t="shared" si="1"/>
        <v/>
      </c>
      <c r="H36" s="134" t="str">
        <f t="shared" si="2"/>
        <v/>
      </c>
      <c r="I36" s="152" t="str">
        <f t="shared" si="2"/>
        <v/>
      </c>
      <c r="J36" s="158" t="s">
        <v>340</v>
      </c>
      <c r="K36" s="159" t="s">
        <v>340</v>
      </c>
      <c r="L36" s="961"/>
      <c r="M36" s="962"/>
      <c r="N36" s="962"/>
      <c r="O36" s="962"/>
      <c r="P36" s="962"/>
      <c r="Q36" s="962"/>
      <c r="R36" s="963"/>
      <c r="T36" s="99">
        <v>29</v>
      </c>
      <c r="U36" s="88" t="e">
        <v>#N/A</v>
      </c>
      <c r="V36" s="453" t="e">
        <v>#N/A</v>
      </c>
      <c r="W36" s="453" t="e">
        <v>#N/A</v>
      </c>
      <c r="X36" s="453" t="e">
        <v>#N/A</v>
      </c>
      <c r="Y36" s="453" t="e">
        <v>#N/A</v>
      </c>
      <c r="Z36" s="146" t="e">
        <v>#N/A</v>
      </c>
      <c r="AA36" s="146" t="e">
        <v>#N/A</v>
      </c>
      <c r="AB36" s="146" t="e">
        <v>#N/A</v>
      </c>
      <c r="AC36" s="453" t="e">
        <v>#N/A</v>
      </c>
      <c r="AD36" s="453" t="e">
        <v>#N/A</v>
      </c>
      <c r="AE36" s="453" t="e">
        <v>#N/A</v>
      </c>
      <c r="AF36" s="453" t="e">
        <v>#N/A</v>
      </c>
      <c r="AG36" s="453" t="e">
        <f t="shared" si="3"/>
        <v>#N/A</v>
      </c>
      <c r="AH36" s="453" t="str">
        <f t="shared" si="4"/>
        <v/>
      </c>
      <c r="AI36" s="138" t="e">
        <f>IF(NOT(OR(Z36=1,Z36=2)),IF(AQ36&gt;0,$AR$44*AQ36/SUMIF($AQ$8:$AQ$39,"&gt;0"),IF(AU36&gt;0,$AV$44*AU36/SUMIF($AU$8:$AU$39,"&gt;0"),IF(AS36&gt;0,$AT$44*AS36/SUMIF($AS$8:$AS$39,"&gt;0"),""))),IF(SUMIF(AJ37:$AJ$39,"=" &amp; AJ36,AI37:$AI$39)=0,"",SUMIF(AJ37:$AJ$39,"=" &amp; AJ36,AI37:$AI$39)))</f>
        <v>#N/A</v>
      </c>
      <c r="AJ36" s="139" t="e">
        <f t="shared" si="34"/>
        <v>#N/A</v>
      </c>
      <c r="AK36" s="453" t="str">
        <f t="shared" si="27"/>
        <v/>
      </c>
      <c r="AL36" s="146" t="str">
        <f t="shared" si="28"/>
        <v/>
      </c>
      <c r="AM36" s="146" t="str">
        <f t="shared" si="35"/>
        <v/>
      </c>
      <c r="AN36" s="146" t="str">
        <f t="shared" si="5"/>
        <v/>
      </c>
      <c r="AO36" s="146" t="e">
        <f t="shared" si="6"/>
        <v>#N/A</v>
      </c>
      <c r="AP36" s="453" t="str">
        <f t="shared" si="7"/>
        <v/>
      </c>
      <c r="AQ36" s="140">
        <f t="shared" si="29"/>
        <v>0</v>
      </c>
      <c r="AR36" s="141" t="str">
        <f t="shared" si="8"/>
        <v/>
      </c>
      <c r="AS36" s="142">
        <f t="shared" si="30"/>
        <v>0</v>
      </c>
      <c r="AT36" s="141" t="str">
        <f t="shared" si="9"/>
        <v/>
      </c>
      <c r="AU36" s="143">
        <f t="shared" si="10"/>
        <v>0</v>
      </c>
      <c r="AV36" s="144" t="str">
        <f t="shared" si="11"/>
        <v/>
      </c>
      <c r="AW36" s="143" t="b">
        <f t="shared" si="12"/>
        <v>0</v>
      </c>
      <c r="AX36" s="145" t="b">
        <f t="shared" si="13"/>
        <v>0</v>
      </c>
      <c r="AY36" s="143" t="b">
        <f t="shared" si="14"/>
        <v>0</v>
      </c>
      <c r="AZ36" s="145" t="b">
        <f t="shared" si="15"/>
        <v>0</v>
      </c>
      <c r="BA36" s="453" t="b">
        <f t="shared" si="16"/>
        <v>0</v>
      </c>
      <c r="BB36" s="453" t="b">
        <f t="shared" si="17"/>
        <v>0</v>
      </c>
      <c r="BC36" s="143" t="b">
        <f t="shared" si="18"/>
        <v>0</v>
      </c>
      <c r="BD36" s="146" t="b">
        <f t="shared" si="31"/>
        <v>0</v>
      </c>
      <c r="BE36" s="145" t="b">
        <f t="shared" si="37"/>
        <v>0</v>
      </c>
      <c r="BF36" s="147" t="b">
        <f t="shared" si="39"/>
        <v>0</v>
      </c>
      <c r="BG36" s="453" t="str">
        <f t="shared" si="38"/>
        <v>NA</v>
      </c>
      <c r="BH36" s="453" t="str">
        <f t="shared" si="32"/>
        <v/>
      </c>
      <c r="BI36" s="453" t="str">
        <f t="shared" si="22"/>
        <v/>
      </c>
      <c r="BJ36" s="453" t="str">
        <f t="shared" si="23"/>
        <v/>
      </c>
      <c r="BK36" s="453" t="str">
        <f t="shared" si="24"/>
        <v/>
      </c>
      <c r="BL36" s="148" t="str">
        <f t="shared" si="33"/>
        <v/>
      </c>
      <c r="BM36" s="453" t="str">
        <f t="shared" si="25"/>
        <v/>
      </c>
      <c r="BN36" s="453" t="str">
        <f t="shared" si="26"/>
        <v/>
      </c>
      <c r="BO36" s="909"/>
      <c r="BP36" s="910"/>
      <c r="BQ36" s="910"/>
      <c r="BR36" s="910"/>
      <c r="BS36" s="910"/>
      <c r="BT36" s="910"/>
      <c r="BU36" s="911"/>
    </row>
    <row r="37" spans="2:73" s="94" customFormat="1" ht="12.95" customHeight="1" x14ac:dyDescent="0.2">
      <c r="B37" s="151" t="str">
        <f>IF(ISNA(Z37),"",IF(OR(Z37=1,Z37=2),"    ",MAX($B$8:B36)+1))</f>
        <v/>
      </c>
      <c r="C37" s="904" t="str">
        <f>IF(ISNA(Z37),"",CONCATENATE($U37,IF(ISNUMBER(AI37),TEXT(ROUND($AI37,3)," (0.0%)"),""),IF(AU37&gt;0," Bonus","")))</f>
        <v/>
      </c>
      <c r="D37" s="904"/>
      <c r="E37" s="904"/>
      <c r="F37" s="905"/>
      <c r="G37" s="133" t="str">
        <f t="shared" si="1"/>
        <v/>
      </c>
      <c r="H37" s="134" t="str">
        <f t="shared" si="2"/>
        <v/>
      </c>
      <c r="I37" s="152" t="str">
        <f t="shared" si="2"/>
        <v/>
      </c>
      <c r="J37" s="158" t="s">
        <v>340</v>
      </c>
      <c r="K37" s="159" t="s">
        <v>340</v>
      </c>
      <c r="L37" s="961"/>
      <c r="M37" s="962"/>
      <c r="N37" s="962"/>
      <c r="O37" s="962"/>
      <c r="P37" s="962"/>
      <c r="Q37" s="962"/>
      <c r="R37" s="963"/>
      <c r="T37" s="99">
        <v>30</v>
      </c>
      <c r="U37" s="88" t="e">
        <v>#N/A</v>
      </c>
      <c r="V37" s="453" t="e">
        <v>#N/A</v>
      </c>
      <c r="W37" s="453" t="e">
        <v>#N/A</v>
      </c>
      <c r="X37" s="453" t="e">
        <v>#N/A</v>
      </c>
      <c r="Y37" s="453" t="e">
        <v>#N/A</v>
      </c>
      <c r="Z37" s="146" t="e">
        <v>#N/A</v>
      </c>
      <c r="AA37" s="146" t="e">
        <v>#N/A</v>
      </c>
      <c r="AB37" s="146" t="e">
        <v>#N/A</v>
      </c>
      <c r="AC37" s="453" t="e">
        <v>#N/A</v>
      </c>
      <c r="AD37" s="453" t="e">
        <v>#N/A</v>
      </c>
      <c r="AE37" s="453" t="e">
        <v>#N/A</v>
      </c>
      <c r="AF37" s="453" t="e">
        <v>#N/A</v>
      </c>
      <c r="AG37" s="453" t="e">
        <f t="shared" si="3"/>
        <v>#N/A</v>
      </c>
      <c r="AH37" s="453" t="str">
        <f t="shared" si="4"/>
        <v/>
      </c>
      <c r="AI37" s="138" t="e">
        <f>IF(NOT(OR(Z37=1,Z37=2)),IF(AQ37&gt;0,$AR$44*AQ37/SUMIF($AQ$8:$AQ$39,"&gt;0"),IF(AU37&gt;0,$AV$44*AU37/SUMIF($AU$8:$AU$39,"&gt;0"),IF(AS37&gt;0,$AT$44*AS37/SUMIF($AS$8:$AS$39,"&gt;0"),""))),IF(SUMIF(AJ38:$AJ$39,"=" &amp; AJ37,AI38:$AI$39)=0,"",SUMIF(AJ38:$AJ$39,"=" &amp; AJ37,AI38:$AI$39)))</f>
        <v>#N/A</v>
      </c>
      <c r="AJ37" s="139" t="e">
        <f t="shared" si="34"/>
        <v>#N/A</v>
      </c>
      <c r="AK37" s="453" t="str">
        <f t="shared" si="27"/>
        <v/>
      </c>
      <c r="AL37" s="146" t="str">
        <f t="shared" si="28"/>
        <v/>
      </c>
      <c r="AM37" s="146" t="str">
        <f t="shared" si="35"/>
        <v/>
      </c>
      <c r="AN37" s="146" t="str">
        <f>IF(ISNUMBER(AH37),IF(AND(AB37=0,ISNUMBER(AC37),ISNUMBER(AL37)),1,""),"")</f>
        <v/>
      </c>
      <c r="AO37" s="146" t="e">
        <f t="shared" si="6"/>
        <v>#N/A</v>
      </c>
      <c r="AP37" s="453" t="str">
        <f t="shared" si="7"/>
        <v/>
      </c>
      <c r="AQ37" s="140">
        <f t="shared" si="29"/>
        <v>0</v>
      </c>
      <c r="AR37" s="141" t="str">
        <f t="shared" si="8"/>
        <v/>
      </c>
      <c r="AS37" s="142">
        <f t="shared" si="30"/>
        <v>0</v>
      </c>
      <c r="AT37" s="141" t="str">
        <f t="shared" si="9"/>
        <v/>
      </c>
      <c r="AU37" s="143">
        <f t="shared" si="10"/>
        <v>0</v>
      </c>
      <c r="AV37" s="144" t="str">
        <f t="shared" si="11"/>
        <v/>
      </c>
      <c r="AW37" s="143" t="b">
        <f t="shared" si="12"/>
        <v>0</v>
      </c>
      <c r="AX37" s="145" t="b">
        <f t="shared" si="13"/>
        <v>0</v>
      </c>
      <c r="AY37" s="143" t="b">
        <f t="shared" si="14"/>
        <v>0</v>
      </c>
      <c r="AZ37" s="145" t="b">
        <f t="shared" si="15"/>
        <v>0</v>
      </c>
      <c r="BA37" s="453" t="b">
        <f t="shared" si="16"/>
        <v>0</v>
      </c>
      <c r="BB37" s="453" t="b">
        <f t="shared" si="17"/>
        <v>0</v>
      </c>
      <c r="BC37" s="143" t="b">
        <f t="shared" si="18"/>
        <v>0</v>
      </c>
      <c r="BD37" s="146" t="b">
        <f t="shared" si="31"/>
        <v>0</v>
      </c>
      <c r="BE37" s="145" t="b">
        <f t="shared" si="37"/>
        <v>0</v>
      </c>
      <c r="BF37" s="147" t="b">
        <f t="shared" si="39"/>
        <v>0</v>
      </c>
      <c r="BG37" s="453" t="str">
        <f t="shared" si="38"/>
        <v>NA</v>
      </c>
      <c r="BH37" s="453" t="str">
        <f t="shared" si="32"/>
        <v/>
      </c>
      <c r="BI37" s="453" t="str">
        <f t="shared" si="22"/>
        <v/>
      </c>
      <c r="BJ37" s="453" t="str">
        <f t="shared" si="23"/>
        <v/>
      </c>
      <c r="BK37" s="453" t="str">
        <f t="shared" si="24"/>
        <v/>
      </c>
      <c r="BL37" s="148" t="str">
        <f t="shared" si="33"/>
        <v/>
      </c>
      <c r="BM37" s="453" t="str">
        <f t="shared" si="25"/>
        <v/>
      </c>
      <c r="BN37" s="453" t="str">
        <f t="shared" si="26"/>
        <v/>
      </c>
      <c r="BO37" s="912"/>
      <c r="BP37" s="913"/>
      <c r="BQ37" s="913"/>
      <c r="BR37" s="913"/>
      <c r="BS37" s="913"/>
      <c r="BT37" s="913"/>
      <c r="BU37" s="914"/>
    </row>
    <row r="38" spans="2:73" s="94" customFormat="1" ht="12.95" customHeight="1" x14ac:dyDescent="0.2">
      <c r="B38" s="151" t="str">
        <f>IF(ISNA(Z38),"",IF(OR(Z38=1,Z38=2),"    ",MAX($B$8:B37)+1))</f>
        <v/>
      </c>
      <c r="C38" s="904" t="str">
        <f t="shared" ref="C38:C39" si="40">IF(ISNA(Z38),"",CONCATENATE($U38,IF(ISNUMBER(AI38),TEXT(ROUND($AI38,3)," (0.0%)"),""),IF(AU38&gt;0," Bonus","")))</f>
        <v/>
      </c>
      <c r="D38" s="904"/>
      <c r="E38" s="904"/>
      <c r="F38" s="905"/>
      <c r="G38" s="133" t="str">
        <f t="shared" si="1"/>
        <v/>
      </c>
      <c r="H38" s="134" t="str">
        <f t="shared" si="2"/>
        <v/>
      </c>
      <c r="I38" s="152" t="str">
        <f t="shared" si="2"/>
        <v/>
      </c>
      <c r="J38" s="158" t="s">
        <v>340</v>
      </c>
      <c r="K38" s="159" t="s">
        <v>340</v>
      </c>
      <c r="L38" s="961"/>
      <c r="M38" s="962"/>
      <c r="N38" s="962"/>
      <c r="O38" s="962"/>
      <c r="P38" s="962"/>
      <c r="Q38" s="962"/>
      <c r="R38" s="963"/>
      <c r="T38" s="99">
        <v>31</v>
      </c>
      <c r="U38" s="88" t="e">
        <v>#N/A</v>
      </c>
      <c r="V38" s="453" t="e">
        <v>#N/A</v>
      </c>
      <c r="W38" s="453" t="e">
        <v>#N/A</v>
      </c>
      <c r="X38" s="453" t="e">
        <v>#N/A</v>
      </c>
      <c r="Y38" s="453" t="e">
        <v>#N/A</v>
      </c>
      <c r="Z38" s="146" t="e">
        <v>#N/A</v>
      </c>
      <c r="AA38" s="146" t="e">
        <v>#N/A</v>
      </c>
      <c r="AB38" s="146" t="e">
        <v>#N/A</v>
      </c>
      <c r="AC38" s="453" t="e">
        <v>#N/A</v>
      </c>
      <c r="AD38" s="453" t="e">
        <v>#N/A</v>
      </c>
      <c r="AE38" s="453" t="e">
        <v>#N/A</v>
      </c>
      <c r="AF38" s="453" t="e">
        <v>#N/A</v>
      </c>
      <c r="AG38" s="453" t="e">
        <f t="shared" si="3"/>
        <v>#N/A</v>
      </c>
      <c r="AH38" s="453" t="str">
        <f t="shared" si="4"/>
        <v/>
      </c>
      <c r="AI38" s="138" t="e">
        <f>IF(NOT(OR(Z38=1,Z38=2)),IF(AQ38&gt;0,$AR$44*AQ38/SUMIF($AQ$8:$AQ$39,"&gt;0"),IF(AU38&gt;0,$AV$44*AU38/SUMIF($AU$8:$AU$39,"&gt;0"),IF(AS38&gt;0,$AT$44*AS38/SUMIF($AS$8:$AS$39,"&gt;0"),""))),IF(SUMIF(AJ39:$AJ$39,"=" &amp; AJ38,AI39:$AI$39)=0,"",SUMIF(AJ39:$AJ$39,"=" &amp; AJ38,AI39:$AI$39)))</f>
        <v>#N/A</v>
      </c>
      <c r="AJ38" s="139" t="e">
        <f t="shared" si="34"/>
        <v>#N/A</v>
      </c>
      <c r="AK38" s="453" t="str">
        <f t="shared" si="27"/>
        <v/>
      </c>
      <c r="AL38" s="146" t="str">
        <f t="shared" si="28"/>
        <v/>
      </c>
      <c r="AM38" s="146" t="str">
        <f t="shared" si="35"/>
        <v/>
      </c>
      <c r="AN38" s="146" t="str">
        <f>IF(ISNUMBER(AH38),IF(AND(AB38=0,ISNUMBER(AC38),ISNUMBER(AL38)),1,""),"")</f>
        <v/>
      </c>
      <c r="AO38" s="146" t="e">
        <f t="shared" si="6"/>
        <v>#N/A</v>
      </c>
      <c r="AP38" s="453" t="str">
        <f t="shared" si="7"/>
        <v/>
      </c>
      <c r="AQ38" s="140">
        <f t="shared" si="29"/>
        <v>0</v>
      </c>
      <c r="AR38" s="141" t="str">
        <f t="shared" si="8"/>
        <v/>
      </c>
      <c r="AS38" s="142">
        <f t="shared" si="30"/>
        <v>0</v>
      </c>
      <c r="AT38" s="141" t="str">
        <f t="shared" si="9"/>
        <v/>
      </c>
      <c r="AU38" s="143">
        <f t="shared" si="10"/>
        <v>0</v>
      </c>
      <c r="AV38" s="144" t="str">
        <f t="shared" si="11"/>
        <v/>
      </c>
      <c r="AW38" s="143" t="b">
        <f t="shared" si="12"/>
        <v>0</v>
      </c>
      <c r="AX38" s="145" t="b">
        <f t="shared" si="13"/>
        <v>0</v>
      </c>
      <c r="AY38" s="143" t="b">
        <f t="shared" si="14"/>
        <v>0</v>
      </c>
      <c r="AZ38" s="145" t="b">
        <f t="shared" si="15"/>
        <v>0</v>
      </c>
      <c r="BA38" s="453" t="b">
        <f t="shared" si="16"/>
        <v>0</v>
      </c>
      <c r="BB38" s="453" t="b">
        <f t="shared" si="17"/>
        <v>0</v>
      </c>
      <c r="BC38" s="143" t="b">
        <f t="shared" si="18"/>
        <v>0</v>
      </c>
      <c r="BD38" s="146" t="b">
        <f t="shared" si="31"/>
        <v>0</v>
      </c>
      <c r="BE38" s="145" t="b">
        <f t="shared" si="37"/>
        <v>0</v>
      </c>
      <c r="BF38" s="147" t="b">
        <f t="shared" si="39"/>
        <v>0</v>
      </c>
      <c r="BG38" s="453" t="str">
        <f t="shared" si="38"/>
        <v>NA</v>
      </c>
      <c r="BH38" s="453" t="str">
        <f t="shared" si="32"/>
        <v/>
      </c>
      <c r="BI38" s="453" t="str">
        <f t="shared" si="22"/>
        <v/>
      </c>
      <c r="BJ38" s="453" t="str">
        <f t="shared" si="23"/>
        <v/>
      </c>
      <c r="BK38" s="453" t="str">
        <f t="shared" si="24"/>
        <v/>
      </c>
      <c r="BL38" s="148" t="str">
        <f t="shared" si="33"/>
        <v/>
      </c>
      <c r="BM38" s="453" t="str">
        <f t="shared" si="25"/>
        <v/>
      </c>
      <c r="BN38" s="453" t="str">
        <f t="shared" si="26"/>
        <v/>
      </c>
      <c r="BO38" s="150" t="s">
        <v>373</v>
      </c>
      <c r="BP38" s="150"/>
      <c r="BQ38" s="150"/>
      <c r="BR38" s="150"/>
      <c r="BS38" s="150"/>
      <c r="BT38" s="150"/>
      <c r="BU38" s="150"/>
    </row>
    <row r="39" spans="2:73" s="94" customFormat="1" ht="12.95" customHeight="1" thickBot="1" x14ac:dyDescent="0.25">
      <c r="B39" s="151" t="str">
        <f>IF(ISNA(Z39),"",IF(OR(Z39=1,Z39=2),"    ",MAX($B$8:B38)+1))</f>
        <v/>
      </c>
      <c r="C39" s="904" t="str">
        <f t="shared" si="40"/>
        <v/>
      </c>
      <c r="D39" s="904"/>
      <c r="E39" s="904"/>
      <c r="F39" s="905"/>
      <c r="G39" s="171" t="str">
        <f t="shared" si="1"/>
        <v/>
      </c>
      <c r="H39" s="134" t="str">
        <f t="shared" si="2"/>
        <v/>
      </c>
      <c r="I39" s="172" t="str">
        <f t="shared" si="2"/>
        <v/>
      </c>
      <c r="J39" s="173" t="s">
        <v>340</v>
      </c>
      <c r="K39" s="174" t="s">
        <v>340</v>
      </c>
      <c r="L39" s="964"/>
      <c r="M39" s="965"/>
      <c r="N39" s="965"/>
      <c r="O39" s="965"/>
      <c r="P39" s="965"/>
      <c r="Q39" s="965"/>
      <c r="R39" s="966"/>
      <c r="T39" s="99">
        <v>32</v>
      </c>
      <c r="U39" s="88" t="e">
        <v>#N/A</v>
      </c>
      <c r="V39" s="453" t="e">
        <v>#N/A</v>
      </c>
      <c r="W39" s="453" t="e">
        <v>#N/A</v>
      </c>
      <c r="X39" s="453" t="e">
        <v>#N/A</v>
      </c>
      <c r="Y39" s="453" t="e">
        <v>#N/A</v>
      </c>
      <c r="Z39" s="146" t="e">
        <v>#N/A</v>
      </c>
      <c r="AA39" s="146" t="e">
        <v>#N/A</v>
      </c>
      <c r="AB39" s="146" t="e">
        <v>#N/A</v>
      </c>
      <c r="AC39" s="453" t="e">
        <v>#N/A</v>
      </c>
      <c r="AD39" s="453" t="e">
        <v>#N/A</v>
      </c>
      <c r="AE39" s="453" t="e">
        <v>#N/A</v>
      </c>
      <c r="AF39" s="453" t="e">
        <v>#N/A</v>
      </c>
      <c r="AG39" s="453" t="e">
        <f t="shared" si="3"/>
        <v>#N/A</v>
      </c>
      <c r="AH39" s="453" t="str">
        <f t="shared" si="4"/>
        <v/>
      </c>
      <c r="AI39" s="138" t="e">
        <f>IF(NOT(OR(Z39=1,Z39=2)),IF(AQ39&gt;0,$AR$44*AQ39/SUMIF($AQ$8:$AQ$39,"&gt;0"),IF(AU39&gt;0,$AV$44*AU39/SUMIF($AU$8:$AU$39,"&gt;0"),IF(AS39&gt;0,$AT$44*AS39/SUMIF($AS$8:$AS$39,"&gt;0"),""))),IF(SUMIF(AJ$39:$AJ40,"=" &amp; AJ39,AI$39:$AI40)=0,"",SUMIF(AJ$39:$AJ40,"=" &amp; AJ39,AI$39:$AI40)))</f>
        <v>#N/A</v>
      </c>
      <c r="AJ39" s="139" t="e">
        <f t="shared" si="34"/>
        <v>#N/A</v>
      </c>
      <c r="AK39" s="453" t="str">
        <f t="shared" si="27"/>
        <v/>
      </c>
      <c r="AL39" s="146" t="str">
        <f t="shared" si="28"/>
        <v/>
      </c>
      <c r="AM39" s="146" t="str">
        <f t="shared" si="35"/>
        <v/>
      </c>
      <c r="AN39" s="146" t="str">
        <f>IF(ISNUMBER(AH39),IF(AND(AB39=0,ISNUMBER(AC39),ISNUMBER(AL39)),1,""),"")</f>
        <v/>
      </c>
      <c r="AO39" s="146" t="e">
        <f t="shared" si="6"/>
        <v>#N/A</v>
      </c>
      <c r="AP39" s="453" t="str">
        <f t="shared" si="7"/>
        <v/>
      </c>
      <c r="AQ39" s="140">
        <f t="shared" si="29"/>
        <v>0</v>
      </c>
      <c r="AR39" s="141" t="str">
        <f t="shared" si="8"/>
        <v/>
      </c>
      <c r="AS39" s="142">
        <f t="shared" si="30"/>
        <v>0</v>
      </c>
      <c r="AT39" s="141" t="str">
        <f t="shared" si="9"/>
        <v/>
      </c>
      <c r="AU39" s="143">
        <f t="shared" si="10"/>
        <v>0</v>
      </c>
      <c r="AV39" s="144" t="str">
        <f t="shared" si="11"/>
        <v/>
      </c>
      <c r="AW39" s="143" t="b">
        <f t="shared" si="12"/>
        <v>0</v>
      </c>
      <c r="AX39" s="145" t="b">
        <f t="shared" si="13"/>
        <v>0</v>
      </c>
      <c r="AY39" s="143" t="b">
        <f t="shared" si="14"/>
        <v>0</v>
      </c>
      <c r="AZ39" s="145" t="b">
        <f t="shared" si="15"/>
        <v>0</v>
      </c>
      <c r="BA39" s="453" t="b">
        <f t="shared" si="16"/>
        <v>0</v>
      </c>
      <c r="BB39" s="453" t="b">
        <f t="shared" si="17"/>
        <v>0</v>
      </c>
      <c r="BC39" s="143" t="b">
        <f t="shared" si="18"/>
        <v>0</v>
      </c>
      <c r="BD39" s="146" t="b">
        <f t="shared" si="31"/>
        <v>0</v>
      </c>
      <c r="BE39" s="145" t="b">
        <f t="shared" si="37"/>
        <v>0</v>
      </c>
      <c r="BF39" s="147" t="b">
        <f t="shared" si="39"/>
        <v>0</v>
      </c>
      <c r="BG39" s="453" t="str">
        <f t="shared" si="38"/>
        <v>NA</v>
      </c>
      <c r="BH39" s="453" t="str">
        <f t="shared" si="32"/>
        <v/>
      </c>
      <c r="BI39" s="453" t="str">
        <f t="shared" si="22"/>
        <v/>
      </c>
      <c r="BJ39" s="453" t="str">
        <f t="shared" si="23"/>
        <v/>
      </c>
      <c r="BK39" s="453" t="str">
        <f t="shared" si="24"/>
        <v/>
      </c>
      <c r="BL39" s="453" t="str">
        <f t="shared" si="33"/>
        <v/>
      </c>
      <c r="BM39" s="453" t="str">
        <f t="shared" si="25"/>
        <v/>
      </c>
      <c r="BN39" s="453" t="str">
        <f t="shared" si="26"/>
        <v/>
      </c>
      <c r="BO39" s="906"/>
      <c r="BP39" s="907"/>
      <c r="BQ39" s="907"/>
      <c r="BR39" s="907"/>
      <c r="BS39" s="907"/>
      <c r="BT39" s="907"/>
      <c r="BU39" s="908"/>
    </row>
    <row r="40" spans="2:73" s="91" customFormat="1" ht="8.25" customHeight="1" x14ac:dyDescent="0.2">
      <c r="B40" s="915" t="s">
        <v>374</v>
      </c>
      <c r="C40" s="916"/>
      <c r="D40" s="917"/>
      <c r="E40" s="452" t="s">
        <v>375</v>
      </c>
      <c r="F40" s="918" t="s">
        <v>376</v>
      </c>
      <c r="G40" s="919"/>
      <c r="H40" s="919" t="s">
        <v>377</v>
      </c>
      <c r="I40" s="919"/>
      <c r="J40" s="920" t="s">
        <v>378</v>
      </c>
      <c r="K40" s="921"/>
      <c r="L40" s="175" t="s">
        <v>379</v>
      </c>
      <c r="M40" s="922" t="s">
        <v>380</v>
      </c>
      <c r="N40" s="922"/>
      <c r="O40" s="923" t="str">
        <f>IF(U44,"DO REVIEW","DO REV N/A")</f>
        <v>DO REV N/A</v>
      </c>
      <c r="P40" s="924"/>
      <c r="Q40" s="176" t="str">
        <f>IF(U45,"ED REVIEW","ED REV N/A")</f>
        <v>ED REV N/A</v>
      </c>
      <c r="R40" s="177"/>
      <c r="S40" s="178">
        <v>0</v>
      </c>
      <c r="AI40" s="179"/>
      <c r="AJ40" s="92"/>
      <c r="AK40" s="92"/>
      <c r="AL40" s="92"/>
      <c r="AM40" s="92"/>
      <c r="AN40" s="92"/>
      <c r="AO40" s="88"/>
      <c r="AP40" s="92"/>
      <c r="AQ40" s="180"/>
      <c r="AR40" s="92"/>
      <c r="AS40" s="180"/>
      <c r="AT40" s="92"/>
      <c r="AU40" s="180"/>
      <c r="AV40" s="181"/>
      <c r="AW40" s="92"/>
      <c r="AX40" s="92"/>
      <c r="AY40" s="92"/>
      <c r="AZ40" s="92"/>
      <c r="BA40" s="92"/>
      <c r="BB40" s="92"/>
      <c r="BC40" s="92"/>
      <c r="BD40" s="92"/>
      <c r="BE40" s="92"/>
      <c r="BF40" s="92"/>
      <c r="BG40" s="92"/>
      <c r="BH40" s="88"/>
      <c r="BI40" s="88"/>
      <c r="BJ40" s="88"/>
      <c r="BK40" s="88"/>
      <c r="BL40" s="88"/>
      <c r="BM40" s="88"/>
      <c r="BN40" s="88"/>
      <c r="BO40" s="909"/>
      <c r="BP40" s="910"/>
      <c r="BQ40" s="910"/>
      <c r="BR40" s="910"/>
      <c r="BS40" s="910"/>
      <c r="BT40" s="910"/>
      <c r="BU40" s="911"/>
    </row>
    <row r="41" spans="2:73" ht="18.75" customHeight="1" thickBot="1" x14ac:dyDescent="0.25">
      <c r="B41" s="925" t="str">
        <f>IF(ISERROR(AR46),"",TEXT(AR45,"0.0%"))</f>
        <v>95.3%</v>
      </c>
      <c r="C41" s="926"/>
      <c r="D41" s="927"/>
      <c r="E41" s="182" t="str">
        <f>IF(AU41=0,"N/A",CONCATENATE(TEXT(AV45,"0.0%")," of ",TEXT(AV44,"0.0%")))</f>
        <v>N/A</v>
      </c>
      <c r="F41" s="929" t="str">
        <f>IF((graded_aca_events+graded_amn_events)&lt;1,"---",IF(AND(AW4,AX4),"INCOMPLETE",IF(AND(NOT(AW4),AX4),"ACA INC",IF(AND(AW4,NOT(AX4)),"AMN INC","COMPLETE"))))</f>
        <v>COMPLETE</v>
      </c>
      <c r="G41" s="929"/>
      <c r="H41" s="929" t="str">
        <f>IF(AU4,IF(OR(AY4="UNK",NOT(AN6)),"---",IF(AY4,"UNSAT",IF(AVERAGEIFS(AT8:AT39,AS8:AS39,"&gt;0")&lt;0.9,"MARG","SAT"))),"N/A")</f>
        <v>SAT</v>
      </c>
      <c r="I41" s="929"/>
      <c r="J41" s="930" t="str">
        <f>IF(OR(AZ4="UNK",NOT(AM6)),"---",IF(OR(AZ4,AR45&lt;0.7),"FAIL","PASS"))</f>
        <v>PASS</v>
      </c>
      <c r="K41" s="931"/>
      <c r="L41" s="868" t="s">
        <v>1038</v>
      </c>
      <c r="M41" s="932"/>
      <c r="N41" s="932"/>
      <c r="O41" s="933" t="s">
        <v>265</v>
      </c>
      <c r="P41" s="933"/>
      <c r="Q41" s="933" t="s">
        <v>265</v>
      </c>
      <c r="R41" s="934"/>
      <c r="S41" s="183"/>
      <c r="T41" s="99" t="s">
        <v>381</v>
      </c>
      <c r="U41" s="146" t="s">
        <v>382</v>
      </c>
      <c r="V41" s="184"/>
      <c r="W41" s="184"/>
      <c r="X41" s="184"/>
      <c r="Y41" s="184"/>
      <c r="Z41" s="184"/>
      <c r="AA41" s="184"/>
      <c r="AB41" s="184"/>
      <c r="AC41" s="184"/>
      <c r="AD41" s="184"/>
      <c r="AE41" s="184"/>
      <c r="AF41" s="184"/>
      <c r="AG41" s="184"/>
      <c r="AH41" s="184"/>
      <c r="AI41" s="86"/>
      <c r="AJ41" s="85"/>
      <c r="AK41" s="184"/>
      <c r="AL41" s="184"/>
      <c r="AM41" s="184">
        <f>SUM(AM8:AM39)</f>
        <v>16</v>
      </c>
      <c r="AN41" s="184">
        <f>SUM(AN8:AN39)</f>
        <v>5</v>
      </c>
      <c r="AO41" s="99"/>
      <c r="AP41" s="85"/>
      <c r="AQ41" s="185">
        <f>SUMIF(AQ8:AQ39,"&gt;0")</f>
        <v>90</v>
      </c>
      <c r="AR41" s="186">
        <f>IF(AQ41=0,0,SUMPRODUCT($AQ$8:$AQ$39,AR8:AR39)/SUM($AQ$8:$AQ$39))</f>
        <v>0.9555555555555556</v>
      </c>
      <c r="AS41" s="187">
        <f>SUMIF(AS8:AS39,"&gt;0")</f>
        <v>10</v>
      </c>
      <c r="AT41" s="186">
        <f>IF(AS41=0,0,SUMPRODUCT($AS$8:$AS$39,AT8:AT39)/SUM($AS$8:$AS$39))</f>
        <v>0.93</v>
      </c>
      <c r="AU41" s="187">
        <f>SUM(AU9:AU39)</f>
        <v>0</v>
      </c>
      <c r="AV41" s="186">
        <f>IF(AU41=0,0,SUMPRODUCT($AU$8:$AU$39,AV8:AV39)/SUM($AU$8:$AU$39))</f>
        <v>0</v>
      </c>
      <c r="AW41" s="188"/>
      <c r="AX41" s="188"/>
      <c r="AY41" s="188"/>
      <c r="AZ41" s="188"/>
      <c r="BA41" s="188"/>
      <c r="BB41" s="188"/>
      <c r="BC41" s="88" t="s">
        <v>383</v>
      </c>
      <c r="BD41" s="88" t="s">
        <v>384</v>
      </c>
      <c r="BE41" s="88" t="s">
        <v>385</v>
      </c>
      <c r="BO41" s="909"/>
      <c r="BP41" s="910"/>
      <c r="BQ41" s="910"/>
      <c r="BR41" s="910"/>
      <c r="BS41" s="910"/>
      <c r="BT41" s="910"/>
      <c r="BU41" s="911"/>
    </row>
    <row r="42" spans="2:73" ht="7.5" customHeight="1" thickTop="1" x14ac:dyDescent="0.2">
      <c r="L42" s="928" t="s">
        <v>838</v>
      </c>
      <c r="M42" s="928"/>
      <c r="N42" s="928"/>
      <c r="O42" s="928"/>
      <c r="P42" s="928"/>
      <c r="Q42" s="928"/>
      <c r="R42" s="928"/>
      <c r="AP42" s="184"/>
      <c r="AQ42" s="85"/>
      <c r="AR42" s="85"/>
      <c r="AT42" s="186"/>
      <c r="AU42" s="186"/>
      <c r="AV42" s="186"/>
      <c r="AW42" s="85"/>
      <c r="AX42" s="186"/>
      <c r="BO42" s="912"/>
      <c r="BP42" s="913"/>
      <c r="BQ42" s="913"/>
      <c r="BR42" s="913"/>
      <c r="BS42" s="913"/>
      <c r="BT42" s="913"/>
      <c r="BU42" s="914"/>
    </row>
    <row r="43" spans="2:73" ht="30.75" customHeight="1" x14ac:dyDescent="0.2">
      <c r="T43" s="189" t="s">
        <v>386</v>
      </c>
      <c r="U43" s="146" t="b">
        <v>0</v>
      </c>
      <c r="AI43" s="89">
        <f ca="1">SUMIF(AJ8:$AJ$39,"=" &amp; AJ8,AI9:$AI$39)</f>
        <v>0.1</v>
      </c>
      <c r="AO43" s="190"/>
      <c r="AS43" s="118" t="s">
        <v>387</v>
      </c>
      <c r="AT43" s="191">
        <f>SUMIF(X8:X39,"&gt;0")/SUMIF(W8:W39,"&gt;0")</f>
        <v>0.1111111111111111</v>
      </c>
      <c r="AU43" s="118" t="s">
        <v>388</v>
      </c>
      <c r="AV43" s="192">
        <f>SUMIF(AU8:AU39,"&gt;0")/SUMIF(AQ8:AQ39,"&gt;0")</f>
        <v>0</v>
      </c>
      <c r="AW43" s="193"/>
      <c r="BE43" s="88" t="b">
        <f>AND(ISBLANK($K30),J30&gt;0)</f>
        <v>0</v>
      </c>
      <c r="BO43" s="88"/>
      <c r="BP43" s="88"/>
      <c r="BQ43" s="90"/>
    </row>
    <row r="44" spans="2:73" ht="30.75" customHeight="1" x14ac:dyDescent="0.2">
      <c r="J44" s="194"/>
      <c r="T44" s="195" t="s">
        <v>389</v>
      </c>
      <c r="U44" s="88" t="b">
        <f>IF(AND(Flight?,OR(AW4,AY4,BA4,AZ4,AR45&lt;0.7,H41="MARG")),TRUE,FALSE)</f>
        <v>0</v>
      </c>
      <c r="AO44" s="196"/>
      <c r="AQ44" s="118" t="s">
        <v>390</v>
      </c>
      <c r="AR44" s="191">
        <f>1-AT44</f>
        <v>0.9</v>
      </c>
      <c r="AS44" s="118" t="s">
        <v>391</v>
      </c>
      <c r="AT44" s="191">
        <f>MIN(AT43,AT6)</f>
        <v>0.1</v>
      </c>
      <c r="AU44" s="118" t="s">
        <v>392</v>
      </c>
      <c r="AV44" s="89">
        <f>MIN(AV43,AV6)</f>
        <v>0</v>
      </c>
      <c r="BO44" s="88"/>
      <c r="BP44" s="88"/>
      <c r="BQ44" s="90"/>
    </row>
    <row r="45" spans="2:73" ht="25.5" x14ac:dyDescent="0.2">
      <c r="T45" s="195" t="s">
        <v>393</v>
      </c>
      <c r="U45" s="88" t="b">
        <f>IF(OR(AX4,AY4,AZ4,BB4,AR45&lt;0.7),TRUE,FALSE)</f>
        <v>0</v>
      </c>
      <c r="AO45" s="197"/>
      <c r="AQ45" s="118" t="s">
        <v>394</v>
      </c>
      <c r="AR45" s="89">
        <f>AR41*(1-AT44)+(AT41*AT44)</f>
        <v>0.95300000000000007</v>
      </c>
      <c r="AU45" s="88" t="s">
        <v>324</v>
      </c>
      <c r="AV45" s="89">
        <f>AV41*AV44</f>
        <v>0</v>
      </c>
      <c r="BO45" s="88"/>
      <c r="BP45" s="88"/>
      <c r="BQ45" s="90"/>
    </row>
    <row r="46" spans="2:73" ht="25.5" x14ac:dyDescent="0.2">
      <c r="T46" s="195" t="s">
        <v>395</v>
      </c>
      <c r="U46" s="88" t="b">
        <v>0</v>
      </c>
      <c r="AO46" s="197"/>
      <c r="AQ46" s="118" t="s">
        <v>396</v>
      </c>
      <c r="AR46" s="89">
        <f>MIN(1,IF(NOT(OR(AY4,AZ4)),AR45+AV45,MIN(0.69,AR45+AV45)))</f>
        <v>0.95300000000000007</v>
      </c>
      <c r="BO46" s="88"/>
      <c r="BP46" s="88"/>
      <c r="BQ46" s="90"/>
    </row>
    <row r="47" spans="2:73" x14ac:dyDescent="0.2">
      <c r="T47" s="195" t="s">
        <v>397</v>
      </c>
      <c r="U47" s="88" t="b">
        <f>IF(NOT(Flight?),TRUE,NOT(OR(ISBLANK(comments),ISBLANK(hdr_class),ISBLANK(hdr_date),ISBLANK(hdr_stud),ISBLANK(hdr_instr),ISBLANK(hdr_acft),ISBLANK(hdr_time),F41="---")))</f>
        <v>1</v>
      </c>
      <c r="AO47" s="197"/>
      <c r="AR47" s="118"/>
      <c r="AS47" s="89"/>
    </row>
    <row r="48" spans="2:73" x14ac:dyDescent="0.2">
      <c r="T48" s="195" t="s">
        <v>398</v>
      </c>
      <c r="U48" s="88" t="b">
        <f>IF(Flight?,TRUE,NOT(OR(ISBLANK(comments),ISBLANK(hdr_class),ISBLANK(hdr_date),ISBLANK(hdr_stud),ISBLANK(hdr_instr),F41="---")))</f>
        <v>1</v>
      </c>
      <c r="AO48" s="196"/>
      <c r="AP48" s="85" t="s">
        <v>399</v>
      </c>
      <c r="AQ48" s="85"/>
      <c r="AR48" s="85"/>
      <c r="AS48" s="85"/>
      <c r="AT48" s="85"/>
    </row>
    <row r="49" spans="20:50" x14ac:dyDescent="0.2">
      <c r="T49" s="195" t="s">
        <v>400</v>
      </c>
      <c r="U49" s="88" t="b">
        <f>AND(U47:U48)</f>
        <v>1</v>
      </c>
      <c r="AO49" s="196"/>
      <c r="AP49" s="85"/>
      <c r="AQ49" s="85"/>
      <c r="AR49" s="85">
        <v>0</v>
      </c>
      <c r="AS49" s="85">
        <v>1</v>
      </c>
      <c r="AT49" s="85">
        <v>2</v>
      </c>
      <c r="AU49" s="85">
        <v>3</v>
      </c>
      <c r="AV49" s="85">
        <v>4</v>
      </c>
    </row>
    <row r="50" spans="20:50" x14ac:dyDescent="0.2">
      <c r="AO50" s="196"/>
      <c r="AP50" s="85" t="s">
        <v>359</v>
      </c>
      <c r="AQ50" s="85">
        <v>1</v>
      </c>
      <c r="AR50" s="198">
        <v>0.7</v>
      </c>
      <c r="AS50" s="198">
        <v>0.9</v>
      </c>
      <c r="AT50" s="198">
        <v>0.93330000000000002</v>
      </c>
      <c r="AU50" s="198">
        <v>0.9667</v>
      </c>
      <c r="AV50" s="198">
        <v>1</v>
      </c>
    </row>
    <row r="51" spans="20:50" x14ac:dyDescent="0.2">
      <c r="AO51" s="196"/>
      <c r="AP51" s="85" t="s">
        <v>360</v>
      </c>
      <c r="AQ51" s="85">
        <v>2</v>
      </c>
      <c r="AR51" s="198">
        <v>0.7</v>
      </c>
      <c r="AS51" s="198">
        <v>0.8</v>
      </c>
      <c r="AT51" s="198">
        <v>0.9</v>
      </c>
      <c r="AU51" s="198">
        <v>0.95</v>
      </c>
      <c r="AV51" s="198">
        <v>1</v>
      </c>
    </row>
    <row r="52" spans="20:50" x14ac:dyDescent="0.2">
      <c r="AO52" s="196"/>
      <c r="AP52" s="85" t="s">
        <v>361</v>
      </c>
      <c r="AQ52" s="85">
        <v>3</v>
      </c>
      <c r="AR52" s="198">
        <v>0.7</v>
      </c>
      <c r="AS52" s="198">
        <v>0.76670000000000005</v>
      </c>
      <c r="AT52" s="198">
        <v>0.83330000000000004</v>
      </c>
      <c r="AU52" s="198">
        <v>0.9</v>
      </c>
      <c r="AV52" s="198">
        <v>1</v>
      </c>
    </row>
    <row r="53" spans="20:50" x14ac:dyDescent="0.2">
      <c r="AP53" s="199" t="s">
        <v>362</v>
      </c>
      <c r="AQ53" s="85">
        <v>11</v>
      </c>
      <c r="AR53" s="198">
        <v>0.6</v>
      </c>
      <c r="AS53" s="198">
        <v>0.9</v>
      </c>
      <c r="AT53" s="198">
        <v>0.93330000000000002</v>
      </c>
      <c r="AU53" s="198">
        <v>0.9667</v>
      </c>
      <c r="AV53" s="198">
        <v>1</v>
      </c>
    </row>
    <row r="54" spans="20:50" x14ac:dyDescent="0.2">
      <c r="AP54" s="199" t="s">
        <v>363</v>
      </c>
      <c r="AQ54" s="85">
        <v>12</v>
      </c>
      <c r="AR54" s="198">
        <v>0.6</v>
      </c>
      <c r="AS54" s="198">
        <v>0.7</v>
      </c>
      <c r="AT54" s="198">
        <v>0.9</v>
      </c>
      <c r="AU54" s="198">
        <v>0.95</v>
      </c>
      <c r="AV54" s="198">
        <v>1</v>
      </c>
    </row>
    <row r="55" spans="20:50" x14ac:dyDescent="0.2">
      <c r="AP55" s="199" t="s">
        <v>364</v>
      </c>
      <c r="AQ55" s="85">
        <v>13</v>
      </c>
      <c r="AR55" s="198">
        <v>0.6</v>
      </c>
      <c r="AS55" s="198">
        <v>0.7</v>
      </c>
      <c r="AT55" s="198">
        <v>0.8</v>
      </c>
      <c r="AU55" s="198">
        <v>0.9</v>
      </c>
      <c r="AV55" s="198">
        <v>1</v>
      </c>
    </row>
    <row r="56" spans="20:50" x14ac:dyDescent="0.2">
      <c r="AP56" s="199" t="s">
        <v>365</v>
      </c>
      <c r="AQ56" s="85">
        <v>22</v>
      </c>
      <c r="AR56" s="198">
        <v>0.3</v>
      </c>
      <c r="AS56" s="198">
        <v>0.6</v>
      </c>
      <c r="AT56" s="198">
        <v>0.9</v>
      </c>
      <c r="AU56" s="198">
        <v>0.95</v>
      </c>
      <c r="AV56" s="198">
        <v>1</v>
      </c>
    </row>
    <row r="57" spans="20:50" x14ac:dyDescent="0.2">
      <c r="AP57" s="199" t="s">
        <v>366</v>
      </c>
      <c r="AQ57" s="85">
        <v>23</v>
      </c>
      <c r="AR57" s="198">
        <v>0.3</v>
      </c>
      <c r="AS57" s="198">
        <v>0.6</v>
      </c>
      <c r="AT57" s="198">
        <v>0.7</v>
      </c>
      <c r="AU57" s="198">
        <v>0.9</v>
      </c>
      <c r="AV57" s="198">
        <v>1</v>
      </c>
    </row>
    <row r="58" spans="20:50" x14ac:dyDescent="0.2">
      <c r="AP58" s="199" t="s">
        <v>367</v>
      </c>
      <c r="AQ58" s="85">
        <v>33</v>
      </c>
      <c r="AR58" s="198">
        <v>0</v>
      </c>
      <c r="AS58" s="198">
        <v>0.3</v>
      </c>
      <c r="AT58" s="198">
        <v>0.6</v>
      </c>
      <c r="AU58" s="198">
        <v>0.9</v>
      </c>
      <c r="AV58" s="198">
        <v>1</v>
      </c>
      <c r="AW58" s="85"/>
    </row>
    <row r="60" spans="20:50" x14ac:dyDescent="0.2">
      <c r="AQ60" s="85"/>
      <c r="AW60" s="85"/>
      <c r="AX60" s="85"/>
    </row>
    <row r="61" spans="20:50" x14ac:dyDescent="0.2">
      <c r="AP61" s="200"/>
      <c r="AQ61" s="85"/>
      <c r="AW61" s="85"/>
      <c r="AX61" s="85"/>
    </row>
    <row r="62" spans="20:50" x14ac:dyDescent="0.2">
      <c r="AP62" s="85"/>
      <c r="AQ62" s="85"/>
      <c r="AW62" s="85"/>
      <c r="AX62" s="85"/>
    </row>
    <row r="63" spans="20:50" x14ac:dyDescent="0.2">
      <c r="AP63" s="85"/>
      <c r="AQ63" s="85"/>
      <c r="AW63" s="85"/>
    </row>
    <row r="64" spans="20:50" x14ac:dyDescent="0.2">
      <c r="AP64" s="85"/>
      <c r="AQ64" s="85"/>
      <c r="AW64" s="85"/>
    </row>
    <row r="65" spans="42:43" x14ac:dyDescent="0.2">
      <c r="AP65" s="85"/>
      <c r="AQ65" s="85"/>
    </row>
    <row r="66" spans="42:43" x14ac:dyDescent="0.2">
      <c r="AP66" s="85"/>
      <c r="AQ66" s="85"/>
    </row>
  </sheetData>
  <sheetProtection algorithmName="SHA-512" hashValue="KtMcvaa3C1CRG1caxiU7522fEYXklX9cbYoKsSxTk1Hyo7D7FZ/ZALTDq8Dy3CMIHy8xItevMNR/5nLorPS2SA==" saltValue="i1EeHhTkLndFoGeWD1SX5A==" spinCount="100000" sheet="1" objects="1" scenarios="1"/>
  <mergeCells count="76">
    <mergeCell ref="Q5:R5"/>
    <mergeCell ref="B6:E6"/>
    <mergeCell ref="B4:G4"/>
    <mergeCell ref="H4:N4"/>
    <mergeCell ref="O4:P4"/>
    <mergeCell ref="Q4:R4"/>
    <mergeCell ref="B5:E5"/>
    <mergeCell ref="F5:G5"/>
    <mergeCell ref="H5:L5"/>
    <mergeCell ref="M5:N5"/>
    <mergeCell ref="O5:P5"/>
    <mergeCell ref="C31:F31"/>
    <mergeCell ref="C32:F32"/>
    <mergeCell ref="BP3:BU4"/>
    <mergeCell ref="F6:G6"/>
    <mergeCell ref="H6:L6"/>
    <mergeCell ref="M6:N6"/>
    <mergeCell ref="O6:P6"/>
    <mergeCell ref="Q6:R6"/>
    <mergeCell ref="B3:G3"/>
    <mergeCell ref="H3:N3"/>
    <mergeCell ref="O3:P3"/>
    <mergeCell ref="Q3:R3"/>
    <mergeCell ref="B7:F7"/>
    <mergeCell ref="L7:R7"/>
    <mergeCell ref="BH4:BK6"/>
    <mergeCell ref="BL4:BN6"/>
    <mergeCell ref="C33:F33"/>
    <mergeCell ref="C34:F34"/>
    <mergeCell ref="BO34:BU37"/>
    <mergeCell ref="C8:F8"/>
    <mergeCell ref="L8:R39"/>
    <mergeCell ref="C9:F9"/>
    <mergeCell ref="C10:F10"/>
    <mergeCell ref="C11:F11"/>
    <mergeCell ref="C12:F12"/>
    <mergeCell ref="C13:F13"/>
    <mergeCell ref="C14:F14"/>
    <mergeCell ref="C15:F15"/>
    <mergeCell ref="C16:F16"/>
    <mergeCell ref="C30:F30"/>
    <mergeCell ref="C17:F17"/>
    <mergeCell ref="C18:F18"/>
    <mergeCell ref="BQ19:BU19"/>
    <mergeCell ref="C20:F20"/>
    <mergeCell ref="C21:F21"/>
    <mergeCell ref="BO21:BO29"/>
    <mergeCell ref="C22:F22"/>
    <mergeCell ref="C23:F23"/>
    <mergeCell ref="C24:F24"/>
    <mergeCell ref="C25:F25"/>
    <mergeCell ref="C26:F26"/>
    <mergeCell ref="C27:F27"/>
    <mergeCell ref="C28:F28"/>
    <mergeCell ref="C29:F29"/>
    <mergeCell ref="C19:F19"/>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s>
  <conditionalFormatting sqref="B8:F39">
    <cfRule type="expression" dxfId="116" priority="8" stopIfTrue="1">
      <formula>IF($Z8=1,TRUE,FALSE)</formula>
    </cfRule>
    <cfRule type="expression" dxfId="115" priority="9">
      <formula>IF($Z8=2,TRUE,FALSE)</formula>
    </cfRule>
  </conditionalFormatting>
  <conditionalFormatting sqref="C8:F39">
    <cfRule type="expression" dxfId="114" priority="1" stopIfTrue="1">
      <formula>IF($AF8=FALSE,TRUE,FALSE)</formula>
    </cfRule>
  </conditionalFormatting>
  <conditionalFormatting sqref="F5:G6 M5:P6">
    <cfRule type="expression" dxfId="113" priority="4" stopIfTrue="1">
      <formula>NOT($AU$4)</formula>
    </cfRule>
  </conditionalFormatting>
  <conditionalFormatting sqref="F6:G6">
    <cfRule type="cellIs" dxfId="112" priority="3" operator="equal">
      <formula>""</formula>
    </cfRule>
  </conditionalFormatting>
  <conditionalFormatting sqref="G8:K39">
    <cfRule type="expression" dxfId="111" priority="6" stopIfTrue="1">
      <formula>IF($Z8=1,TRUE,FALSE)</formula>
    </cfRule>
    <cfRule type="expression" dxfId="110" priority="7" stopIfTrue="1">
      <formula>IF($Z8=2,TRUE,FALSE)</formula>
    </cfRule>
  </conditionalFormatting>
  <conditionalFormatting sqref="H8:H39">
    <cfRule type="expression" dxfId="109" priority="10" stopIfTrue="1">
      <formula>IF($AB8=0,TRUE,FALSE)</formula>
    </cfRule>
  </conditionalFormatting>
  <conditionalFormatting sqref="H40:I41">
    <cfRule type="expression" dxfId="108" priority="2" stopIfTrue="1">
      <formula>IF($H$41="N/A",TRUE,FALSE)</formula>
    </cfRule>
  </conditionalFormatting>
  <conditionalFormatting sqref="H6:P6 O4:R4 B6 L8 L41 O41:R41">
    <cfRule type="containsBlanks" dxfId="107" priority="5">
      <formula>LEN(TRIM(B4))=0</formula>
    </cfRule>
  </conditionalFormatting>
  <conditionalFormatting sqref="J8:J39">
    <cfRule type="expression" dxfId="106" priority="14">
      <formula>IF($Z8=1,FALSE,OR($BE8,$BD8))</formula>
    </cfRule>
  </conditionalFormatting>
  <conditionalFormatting sqref="J8:K39 C8:F39">
    <cfRule type="expression" dxfId="105" priority="13">
      <formula>IF($Z8=1,FALSE,OR($AW8,$AX8,$AY8,$AZ8))</formula>
    </cfRule>
  </conditionalFormatting>
  <conditionalFormatting sqref="J8:K39">
    <cfRule type="expression" dxfId="104" priority="11" stopIfTrue="1">
      <formula>IF(ISNA($Z8),TRUE,FALSE)</formula>
    </cfRule>
  </conditionalFormatting>
  <conditionalFormatting sqref="K8:K39">
    <cfRule type="expression" dxfId="103" priority="12">
      <formula>IF(OR($Z8=1,$Z8=2),FALSE,OR($BC8,$BE8,$BF8))</formula>
    </cfRule>
  </conditionalFormatting>
  <dataValidations count="6">
    <dataValidation type="list" allowBlank="1" showInputMessage="1" showErrorMessage="1" sqref="F6:G6" xr:uid="{95EADC99-32D4-4356-B340-1DEC506228BC}">
      <formula1>"No,Yes"</formula1>
    </dataValidation>
    <dataValidation type="list" allowBlank="1" showInputMessage="1" showErrorMessage="1" sqref="J8:J39" xr:uid="{B3A72DB5-5F01-47F5-8B84-5D60D3F08293}">
      <formula1>"NA,0,1,2,3,4,5,6,7,8,9,10,11,12,13,14,15"</formula1>
    </dataValidation>
    <dataValidation type="list" allowBlank="1" showInputMessage="1" showErrorMessage="1" sqref="K8:K39" xr:uid="{74A7D2BE-46A5-43DD-890E-67DC1F540B33}">
      <formula1>"D,0,1,2,3,4"</formula1>
    </dataValidation>
    <dataValidation showInputMessage="1" showErrorMessage="1" sqref="O41:R41" xr:uid="{B4204B59-C934-40AB-AC6D-146DA19AFC8C}"/>
    <dataValidation type="decimal" allowBlank="1" showInputMessage="1" showErrorMessage="1" sqref="O6:P6" xr:uid="{B8F37C42-AD72-4DA2-9835-C30CDCA7B024}">
      <formula1>0</formula1>
      <formula2>10</formula2>
    </dataValidation>
    <dataValidation type="date" allowBlank="1" showInputMessage="1" showErrorMessage="1" sqref="Q4:R4" xr:uid="{039FA805-7289-48E2-AD47-26CC9BE45274}">
      <formula1>41151</formula1>
      <formula2>77433</formula2>
    </dataValidation>
  </dataValidations>
  <hyperlinks>
    <hyperlink ref="BP3" location="PF!A1" display="PF phase Summary Page" xr:uid="{58FAF095-32E6-4C60-A8BE-0DD594F2D437}"/>
    <hyperlink ref="BP3:BU4" location="TF!A1" display="TF Summary Page" xr:uid="{424B91D7-D861-45FB-B184-07BE68DA7AC8}"/>
  </hyperlinks>
  <pageMargins left="0.5" right="0.5" top="0.75" bottom="0.5" header="0.5" footer="0.5"/>
  <pageSetup orientation="landscape" verticalDpi="599" r:id="rId1"/>
  <headerFooter alignWithMargins="0"/>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73DD34-9D60-48DD-A3C8-6FF99FB24FF1}">
  <sheetPr codeName="Sheet27">
    <tabColor rgb="FFFFFF00"/>
    <pageSetUpPr autoPageBreaks="0"/>
  </sheetPr>
  <dimension ref="B1:BU66"/>
  <sheetViews>
    <sheetView showGridLines="0" showRowColHeaders="0" topLeftCell="A2" zoomScaleNormal="100" zoomScaleSheetLayoutView="100" workbookViewId="0">
      <selection activeCell="L41" sqref="L41"/>
    </sheetView>
  </sheetViews>
  <sheetFormatPr defaultColWidth="9.140625" defaultRowHeight="12.75" x14ac:dyDescent="0.2"/>
  <cols>
    <col min="1" max="1" width="1.5703125" style="87" customWidth="1"/>
    <col min="2" max="2" width="3.5703125" style="87" customWidth="1"/>
    <col min="3" max="3" width="5.5703125" style="87" customWidth="1"/>
    <col min="4" max="4" width="9.140625" style="87" customWidth="1"/>
    <col min="5" max="5" width="14" style="87" customWidth="1"/>
    <col min="6" max="6" width="7.85546875" style="87" customWidth="1"/>
    <col min="7" max="11" width="5.140625" style="87" customWidth="1"/>
    <col min="12" max="12" width="21.5703125" style="87" customWidth="1"/>
    <col min="13" max="13" width="6.5703125" style="87" customWidth="1"/>
    <col min="14" max="14" width="12.5703125" style="87" customWidth="1"/>
    <col min="15" max="15" width="7.85546875" style="87" customWidth="1"/>
    <col min="16" max="16" width="2.7109375" style="87" customWidth="1"/>
    <col min="17" max="17" width="4.85546875" style="87" customWidth="1"/>
    <col min="18" max="18" width="7.28515625" style="87" customWidth="1"/>
    <col min="19" max="19" width="1.7109375" style="87" customWidth="1"/>
    <col min="20" max="20" width="19.140625" style="88" hidden="1" customWidth="1"/>
    <col min="21" max="21" width="31.140625" style="88" hidden="1" customWidth="1"/>
    <col min="22" max="22" width="5.140625" style="88" hidden="1" customWidth="1"/>
    <col min="23" max="24" width="6.28515625" style="88" hidden="1" customWidth="1"/>
    <col min="25" max="25" width="8.42578125" style="88" hidden="1" customWidth="1"/>
    <col min="26" max="26" width="7.85546875" style="88" hidden="1" customWidth="1"/>
    <col min="27" max="27" width="10.7109375" style="88" hidden="1" customWidth="1"/>
    <col min="28" max="28" width="8" style="88" hidden="1" customWidth="1"/>
    <col min="29" max="31" width="5.140625" style="88" hidden="1" customWidth="1"/>
    <col min="32" max="34" width="5.85546875" style="88" hidden="1" customWidth="1"/>
    <col min="35" max="35" width="8.5703125" style="89" hidden="1" customWidth="1"/>
    <col min="36" max="36" width="7" style="88" hidden="1" customWidth="1"/>
    <col min="37" max="38" width="5.28515625" style="88" hidden="1" customWidth="1"/>
    <col min="39" max="40" width="7" style="88" hidden="1" customWidth="1"/>
    <col min="41" max="41" width="5.140625" style="88" hidden="1" customWidth="1"/>
    <col min="42" max="42" width="11.28515625" style="88" hidden="1" customWidth="1"/>
    <col min="43" max="43" width="6.42578125" style="88" hidden="1" customWidth="1"/>
    <col min="44" max="44" width="8.28515625" style="88" hidden="1" customWidth="1"/>
    <col min="45" max="45" width="8.85546875" style="88" hidden="1" customWidth="1"/>
    <col min="46" max="46" width="10.7109375" style="88" hidden="1" customWidth="1"/>
    <col min="47" max="47" width="8.85546875" style="88" hidden="1" customWidth="1"/>
    <col min="48" max="48" width="6.28515625" style="88" hidden="1" customWidth="1"/>
    <col min="49" max="49" width="10" style="88" hidden="1" customWidth="1"/>
    <col min="50" max="50" width="7.5703125" style="88" hidden="1" customWidth="1"/>
    <col min="51" max="51" width="7" style="88" hidden="1" customWidth="1"/>
    <col min="52" max="52" width="8.140625" style="88" hidden="1" customWidth="1"/>
    <col min="53" max="53" width="12.5703125" style="88" hidden="1" customWidth="1"/>
    <col min="54" max="54" width="7.7109375" style="88" hidden="1" customWidth="1"/>
    <col min="55" max="55" width="12.7109375" style="88" hidden="1" customWidth="1"/>
    <col min="56" max="56" width="7" style="88" hidden="1" customWidth="1"/>
    <col min="57" max="57" width="15.5703125" style="88" hidden="1" customWidth="1"/>
    <col min="58" max="58" width="9.140625" style="88" hidden="1" customWidth="1"/>
    <col min="59" max="59" width="10" style="88" hidden="1" customWidth="1"/>
    <col min="60" max="60" width="5.28515625" style="88" hidden="1" customWidth="1"/>
    <col min="61" max="61" width="4" style="88" hidden="1" customWidth="1"/>
    <col min="62" max="62" width="4.7109375" style="88" hidden="1" customWidth="1"/>
    <col min="63" max="63" width="5.5703125" style="88" hidden="1" customWidth="1"/>
    <col min="64" max="64" width="5.28515625" style="88" hidden="1" customWidth="1"/>
    <col min="65" max="65" width="4" style="88" hidden="1" customWidth="1"/>
    <col min="66" max="66" width="5.5703125" style="88" hidden="1" customWidth="1"/>
    <col min="67" max="67" width="5.140625" style="90" customWidth="1"/>
    <col min="68" max="73" width="5.140625" style="87" customWidth="1"/>
    <col min="74" max="16384" width="9.140625" style="87"/>
  </cols>
  <sheetData>
    <row r="1" spans="2:73" s="84" customFormat="1" ht="12" hidden="1" x14ac:dyDescent="0.2">
      <c r="T1" s="85"/>
      <c r="U1" s="85"/>
      <c r="V1" s="85"/>
      <c r="W1" s="85"/>
      <c r="X1" s="85"/>
      <c r="Y1" s="85"/>
      <c r="Z1" s="85"/>
      <c r="AA1" s="85"/>
      <c r="AB1" s="85"/>
      <c r="AC1" s="85"/>
      <c r="AD1" s="85"/>
      <c r="AE1" s="85"/>
      <c r="AF1" s="85"/>
      <c r="AG1" s="85"/>
      <c r="AH1" s="85"/>
      <c r="AI1" s="86"/>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row>
    <row r="2" spans="2:73" ht="13.5" thickBot="1" x14ac:dyDescent="0.25"/>
    <row r="3" spans="2:73" ht="13.5" customHeight="1" thickTop="1" x14ac:dyDescent="0.2">
      <c r="B3" s="967" t="s">
        <v>267</v>
      </c>
      <c r="C3" s="968"/>
      <c r="D3" s="968"/>
      <c r="E3" s="968"/>
      <c r="F3" s="968"/>
      <c r="G3" s="969"/>
      <c r="H3" s="970" t="s">
        <v>625</v>
      </c>
      <c r="I3" s="971"/>
      <c r="J3" s="971"/>
      <c r="K3" s="971"/>
      <c r="L3" s="971"/>
      <c r="M3" s="971"/>
      <c r="N3" s="972"/>
      <c r="O3" s="973" t="s">
        <v>269</v>
      </c>
      <c r="P3" s="974"/>
      <c r="Q3" s="973" t="s">
        <v>270</v>
      </c>
      <c r="R3" s="975"/>
      <c r="S3" s="91"/>
      <c r="T3" s="92"/>
      <c r="U3" s="92"/>
      <c r="V3" s="92"/>
      <c r="W3" s="92"/>
      <c r="X3" s="92"/>
      <c r="Y3" s="92"/>
      <c r="Z3" s="92"/>
      <c r="AA3" s="92"/>
      <c r="AB3" s="92"/>
      <c r="AC3" s="92"/>
      <c r="AD3" s="92"/>
      <c r="AE3" s="92"/>
      <c r="AF3" s="92"/>
      <c r="AG3" s="92"/>
      <c r="AH3" s="92"/>
      <c r="AI3" s="93"/>
      <c r="AJ3" s="92"/>
      <c r="AK3" s="92"/>
      <c r="AL3" s="92"/>
      <c r="AM3" s="92"/>
      <c r="AN3" s="92"/>
      <c r="AO3" s="92"/>
      <c r="AP3" s="92"/>
      <c r="AQ3" s="85"/>
      <c r="AR3" s="85"/>
      <c r="AW3" s="88" t="s">
        <v>271</v>
      </c>
      <c r="AX3" s="88" t="s">
        <v>272</v>
      </c>
      <c r="AY3" s="88" t="s">
        <v>273</v>
      </c>
      <c r="AZ3" s="88" t="s">
        <v>274</v>
      </c>
      <c r="BA3" s="88" t="s">
        <v>275</v>
      </c>
      <c r="BB3" s="88" t="s">
        <v>276</v>
      </c>
      <c r="BP3" s="976" t="s">
        <v>845</v>
      </c>
      <c r="BQ3" s="976"/>
      <c r="BR3" s="976"/>
      <c r="BS3" s="976"/>
      <c r="BT3" s="976"/>
      <c r="BU3" s="976"/>
    </row>
    <row r="4" spans="2:73" s="94" customFormat="1" ht="15.75" customHeight="1" x14ac:dyDescent="0.2">
      <c r="B4" s="994" t="s">
        <v>277</v>
      </c>
      <c r="C4" s="995"/>
      <c r="D4" s="995"/>
      <c r="E4" s="995"/>
      <c r="F4" s="995"/>
      <c r="G4" s="996"/>
      <c r="H4" s="937" t="s">
        <v>753</v>
      </c>
      <c r="I4" s="938"/>
      <c r="J4" s="938"/>
      <c r="K4" s="938"/>
      <c r="L4" s="938"/>
      <c r="M4" s="938"/>
      <c r="N4" s="939"/>
      <c r="O4" s="940" t="s">
        <v>1029</v>
      </c>
      <c r="P4" s="941"/>
      <c r="Q4" s="942">
        <v>46160</v>
      </c>
      <c r="R4" s="943"/>
      <c r="S4" s="95"/>
      <c r="T4" s="96"/>
      <c r="U4" s="96"/>
      <c r="V4" s="96"/>
      <c r="W4" s="96"/>
      <c r="X4" s="96"/>
      <c r="Y4" s="96"/>
      <c r="Z4" s="96"/>
      <c r="AA4" s="96"/>
      <c r="AB4" s="96"/>
      <c r="AC4" s="96"/>
      <c r="AD4" s="96"/>
      <c r="AE4" s="96"/>
      <c r="AF4" s="96"/>
      <c r="AG4" s="96"/>
      <c r="AH4" s="96"/>
      <c r="AI4" s="97"/>
      <c r="AJ4" s="96"/>
      <c r="AK4" s="96"/>
      <c r="AL4" s="96"/>
      <c r="AM4" s="96"/>
      <c r="AN4" s="96"/>
      <c r="AO4" s="96"/>
      <c r="AP4" s="96"/>
      <c r="AQ4" s="98"/>
      <c r="AR4" s="98"/>
      <c r="AS4" s="99"/>
      <c r="AT4" s="100" t="s">
        <v>278</v>
      </c>
      <c r="AU4" s="101" t="b">
        <v>1</v>
      </c>
      <c r="AV4" s="99">
        <v>0</v>
      </c>
      <c r="AW4" s="99" t="b">
        <f>IF(ISERR(OR(AW8:AW39)),"UNK",IF(AND(graded_aca_events&gt;=1,input_test),FALSE,OR(AW8:AW39)))</f>
        <v>0</v>
      </c>
      <c r="AX4" s="99" t="b">
        <f>IF(ISERR(OR(AX8:AX39)),"UNK",IF(AND(graded_aca_events&gt;=1,input_test),FALSE,OR(AX8:AX39)))</f>
        <v>0</v>
      </c>
      <c r="AY4" s="99" t="b">
        <f>IF(ISERR(OR(AY8:AY39)),"UNK",OR(AY8:AY39))</f>
        <v>0</v>
      </c>
      <c r="AZ4" s="99" t="b">
        <f>IF(ISERR(OR(AZ8:AZ39)),"UNK",OR(AZ8:AZ39))</f>
        <v>0</v>
      </c>
      <c r="BA4" s="99" t="b">
        <f>IF(ISERR(OR(BA8:BA39)),"UNK",OR(BA8:BA39))</f>
        <v>0</v>
      </c>
      <c r="BB4" s="99" t="b">
        <f>IF(ISERR(OR(BB8:BB39)),"UNK",OR(BB8:BB39))</f>
        <v>0</v>
      </c>
      <c r="BC4" s="102" t="b">
        <f>OR(BC8:BC39)</f>
        <v>0</v>
      </c>
      <c r="BD4" s="102" t="b">
        <f>OR(BD8:BD39)</f>
        <v>0</v>
      </c>
      <c r="BE4" s="102" t="b">
        <f>OR(BE8:BE39)</f>
        <v>0</v>
      </c>
      <c r="BF4" s="102"/>
      <c r="BG4" s="99"/>
      <c r="BH4" s="944" t="s">
        <v>279</v>
      </c>
      <c r="BI4" s="944"/>
      <c r="BJ4" s="944"/>
      <c r="BK4" s="944"/>
      <c r="BL4" s="977" t="s">
        <v>280</v>
      </c>
      <c r="BM4" s="977"/>
      <c r="BN4" s="977"/>
      <c r="BO4" s="90"/>
      <c r="BP4" s="976"/>
      <c r="BQ4" s="976"/>
      <c r="BR4" s="976"/>
      <c r="BS4" s="976"/>
      <c r="BT4" s="976"/>
      <c r="BU4" s="976"/>
    </row>
    <row r="5" spans="2:73" s="91" customFormat="1" ht="7.5" customHeight="1" x14ac:dyDescent="0.25">
      <c r="B5" s="978" t="s">
        <v>281</v>
      </c>
      <c r="C5" s="979"/>
      <c r="D5" s="979"/>
      <c r="E5" s="980"/>
      <c r="F5" s="981" t="s">
        <v>282</v>
      </c>
      <c r="G5" s="980"/>
      <c r="H5" s="981" t="s">
        <v>283</v>
      </c>
      <c r="I5" s="979"/>
      <c r="J5" s="979"/>
      <c r="K5" s="979"/>
      <c r="L5" s="980"/>
      <c r="M5" s="982" t="s">
        <v>284</v>
      </c>
      <c r="N5" s="983"/>
      <c r="O5" s="984" t="s">
        <v>285</v>
      </c>
      <c r="P5" s="985"/>
      <c r="Q5" s="981" t="str">
        <f>IF(AU41=0,"GRADE","GRADE (inc. bonus)")</f>
        <v>GRADE</v>
      </c>
      <c r="R5" s="986"/>
      <c r="T5" s="92"/>
      <c r="U5" s="92"/>
      <c r="V5" s="92"/>
      <c r="W5" s="92"/>
      <c r="X5" s="92"/>
      <c r="Y5" s="92"/>
      <c r="Z5" s="92"/>
      <c r="AA5" s="92"/>
      <c r="AB5" s="92"/>
      <c r="AC5" s="92"/>
      <c r="AD5" s="92"/>
      <c r="AE5" s="92"/>
      <c r="AF5" s="92"/>
      <c r="AG5" s="92"/>
      <c r="AH5" s="92"/>
      <c r="AI5" s="93"/>
      <c r="AJ5" s="92"/>
      <c r="AK5" s="92"/>
      <c r="AL5" s="92"/>
      <c r="AM5" s="92"/>
      <c r="AN5" s="92"/>
      <c r="AO5" s="92"/>
      <c r="AP5" s="92"/>
      <c r="AQ5" s="92"/>
      <c r="AR5" s="92"/>
      <c r="AS5" s="92"/>
      <c r="AT5" s="92"/>
      <c r="AU5" s="92"/>
      <c r="AV5" s="92"/>
      <c r="AW5" s="92"/>
      <c r="AX5" s="92"/>
      <c r="AY5" s="92"/>
      <c r="AZ5" s="92"/>
      <c r="BA5" s="92"/>
      <c r="BB5" s="92"/>
      <c r="BC5" s="92"/>
      <c r="BD5" s="92"/>
      <c r="BE5" s="92"/>
      <c r="BF5" s="92"/>
      <c r="BG5" s="92"/>
      <c r="BH5" s="944"/>
      <c r="BI5" s="944"/>
      <c r="BJ5" s="944"/>
      <c r="BK5" s="944"/>
      <c r="BL5" s="977"/>
      <c r="BM5" s="977"/>
      <c r="BN5" s="977"/>
      <c r="BO5" s="103"/>
    </row>
    <row r="6" spans="2:73" s="94" customFormat="1" ht="15.75" customHeight="1" thickBot="1" x14ac:dyDescent="0.25">
      <c r="B6" s="987" t="s">
        <v>1026</v>
      </c>
      <c r="C6" s="988"/>
      <c r="D6" s="988"/>
      <c r="E6" s="989"/>
      <c r="F6" s="990" t="s">
        <v>457</v>
      </c>
      <c r="G6" s="991"/>
      <c r="H6" s="992" t="s">
        <v>1050</v>
      </c>
      <c r="I6" s="993"/>
      <c r="J6" s="993"/>
      <c r="K6" s="993"/>
      <c r="L6" s="991"/>
      <c r="M6" s="945" t="s">
        <v>1051</v>
      </c>
      <c r="N6" s="946"/>
      <c r="O6" s="947">
        <v>1.8</v>
      </c>
      <c r="P6" s="948"/>
      <c r="Q6" s="949">
        <f>IF((graded_aca_events+graded_amn_events)&lt;1,"0",IF(ISERROR(AR46),"",IF(F41&lt;&gt;"COMPLETE","INCOMPLETE",AR46)))</f>
        <v>0.84</v>
      </c>
      <c r="R6" s="950"/>
      <c r="S6" s="87"/>
      <c r="T6" s="99"/>
      <c r="U6" s="99">
        <v>2</v>
      </c>
      <c r="V6" s="99">
        <v>3</v>
      </c>
      <c r="W6" s="99">
        <v>6</v>
      </c>
      <c r="X6" s="99">
        <v>7</v>
      </c>
      <c r="Y6" s="99">
        <v>11</v>
      </c>
      <c r="Z6" s="99">
        <v>8</v>
      </c>
      <c r="AA6" s="99">
        <v>9</v>
      </c>
      <c r="AB6" s="99">
        <v>10</v>
      </c>
      <c r="AC6" s="99">
        <v>5</v>
      </c>
      <c r="AD6" s="99">
        <v>4</v>
      </c>
      <c r="AE6" s="99">
        <v>12</v>
      </c>
      <c r="AF6" s="99">
        <v>13</v>
      </c>
      <c r="AG6" s="99"/>
      <c r="AH6" s="99"/>
      <c r="AI6" s="104"/>
      <c r="AJ6" s="105"/>
      <c r="AK6" s="105"/>
      <c r="AL6" s="105"/>
      <c r="AM6" s="105" t="b">
        <f>IF(COUNT(AM8:AM39)&gt;0,TRUE,FALSE)</f>
        <v>1</v>
      </c>
      <c r="AN6" s="105" t="b">
        <f>IF(COUNT(AN8:AN39)&gt;0,TRUE,FALSE)</f>
        <v>1</v>
      </c>
      <c r="AO6" s="99"/>
      <c r="AP6" s="99"/>
      <c r="AQ6" s="98"/>
      <c r="AR6" s="98"/>
      <c r="AS6" s="99"/>
      <c r="AT6" s="106">
        <v>0.1</v>
      </c>
      <c r="AU6" s="99"/>
      <c r="AV6" s="107">
        <f>0.01*input_maxb</f>
        <v>0</v>
      </c>
      <c r="AW6" s="108" t="s">
        <v>287</v>
      </c>
      <c r="AX6" s="109"/>
      <c r="AY6" s="108" t="s">
        <v>288</v>
      </c>
      <c r="AZ6" s="109"/>
      <c r="BA6" s="110" t="s">
        <v>289</v>
      </c>
      <c r="BB6" s="110"/>
      <c r="BC6" s="108" t="s">
        <v>290</v>
      </c>
      <c r="BD6" s="110"/>
      <c r="BE6" s="111"/>
      <c r="BF6" s="112"/>
      <c r="BG6" s="99" t="s">
        <v>291</v>
      </c>
      <c r="BH6" s="944"/>
      <c r="BI6" s="944"/>
      <c r="BJ6" s="944"/>
      <c r="BK6" s="944"/>
      <c r="BL6" s="977"/>
      <c r="BM6" s="977"/>
      <c r="BN6" s="977"/>
      <c r="BO6" s="90"/>
    </row>
    <row r="7" spans="2:73" ht="27" customHeight="1" thickBot="1" x14ac:dyDescent="0.25">
      <c r="B7" s="951" t="s">
        <v>292</v>
      </c>
      <c r="C7" s="952"/>
      <c r="D7" s="952"/>
      <c r="E7" s="952"/>
      <c r="F7" s="953"/>
      <c r="G7" s="113" t="s">
        <v>293</v>
      </c>
      <c r="H7" s="114" t="s">
        <v>294</v>
      </c>
      <c r="I7" s="115" t="s">
        <v>295</v>
      </c>
      <c r="J7" s="116" t="s">
        <v>296</v>
      </c>
      <c r="K7" s="117" t="s">
        <v>297</v>
      </c>
      <c r="L7" s="954" t="s">
        <v>298</v>
      </c>
      <c r="M7" s="952"/>
      <c r="N7" s="952"/>
      <c r="O7" s="952"/>
      <c r="P7" s="952"/>
      <c r="Q7" s="952"/>
      <c r="R7" s="955"/>
      <c r="T7" s="118" t="s">
        <v>299</v>
      </c>
      <c r="U7" s="118"/>
      <c r="V7" s="118" t="s">
        <v>300</v>
      </c>
      <c r="W7" s="118" t="s">
        <v>301</v>
      </c>
      <c r="X7" s="118" t="s">
        <v>302</v>
      </c>
      <c r="Y7" s="118" t="s">
        <v>303</v>
      </c>
      <c r="Z7" s="118" t="s">
        <v>304</v>
      </c>
      <c r="AA7" s="118" t="s">
        <v>305</v>
      </c>
      <c r="AB7" s="118" t="s">
        <v>306</v>
      </c>
      <c r="AC7" s="118" t="s">
        <v>307</v>
      </c>
      <c r="AD7" s="118" t="s">
        <v>308</v>
      </c>
      <c r="AE7" s="118" t="s">
        <v>309</v>
      </c>
      <c r="AF7" s="118" t="s">
        <v>310</v>
      </c>
      <c r="AG7" s="118" t="s">
        <v>311</v>
      </c>
      <c r="AH7" s="118" t="s">
        <v>312</v>
      </c>
      <c r="AI7" s="119" t="s">
        <v>313</v>
      </c>
      <c r="AJ7" s="120" t="s">
        <v>314</v>
      </c>
      <c r="AK7" s="121" t="s">
        <v>315</v>
      </c>
      <c r="AL7" s="121" t="s">
        <v>316</v>
      </c>
      <c r="AM7" s="121" t="s">
        <v>317</v>
      </c>
      <c r="AN7" s="121" t="s">
        <v>318</v>
      </c>
      <c r="AO7" s="120" t="s">
        <v>319</v>
      </c>
      <c r="AP7" s="120" t="s">
        <v>320</v>
      </c>
      <c r="AQ7" s="122" t="s">
        <v>321</v>
      </c>
      <c r="AR7" s="123" t="s">
        <v>1</v>
      </c>
      <c r="AS7" s="122" t="s">
        <v>322</v>
      </c>
      <c r="AT7" s="123" t="s">
        <v>1</v>
      </c>
      <c r="AU7" s="122" t="s">
        <v>323</v>
      </c>
      <c r="AV7" s="124" t="s">
        <v>324</v>
      </c>
      <c r="AW7" s="125" t="s">
        <v>325</v>
      </c>
      <c r="AX7" s="126" t="s">
        <v>326</v>
      </c>
      <c r="AY7" s="125" t="s">
        <v>327</v>
      </c>
      <c r="AZ7" s="126" t="s">
        <v>328</v>
      </c>
      <c r="BA7" s="127" t="s">
        <v>329</v>
      </c>
      <c r="BB7" s="127" t="s">
        <v>330</v>
      </c>
      <c r="BC7" s="128" t="s">
        <v>331</v>
      </c>
      <c r="BD7" s="129" t="s">
        <v>332</v>
      </c>
      <c r="BE7" s="130" t="s">
        <v>333</v>
      </c>
      <c r="BF7" s="131" t="s">
        <v>334</v>
      </c>
      <c r="BH7" s="88" t="s">
        <v>335</v>
      </c>
      <c r="BI7" s="88" t="s">
        <v>336</v>
      </c>
      <c r="BJ7" s="118" t="s">
        <v>337</v>
      </c>
      <c r="BK7" s="88" t="s">
        <v>338</v>
      </c>
      <c r="BL7" s="88" t="s">
        <v>335</v>
      </c>
      <c r="BM7" s="88" t="s">
        <v>336</v>
      </c>
      <c r="BN7" s="88" t="s">
        <v>338</v>
      </c>
    </row>
    <row r="8" spans="2:73" ht="12.95" customHeight="1" x14ac:dyDescent="0.2">
      <c r="B8" s="132" t="str">
        <f>IF(ISNA(Z8),"",IF(OR(Z8=1,Z8=2),"",1))</f>
        <v/>
      </c>
      <c r="C8" s="956" t="str">
        <f t="shared" ref="C8:C36" si="0">IF(ISNA(Z8),"",CONCATENATE($U8,IF(ISNUMBER(AI8),TEXT(ROUND($AI8,3)," (0.0%)"),""),IF(AU8&gt;0," Bonus","")))</f>
        <v>Airmanship Tasks (10.0%)</v>
      </c>
      <c r="D8" s="956"/>
      <c r="E8" s="956"/>
      <c r="F8" s="957"/>
      <c r="G8" s="133" t="str">
        <f t="shared" ref="G8:G39" si="1">BH8</f>
        <v/>
      </c>
      <c r="H8" s="134" t="str">
        <f t="shared" ref="H8:I39" si="2">BJ8</f>
        <v/>
      </c>
      <c r="I8" s="135" t="str">
        <f t="shared" si="2"/>
        <v/>
      </c>
      <c r="J8" s="136" t="s">
        <v>340</v>
      </c>
      <c r="K8" s="137" t="s">
        <v>340</v>
      </c>
      <c r="L8" s="958" t="s">
        <v>1052</v>
      </c>
      <c r="M8" s="959"/>
      <c r="N8" s="959"/>
      <c r="O8" s="959"/>
      <c r="P8" s="959"/>
      <c r="Q8" s="959"/>
      <c r="R8" s="960"/>
      <c r="T8" s="88">
        <v>1</v>
      </c>
      <c r="U8" s="88" t="s">
        <v>339</v>
      </c>
      <c r="V8" s="453" t="s">
        <v>340</v>
      </c>
      <c r="W8" s="453" t="s">
        <v>340</v>
      </c>
      <c r="X8" s="453" t="s">
        <v>340</v>
      </c>
      <c r="Y8" s="453" t="s">
        <v>340</v>
      </c>
      <c r="Z8" s="453">
        <v>1</v>
      </c>
      <c r="AA8" s="453">
        <v>0</v>
      </c>
      <c r="AB8" s="453">
        <v>0</v>
      </c>
      <c r="AC8" s="453" t="s">
        <v>340</v>
      </c>
      <c r="AD8" s="453" t="s">
        <v>340</v>
      </c>
      <c r="AE8" s="453">
        <v>0</v>
      </c>
      <c r="AF8" s="453" t="s">
        <v>340</v>
      </c>
      <c r="AG8" s="453" t="str">
        <f t="shared" ref="AG8:AG39" si="3">IF(CrewSoloQual="Yes",$AC8,$AD8)</f>
        <v/>
      </c>
      <c r="AH8" s="453" t="str">
        <f t="shared" ref="AH8:AH39" si="4">IF(ISNUMBER(AC8),IF(CrewSoloQual="Yes",$AC8-1,$AD8-1),"")</f>
        <v/>
      </c>
      <c r="AI8" s="138">
        <f>IF(NOT(OR(Z8=1,Z8=2)),IF(AQ8&gt;0,$AR$44*AQ8/SUMIF($AQ$8:$AQ$39,"&gt;0"),IF(AU8&gt;0,$AV$44*AU8/SUMIF($AU$8:$AU$39,"&gt;0"),IF(AS8&gt;0,$AT$44*AS8/SUMIF($AS$8:$AS$39,"&gt;0"),""))),IF(SUMIF(AJ9:$AJ$39,"=" &amp; AJ8,AI9:$AI$39)=0,"",SUMIF(AJ9:$AJ$39,"=" &amp; AJ8,AI9:$AI$39)))</f>
        <v>0.1</v>
      </c>
      <c r="AJ8" s="139">
        <f>0</f>
        <v>0</v>
      </c>
      <c r="AK8" s="453" t="str">
        <f>BI8</f>
        <v/>
      </c>
      <c r="AL8" s="453" t="str">
        <f>IF(ISBLANK(K8),"",K8)</f>
        <v/>
      </c>
      <c r="AM8" s="453" t="str">
        <f>IF(ISNUMBER(AK8),IF(ISNUMBER(AL8),1,""),"")</f>
        <v/>
      </c>
      <c r="AN8" s="453" t="str">
        <f t="shared" ref="AN8:AN36" si="5">IF(ISNUMBER(AH8),IF(AND(AB8=0,ISNUMBER(AC8),ISNUMBER(AL8)),1,""),"")</f>
        <v/>
      </c>
      <c r="AO8" s="453" t="str">
        <f t="shared" ref="AO8:AO39" si="6">IF(AB8=0,IF(CrewSoloQual="No",BI8,BK8),"")</f>
        <v/>
      </c>
      <c r="AP8" s="453" t="str">
        <f t="shared" ref="AP8:AP39" si="7">IF(ISNA(Z8),"",IF(AND(ISNUMBER(B8),G8&gt;=1,H8&lt;&gt;"NG"),IF(K8&lt;BK8,TRUE,FALSE),IF(AND(G8&gt;=1,J8="NA"),TRUE,IF(AND(AM8=1,G8=0,AL8&lt;BI8),TRUE,""))))</f>
        <v/>
      </c>
      <c r="AQ8" s="140">
        <f>IF(ISNA(Z8),0,IF(OR(J8="NA",W8="",AB8=0),0,W8))</f>
        <v>0</v>
      </c>
      <c r="AR8" s="141" t="str">
        <f t="shared" ref="AR8:AR39" si="8">IF(ISNA(Z8),"",IF(AND(NOT(OR(Z8=1,Z8=2,AK8="NG",AB8=0)),IF(ISNUMBER(AL8),AL8&gt;=0,FALSE)),VLOOKUP((10*AD8+AC8),$AQ$50:$AV$58,2+AL8,FALSE),IF(AND(input_test=TRUE,ISNUMBER(AD8),V8&lt;&gt;0),VLOOKUP((10*AD8+AC8),$AQ$50:$AV$58,2,FALSE),"")))</f>
        <v/>
      </c>
      <c r="AS8" s="142">
        <f>IF(ISNA(Z8),0,IF(OR(J8="NA",X8="",AB8=1),0,X8))</f>
        <v>0</v>
      </c>
      <c r="AT8" s="141" t="str">
        <f t="shared" ref="AT8:AT39" si="9">IF(ISNA(Z8),"",IF(AND(NOT(OR(Z8=1,Z8=2,AK8="NG",AB8=1)),IF(ISNUMBER(AL8),AL8&gt;=0,FALSE)),VLOOKUP((10*AH8+AG8),$AQ$50:$AV$58,2+AL8,FALSE),IF(AND(input_test=TRUE,ISNUMBER(AD8),V8&lt;&gt;0),VLOOKUP((10*AH8+AG8),$AQ$50:$AV$58,2,FALSE),"")))</f>
        <v/>
      </c>
      <c r="AU8" s="143">
        <f t="shared" ref="AU8:AU39" si="10">IF(ISNA(Z8),0,IF(OR(J8="NA",Y8=""),0,Y8))</f>
        <v>0</v>
      </c>
      <c r="AV8" s="144" t="str">
        <f t="shared" ref="AV8:AV39" si="11">AR8</f>
        <v/>
      </c>
      <c r="AW8" s="143" t="b">
        <f t="shared" ref="AW8:AW39" si="12">IF(ISNA(Z8),FALSE,IF(OR(AB8=1,G8=0,Z8=1,Z8=2),FALSE,IF(OR(J8="NA",J8&gt;=G8),FALSE,TRUE)))</f>
        <v>0</v>
      </c>
      <c r="AX8" s="145" t="b">
        <f t="shared" ref="AX8:AX39" si="13">IF(ISNA(Z8),FALSE,IF(OR(AB8=0,G8=0,Z8=1,Z8=2,J8="NA"),FALSE,IF(AK8="NG",IF(NOT(ISBLANK(K8)),FALSE,TRUE),IF(J8&gt;=G8,FALSE,TRUE))))</f>
        <v>0</v>
      </c>
      <c r="AY8" s="143" t="b">
        <f t="shared" ref="AY8:AY39" si="14">IF(ISNA(Z8),FALSE,IF(OR(AB8=1,G8&lt;1,Z8=1,Z8=2,AE8=0,ISBLANK(K8)),FALSE,IF(OR(J8="NA",K8&gt;=BI8),FALSE,TRUE)))</f>
        <v>0</v>
      </c>
      <c r="AZ8" s="145" t="b">
        <f t="shared" ref="AZ8:AZ39" si="15">IF(ISNA(Z8),FALSE,IF(OR(AB8=0,G8=0,Z8=1,Z8=2,AE8=0,BI8="NG",K8="",ISBLANK(K8)),FALSE,IF(OR(J8="NA",K8&gt;=AK8),FALSE,TRUE)))</f>
        <v>0</v>
      </c>
      <c r="BA8" s="453" t="b">
        <f t="shared" ref="BA8:BA39" si="16">IF(ISNA(Z8),FALSE,IF(OR(AB8=1,G8&lt;1,Z8=1,Z8=2,AE8=0),FALSE,IF(J8="NA",TRUE,FALSE)))</f>
        <v>0</v>
      </c>
      <c r="BB8" s="453" t="b">
        <f t="shared" ref="BB8:BB39" si="17">IF(ISNA(Z8),FALSE,IF(OR(AB8=0,G8=0,Z8=1,Z8=2),FALSE,IF(J8="NA",TRUE,FALSE)))</f>
        <v>0</v>
      </c>
      <c r="BC8" s="143" t="b">
        <f t="shared" ref="BC8:BC39" si="18">IF(OR(ISNA($Z8),ISNUMBER($Z8),NOT(ISNUMBER($J8)),K8="D"),FALSE,IF(AND(NOT(ISNUMBER($K8)),J8&gt;0),TRUE,FALSE))</f>
        <v>0</v>
      </c>
      <c r="BD8" s="146" t="b">
        <f>IF(OR(ISNA($Z8),ISNUMBER($Z8),NOT(ISNUMBER(K8))),FALSE,OR(NOT(ISNUMBER(J8)),J8=0,AND(J8=0,K8&lt;&gt;0)))</f>
        <v>0</v>
      </c>
      <c r="BE8" s="145" t="b">
        <f t="shared" ref="BE8:BE21" si="19">IF(OR(ISNA($Z8),K8&lt;&gt;"D"),FALSE,IF(OR(AND(H8="NG",J8=0),AND(H8&lt;&gt;"NG",NOT(OR(J8="NA",J8=0)))),TRUE,FALSE))</f>
        <v>0</v>
      </c>
      <c r="BF8" s="147" t="b">
        <f t="shared" ref="BF8:BF30" si="20">IF(OR(ISNA($Z8),H8&lt;&gt;"NG"),FALSE,IF(AND(J8="NA",K8&lt;&gt;""),TRUE,FALSE))</f>
        <v>0</v>
      </c>
      <c r="BG8" s="453" t="b">
        <f t="shared" ref="BG8:BG21" si="21">IF(ISNA($Z8),"NA",IF(OR(AZ8,AY8,AX8,AW8,AP8,BA8,BB8),TRUE,FALSE))</f>
        <v>0</v>
      </c>
      <c r="BH8" s="148" t="str">
        <f>IF(ISNA($Z8),"",IF(OR($Z8=1,$Z8=2),"",$V8))</f>
        <v/>
      </c>
      <c r="BI8" s="453" t="str">
        <f t="shared" ref="BI8:BI39" si="22">IF(ISNA($Z8),"",IF(OR($Z8=1,$Z8=2,$G8=""),"",IF(AB8=0,AH8,$AD8)))</f>
        <v/>
      </c>
      <c r="BJ8" s="453" t="str">
        <f t="shared" ref="BJ8:BJ39" si="23">IF(ISNA(AE8),"",IF(OR(Z8=1,Z8=2),"",IF(OR(AE8=0,AD8="NG"),TEXT(BI8,"0"),CONCATENATE(TEXT(BI8,"0"),"*"))))</f>
        <v/>
      </c>
      <c r="BK8" s="453" t="str">
        <f t="shared" ref="BK8:BK39" si="24">IF(ISNA($Z8),"",IF(OR($Z8=1,$Z8=2,$G8=""),"",IF(AB8=0,AG8,$AC8)))</f>
        <v/>
      </c>
      <c r="BL8" s="148" t="str">
        <f>IF(ISBLANK(BH8),"",IF(BH8=0,"",BH8))</f>
        <v/>
      </c>
      <c r="BM8" s="453" t="str">
        <f t="shared" ref="BM8:BM39" si="25">IF($BH8=0,"",IF($BI8="NG","D",$BI8))</f>
        <v/>
      </c>
      <c r="BN8" s="453" t="str">
        <f t="shared" ref="BN8:BN39" si="26">IF(ISNA(U8),"",IF($BH8=0,"",IF($BI8="NG","D",BK8)))</f>
        <v/>
      </c>
      <c r="BO8" s="149" t="s">
        <v>341</v>
      </c>
      <c r="BP8" s="150"/>
    </row>
    <row r="9" spans="2:73" s="94" customFormat="1" ht="12.95" customHeight="1" x14ac:dyDescent="0.2">
      <c r="B9" s="151">
        <f>IF(ISNA(Z9),"",IF(OR(Z9=1,Z9=2),"    ",MAX($B$8:B8)+1))</f>
        <v>1</v>
      </c>
      <c r="C9" s="904" t="str">
        <f t="shared" si="0"/>
        <v>Basic Aircraft Procedures (2.0%)</v>
      </c>
      <c r="D9" s="904"/>
      <c r="E9" s="904"/>
      <c r="F9" s="905"/>
      <c r="G9" s="133">
        <f t="shared" si="1"/>
        <v>1</v>
      </c>
      <c r="H9" s="134" t="str">
        <f t="shared" si="2"/>
        <v>1*</v>
      </c>
      <c r="I9" s="152">
        <f t="shared" si="2"/>
        <v>2</v>
      </c>
      <c r="J9" s="480">
        <v>1</v>
      </c>
      <c r="K9" s="159">
        <v>2</v>
      </c>
      <c r="L9" s="961"/>
      <c r="M9" s="962"/>
      <c r="N9" s="962"/>
      <c r="O9" s="962"/>
      <c r="P9" s="962"/>
      <c r="Q9" s="962"/>
      <c r="R9" s="963"/>
      <c r="T9" s="99">
        <v>2</v>
      </c>
      <c r="U9" s="88" t="s">
        <v>342</v>
      </c>
      <c r="V9" s="453">
        <v>1</v>
      </c>
      <c r="W9" s="453" t="s">
        <v>340</v>
      </c>
      <c r="X9" s="453">
        <v>2</v>
      </c>
      <c r="Y9" s="453" t="s">
        <v>340</v>
      </c>
      <c r="Z9" s="146" t="s">
        <v>340</v>
      </c>
      <c r="AA9" s="146">
        <v>1</v>
      </c>
      <c r="AB9" s="146">
        <v>0</v>
      </c>
      <c r="AC9" s="453">
        <v>3</v>
      </c>
      <c r="AD9" s="453">
        <v>2</v>
      </c>
      <c r="AE9" s="453">
        <v>1</v>
      </c>
      <c r="AF9" s="453" t="b">
        <v>1</v>
      </c>
      <c r="AG9" s="453">
        <f t="shared" si="3"/>
        <v>2</v>
      </c>
      <c r="AH9" s="453">
        <f t="shared" si="4"/>
        <v>1</v>
      </c>
      <c r="AI9" s="138">
        <f>IF(NOT(OR(Z9=1,Z9=2)),IF(AQ9&gt;0,$AR$44*AQ9/SUMIF($AQ$8:$AQ$39,"&gt;0"),IF(AU9&gt;0,$AV$44*AU9/SUMIF($AU$8:$AU$39,"&gt;0"),IF(AS9&gt;0,$AT$44*AS9/SUMIF($AS$8:$AS$39,"&gt;0"),""))),IF(SUMIF(AJ10:$AJ$39,"=" &amp; AJ9,AI10:$AI$39)=0,"",SUMIF(AJ10:$AJ$39,"=" &amp; AJ9,AI10:$AI$39)))</f>
        <v>0.02</v>
      </c>
      <c r="AJ9" s="139">
        <f>IF(OR(Z9=1,Z9=2,AA9&lt;AA8),AJ8+1,AJ8)</f>
        <v>0</v>
      </c>
      <c r="AK9" s="453">
        <f t="shared" ref="AK9:AK39" si="27">BI9</f>
        <v>1</v>
      </c>
      <c r="AL9" s="146">
        <f t="shared" ref="AL9:AL39" si="28">IF(ISBLANK(K9),"",K9)</f>
        <v>2</v>
      </c>
      <c r="AM9" s="146">
        <f>IF(ISNUMBER(AK9),IF(ISNUMBER(AL9),1,""),"")</f>
        <v>1</v>
      </c>
      <c r="AN9" s="146">
        <f t="shared" si="5"/>
        <v>1</v>
      </c>
      <c r="AO9" s="146">
        <f t="shared" si="6"/>
        <v>1</v>
      </c>
      <c r="AP9" s="453" t="b">
        <f>IF(ISNA(Z9),"",IF(AND(ISNUMBER(B9),G9&gt;=1,H9&lt;&gt;"NG"),IF(K9&lt;BK9,TRUE,FALSE),IF(AND(G9&gt;=1,J9="NA"),TRUE,IF(AND(AM9=1,G9=0,AL9&lt;BI9),TRUE,""))))</f>
        <v>0</v>
      </c>
      <c r="AQ9" s="140">
        <f t="shared" ref="AQ9:AQ39" si="29">IF(ISNA(Z9),0,IF(OR(J9="NA",W9="",AB9=0),0,W9))</f>
        <v>0</v>
      </c>
      <c r="AR9" s="141" t="str">
        <f>IF(ISNA(Z9),"",IF(AND(NOT(OR(Z9=1,Z9=2,AK9="NG",AB9=0)),IF(ISNUMBER(AL9),AL9&gt;=0,FALSE)),VLOOKUP((10*AD9+AC9),$AQ$50:$AV$58,2+AL9,FALSE),IF(AND(input_test=TRUE,ISNUMBER(AD9),V9&lt;&gt;0),VLOOKUP((10*AD9+AC9),$AQ$50:$AV$58,2,FALSE),"")))</f>
        <v/>
      </c>
      <c r="AS9" s="142">
        <f t="shared" ref="AS9:AS39" si="30">IF(ISNA(Z9),0,IF(OR(J9="NA",X9="",AB9=1),0,X9))</f>
        <v>2</v>
      </c>
      <c r="AT9" s="141">
        <f>IF(ISNA(Z9),"",IF(AND(NOT(OR(Z9=1,Z9=2,AK9="NG",AB9=1)),IF(ISNUMBER(AL9),AL9&gt;=0,FALSE)),VLOOKUP((10*AH9+AG9),$AQ$50:$AV$58,2+AL9,FALSE),IF(AND(input_test=TRUE,ISNUMBER(AD9),V9&lt;&gt;0),VLOOKUP((10*AH9+AG9),$AQ$50:$AV$58,2,FALSE),"")))</f>
        <v>0.9</v>
      </c>
      <c r="AU9" s="143">
        <f t="shared" si="10"/>
        <v>0</v>
      </c>
      <c r="AV9" s="144" t="str">
        <f t="shared" si="11"/>
        <v/>
      </c>
      <c r="AW9" s="143" t="b">
        <f t="shared" si="12"/>
        <v>0</v>
      </c>
      <c r="AX9" s="145" t="b">
        <f t="shared" si="13"/>
        <v>0</v>
      </c>
      <c r="AY9" s="143" t="b">
        <f t="shared" si="14"/>
        <v>0</v>
      </c>
      <c r="AZ9" s="145" t="b">
        <f t="shared" si="15"/>
        <v>0</v>
      </c>
      <c r="BA9" s="453" t="b">
        <f t="shared" si="16"/>
        <v>0</v>
      </c>
      <c r="BB9" s="453" t="b">
        <f t="shared" si="17"/>
        <v>0</v>
      </c>
      <c r="BC9" s="143" t="b">
        <f t="shared" si="18"/>
        <v>0</v>
      </c>
      <c r="BD9" s="146" t="b">
        <f t="shared" ref="BD9:BD39" si="31">IF(OR(ISNA($Z9),ISNUMBER($Z9),NOT(ISNUMBER(K9))),FALSE,OR(NOT(ISNUMBER(J9)),J9=0,AND(J9=0,K9&lt;&gt;0)))</f>
        <v>0</v>
      </c>
      <c r="BE9" s="145" t="b">
        <f t="shared" si="19"/>
        <v>0</v>
      </c>
      <c r="BF9" s="147" t="b">
        <f t="shared" si="20"/>
        <v>0</v>
      </c>
      <c r="BG9" s="453" t="b">
        <f t="shared" si="21"/>
        <v>0</v>
      </c>
      <c r="BH9" s="453">
        <f t="shared" ref="BH9:BH39" si="32">IF(ISNA($Z9),"",IF(OR($Z9=1,$Z9=2),"",$V9))</f>
        <v>1</v>
      </c>
      <c r="BI9" s="453">
        <f t="shared" si="22"/>
        <v>1</v>
      </c>
      <c r="BJ9" s="453" t="str">
        <f t="shared" si="23"/>
        <v>1*</v>
      </c>
      <c r="BK9" s="453">
        <f t="shared" si="24"/>
        <v>2</v>
      </c>
      <c r="BL9" s="148">
        <f t="shared" ref="BL9:BL39" si="33">IF(ISBLANK(BH9),"",IF(BH9=0,"",BH9))</f>
        <v>1</v>
      </c>
      <c r="BM9" s="453">
        <f t="shared" si="25"/>
        <v>1</v>
      </c>
      <c r="BN9" s="453">
        <f t="shared" si="26"/>
        <v>2</v>
      </c>
      <c r="BO9" s="155" t="s">
        <v>343</v>
      </c>
      <c r="BP9" s="156" t="s">
        <v>344</v>
      </c>
    </row>
    <row r="10" spans="2:73" s="94" customFormat="1" ht="12.95" customHeight="1" x14ac:dyDescent="0.2">
      <c r="B10" s="151">
        <f>IF(ISNA(Z10),"",IF(OR(Z10=1,Z10=2),"    ",MAX($B$8:B9)+1))</f>
        <v>2</v>
      </c>
      <c r="C10" s="904" t="str">
        <f t="shared" si="0"/>
        <v>Basic Aircraft Handling (2.0%)</v>
      </c>
      <c r="D10" s="904"/>
      <c r="E10" s="904"/>
      <c r="F10" s="905"/>
      <c r="G10" s="133">
        <f t="shared" si="1"/>
        <v>1</v>
      </c>
      <c r="H10" s="134" t="str">
        <f t="shared" si="2"/>
        <v>1*</v>
      </c>
      <c r="I10" s="152">
        <f t="shared" si="2"/>
        <v>2</v>
      </c>
      <c r="J10" s="158">
        <v>1</v>
      </c>
      <c r="K10" s="159">
        <v>2</v>
      </c>
      <c r="L10" s="961"/>
      <c r="M10" s="962"/>
      <c r="N10" s="962"/>
      <c r="O10" s="962"/>
      <c r="P10" s="962"/>
      <c r="Q10" s="962"/>
      <c r="R10" s="963"/>
      <c r="T10" s="99">
        <v>3</v>
      </c>
      <c r="U10" s="88" t="s">
        <v>551</v>
      </c>
      <c r="V10" s="453">
        <v>1</v>
      </c>
      <c r="W10" s="453" t="s">
        <v>340</v>
      </c>
      <c r="X10" s="453">
        <v>2</v>
      </c>
      <c r="Y10" s="453" t="s">
        <v>340</v>
      </c>
      <c r="Z10" s="146" t="s">
        <v>340</v>
      </c>
      <c r="AA10" s="146">
        <v>1</v>
      </c>
      <c r="AB10" s="146">
        <v>0</v>
      </c>
      <c r="AC10" s="453">
        <v>3</v>
      </c>
      <c r="AD10" s="453">
        <v>2</v>
      </c>
      <c r="AE10" s="453">
        <v>1</v>
      </c>
      <c r="AF10" s="453" t="b">
        <v>1</v>
      </c>
      <c r="AG10" s="453">
        <f t="shared" si="3"/>
        <v>2</v>
      </c>
      <c r="AH10" s="453">
        <f t="shared" si="4"/>
        <v>1</v>
      </c>
      <c r="AI10" s="138">
        <f>IF(NOT(OR(Z10=1,Z10=2)),IF(AQ10&gt;0,$AR$44*AQ10/SUMIF($AQ$8:$AQ$39,"&gt;0"),IF(AU10&gt;0,$AV$44*AU10/SUMIF($AU$8:$AU$39,"&gt;0"),IF(AS10&gt;0,$AT$44*AS10/SUMIF($AS$8:$AS$39,"&gt;0"),""))),IF(SUMIF(AJ11:$AJ$39,"=" &amp; AJ10,AI11:$AI$39)=0,"",SUMIF(AJ11:$AJ$39,"=" &amp; AJ10,AI11:$AI$39)))</f>
        <v>0.02</v>
      </c>
      <c r="AJ10" s="139">
        <f t="shared" ref="AJ10:AJ39" si="34">IF(OR(Z10=1,Z10=2,AA10&lt;AA9),AJ9+1,AJ9)</f>
        <v>0</v>
      </c>
      <c r="AK10" s="453">
        <f t="shared" si="27"/>
        <v>1</v>
      </c>
      <c r="AL10" s="146">
        <f t="shared" si="28"/>
        <v>2</v>
      </c>
      <c r="AM10" s="146">
        <f t="shared" ref="AM10:AM39" si="35">IF(ISNUMBER(AK10),IF(ISNUMBER(AL10),1,""),"")</f>
        <v>1</v>
      </c>
      <c r="AN10" s="146">
        <f t="shared" si="5"/>
        <v>1</v>
      </c>
      <c r="AO10" s="146">
        <f t="shared" si="6"/>
        <v>1</v>
      </c>
      <c r="AP10" s="453" t="b">
        <f t="shared" si="7"/>
        <v>0</v>
      </c>
      <c r="AQ10" s="140">
        <f t="shared" si="29"/>
        <v>0</v>
      </c>
      <c r="AR10" s="141" t="str">
        <f t="shared" si="8"/>
        <v/>
      </c>
      <c r="AS10" s="142">
        <f t="shared" si="30"/>
        <v>2</v>
      </c>
      <c r="AT10" s="141">
        <f t="shared" si="9"/>
        <v>0.9</v>
      </c>
      <c r="AU10" s="143">
        <f t="shared" si="10"/>
        <v>0</v>
      </c>
      <c r="AV10" s="144" t="str">
        <f t="shared" si="11"/>
        <v/>
      </c>
      <c r="AW10" s="143" t="b">
        <f t="shared" si="12"/>
        <v>0</v>
      </c>
      <c r="AX10" s="145" t="b">
        <f t="shared" si="13"/>
        <v>0</v>
      </c>
      <c r="AY10" s="143" t="b">
        <f t="shared" si="14"/>
        <v>0</v>
      </c>
      <c r="AZ10" s="145" t="b">
        <f t="shared" si="15"/>
        <v>0</v>
      </c>
      <c r="BA10" s="453" t="b">
        <f t="shared" si="16"/>
        <v>0</v>
      </c>
      <c r="BB10" s="453" t="b">
        <f t="shared" si="17"/>
        <v>0</v>
      </c>
      <c r="BC10" s="143" t="b">
        <f t="shared" si="18"/>
        <v>0</v>
      </c>
      <c r="BD10" s="146" t="b">
        <f t="shared" si="31"/>
        <v>0</v>
      </c>
      <c r="BE10" s="145" t="b">
        <f t="shared" si="19"/>
        <v>0</v>
      </c>
      <c r="BF10" s="147" t="b">
        <f t="shared" si="20"/>
        <v>0</v>
      </c>
      <c r="BG10" s="453" t="b">
        <f t="shared" si="21"/>
        <v>0</v>
      </c>
      <c r="BH10" s="453">
        <f t="shared" si="32"/>
        <v>1</v>
      </c>
      <c r="BI10" s="453">
        <f t="shared" si="22"/>
        <v>1</v>
      </c>
      <c r="BJ10" s="453" t="str">
        <f t="shared" si="23"/>
        <v>1*</v>
      </c>
      <c r="BK10" s="453">
        <f t="shared" si="24"/>
        <v>2</v>
      </c>
      <c r="BL10" s="148">
        <f t="shared" si="33"/>
        <v>1</v>
      </c>
      <c r="BM10" s="453">
        <f t="shared" si="25"/>
        <v>1</v>
      </c>
      <c r="BN10" s="453">
        <f t="shared" si="26"/>
        <v>2</v>
      </c>
      <c r="BO10" s="155">
        <v>0</v>
      </c>
      <c r="BP10" s="156" t="s">
        <v>346</v>
      </c>
    </row>
    <row r="11" spans="2:73" s="94" customFormat="1" ht="12.95" customHeight="1" x14ac:dyDescent="0.2">
      <c r="B11" s="151">
        <f>IF(ISNA(Z11),"",IF(OR(Z11=1,Z11=2),"    ",MAX($B$8:B10)+1))</f>
        <v>3</v>
      </c>
      <c r="C11" s="904" t="str">
        <f t="shared" si="0"/>
        <v>Local Area Proc./Orientation/Comm (2.0%)</v>
      </c>
      <c r="D11" s="904"/>
      <c r="E11" s="904"/>
      <c r="F11" s="905"/>
      <c r="G11" s="133">
        <f t="shared" si="1"/>
        <v>1</v>
      </c>
      <c r="H11" s="134" t="str">
        <f t="shared" si="2"/>
        <v>2*</v>
      </c>
      <c r="I11" s="152">
        <f t="shared" si="2"/>
        <v>3</v>
      </c>
      <c r="J11" s="158">
        <v>1</v>
      </c>
      <c r="K11" s="159">
        <v>2</v>
      </c>
      <c r="L11" s="961"/>
      <c r="M11" s="962"/>
      <c r="N11" s="962"/>
      <c r="O11" s="962"/>
      <c r="P11" s="962"/>
      <c r="Q11" s="962"/>
      <c r="R11" s="963"/>
      <c r="T11" s="99">
        <v>4</v>
      </c>
      <c r="U11" s="88" t="s">
        <v>345</v>
      </c>
      <c r="V11" s="453">
        <v>1</v>
      </c>
      <c r="W11" s="453" t="s">
        <v>340</v>
      </c>
      <c r="X11" s="453">
        <v>2</v>
      </c>
      <c r="Y11" s="453" t="s">
        <v>340</v>
      </c>
      <c r="Z11" s="146" t="s">
        <v>340</v>
      </c>
      <c r="AA11" s="146">
        <v>1</v>
      </c>
      <c r="AB11" s="146">
        <v>0</v>
      </c>
      <c r="AC11" s="453">
        <v>3</v>
      </c>
      <c r="AD11" s="453">
        <v>3</v>
      </c>
      <c r="AE11" s="453">
        <v>1</v>
      </c>
      <c r="AF11" s="453" t="b">
        <v>1</v>
      </c>
      <c r="AG11" s="453">
        <f t="shared" si="3"/>
        <v>3</v>
      </c>
      <c r="AH11" s="453">
        <f t="shared" si="4"/>
        <v>2</v>
      </c>
      <c r="AI11" s="138">
        <f>IF(NOT(OR(Z11=1,Z11=2)),IF(AQ11&gt;0,$AR$44*AQ11/SUMIF($AQ$8:$AQ$39,"&gt;0"),IF(AU11&gt;0,$AV$44*AU11/SUMIF($AU$8:$AU$39,"&gt;0"),IF(AS11&gt;0,$AT$44*AS11/SUMIF($AS$8:$AS$39,"&gt;0"),""))),IF(SUMIF(AJ12:$AJ$39,"=" &amp; AJ11,AI12:$AI$39)=0,"",SUMIF(AJ12:$AJ$39,"=" &amp; AJ11,AI12:$AI$39)))</f>
        <v>0.02</v>
      </c>
      <c r="AJ11" s="139">
        <f t="shared" si="34"/>
        <v>0</v>
      </c>
      <c r="AK11" s="453">
        <f t="shared" si="27"/>
        <v>2</v>
      </c>
      <c r="AL11" s="146">
        <f t="shared" si="28"/>
        <v>2</v>
      </c>
      <c r="AM11" s="146">
        <f t="shared" si="35"/>
        <v>1</v>
      </c>
      <c r="AN11" s="146">
        <f t="shared" si="5"/>
        <v>1</v>
      </c>
      <c r="AO11" s="146">
        <f t="shared" si="6"/>
        <v>2</v>
      </c>
      <c r="AP11" s="453" t="b">
        <f t="shared" si="7"/>
        <v>1</v>
      </c>
      <c r="AQ11" s="140">
        <f t="shared" si="29"/>
        <v>0</v>
      </c>
      <c r="AR11" s="141" t="str">
        <f t="shared" si="8"/>
        <v/>
      </c>
      <c r="AS11" s="142">
        <f t="shared" si="30"/>
        <v>2</v>
      </c>
      <c r="AT11" s="141">
        <f t="shared" si="9"/>
        <v>0.7</v>
      </c>
      <c r="AU11" s="143">
        <f t="shared" si="10"/>
        <v>0</v>
      </c>
      <c r="AV11" s="144" t="str">
        <f t="shared" si="11"/>
        <v/>
      </c>
      <c r="AW11" s="143" t="b">
        <f t="shared" si="12"/>
        <v>0</v>
      </c>
      <c r="AX11" s="145" t="b">
        <f t="shared" si="13"/>
        <v>0</v>
      </c>
      <c r="AY11" s="143" t="b">
        <f t="shared" si="14"/>
        <v>0</v>
      </c>
      <c r="AZ11" s="145" t="b">
        <f t="shared" si="15"/>
        <v>0</v>
      </c>
      <c r="BA11" s="453" t="b">
        <f t="shared" si="16"/>
        <v>0</v>
      </c>
      <c r="BB11" s="453" t="b">
        <f t="shared" si="17"/>
        <v>0</v>
      </c>
      <c r="BC11" s="143" t="b">
        <f t="shared" si="18"/>
        <v>0</v>
      </c>
      <c r="BD11" s="146" t="b">
        <f t="shared" si="31"/>
        <v>0</v>
      </c>
      <c r="BE11" s="145" t="b">
        <f t="shared" si="19"/>
        <v>0</v>
      </c>
      <c r="BF11" s="147" t="b">
        <f t="shared" si="20"/>
        <v>0</v>
      </c>
      <c r="BG11" s="453" t="b">
        <f t="shared" si="21"/>
        <v>1</v>
      </c>
      <c r="BH11" s="453">
        <f t="shared" si="32"/>
        <v>1</v>
      </c>
      <c r="BI11" s="453">
        <f t="shared" si="22"/>
        <v>2</v>
      </c>
      <c r="BJ11" s="453" t="str">
        <f t="shared" si="23"/>
        <v>2*</v>
      </c>
      <c r="BK11" s="453">
        <f t="shared" si="24"/>
        <v>3</v>
      </c>
      <c r="BL11" s="148">
        <f t="shared" si="33"/>
        <v>1</v>
      </c>
      <c r="BM11" s="453">
        <f t="shared" si="25"/>
        <v>2</v>
      </c>
      <c r="BN11" s="453">
        <f t="shared" si="26"/>
        <v>3</v>
      </c>
      <c r="BO11" s="155">
        <v>1</v>
      </c>
      <c r="BP11" s="156" t="s">
        <v>348</v>
      </c>
    </row>
    <row r="12" spans="2:73" s="94" customFormat="1" ht="12.95" customHeight="1" x14ac:dyDescent="0.2">
      <c r="B12" s="151">
        <f>IF(ISNA(Z12),"",IF(OR(Z12=1,Z12=2),"    ",MAX($B$8:B11)+1))</f>
        <v>4</v>
      </c>
      <c r="C12" s="904" t="str">
        <f t="shared" si="0"/>
        <v>Situational Awareness/Judgement (2.0%)</v>
      </c>
      <c r="D12" s="904"/>
      <c r="E12" s="904"/>
      <c r="F12" s="905"/>
      <c r="G12" s="133">
        <f t="shared" si="1"/>
        <v>1</v>
      </c>
      <c r="H12" s="134" t="str">
        <f t="shared" si="2"/>
        <v>2*</v>
      </c>
      <c r="I12" s="152">
        <f t="shared" si="2"/>
        <v>3</v>
      </c>
      <c r="J12" s="158">
        <v>1</v>
      </c>
      <c r="K12" s="159">
        <v>3</v>
      </c>
      <c r="L12" s="961"/>
      <c r="M12" s="962"/>
      <c r="N12" s="962"/>
      <c r="O12" s="962"/>
      <c r="P12" s="962"/>
      <c r="Q12" s="962"/>
      <c r="R12" s="963"/>
      <c r="T12" s="99">
        <v>5</v>
      </c>
      <c r="U12" s="88" t="s">
        <v>347</v>
      </c>
      <c r="V12" s="453">
        <v>1</v>
      </c>
      <c r="W12" s="453" t="s">
        <v>340</v>
      </c>
      <c r="X12" s="453">
        <v>2</v>
      </c>
      <c r="Y12" s="453" t="s">
        <v>340</v>
      </c>
      <c r="Z12" s="146" t="s">
        <v>340</v>
      </c>
      <c r="AA12" s="146">
        <v>1</v>
      </c>
      <c r="AB12" s="146">
        <v>0</v>
      </c>
      <c r="AC12" s="453">
        <v>3</v>
      </c>
      <c r="AD12" s="453">
        <v>3</v>
      </c>
      <c r="AE12" s="453">
        <v>1</v>
      </c>
      <c r="AF12" s="453" t="b">
        <v>1</v>
      </c>
      <c r="AG12" s="453">
        <f t="shared" si="3"/>
        <v>3</v>
      </c>
      <c r="AH12" s="453">
        <f t="shared" si="4"/>
        <v>2</v>
      </c>
      <c r="AI12" s="138">
        <f>IF(NOT(OR(Z12=1,Z12=2)),IF(AQ12&gt;0,$AR$44*AQ12/SUMIF($AQ$8:$AQ$39,"&gt;0"),IF(AU12&gt;0,$AV$44*AU12/SUMIF($AU$8:$AU$39,"&gt;0"),IF(AS12&gt;0,$AT$44*AS12/SUMIF($AS$8:$AS$39,"&gt;0"),""))),IF(SUMIF(AJ13:$AJ$39,"=" &amp; AJ12,AI13:$AI$39)=0,"",SUMIF(AJ13:$AJ$39,"=" &amp; AJ12,AI13:$AI$39)))</f>
        <v>0.02</v>
      </c>
      <c r="AJ12" s="139">
        <f t="shared" si="34"/>
        <v>0</v>
      </c>
      <c r="AK12" s="453">
        <f t="shared" si="27"/>
        <v>2</v>
      </c>
      <c r="AL12" s="146">
        <f t="shared" si="28"/>
        <v>3</v>
      </c>
      <c r="AM12" s="146">
        <f t="shared" si="35"/>
        <v>1</v>
      </c>
      <c r="AN12" s="146">
        <f t="shared" si="5"/>
        <v>1</v>
      </c>
      <c r="AO12" s="146">
        <f t="shared" si="6"/>
        <v>2</v>
      </c>
      <c r="AP12" s="453" t="b">
        <f t="shared" si="7"/>
        <v>0</v>
      </c>
      <c r="AQ12" s="140">
        <f t="shared" si="29"/>
        <v>0</v>
      </c>
      <c r="AR12" s="141" t="str">
        <f t="shared" si="8"/>
        <v/>
      </c>
      <c r="AS12" s="142">
        <f t="shared" si="30"/>
        <v>2</v>
      </c>
      <c r="AT12" s="141">
        <f t="shared" si="9"/>
        <v>0.9</v>
      </c>
      <c r="AU12" s="143">
        <f t="shared" si="10"/>
        <v>0</v>
      </c>
      <c r="AV12" s="144" t="str">
        <f t="shared" si="11"/>
        <v/>
      </c>
      <c r="AW12" s="143" t="b">
        <f t="shared" si="12"/>
        <v>0</v>
      </c>
      <c r="AX12" s="145" t="b">
        <f t="shared" si="13"/>
        <v>0</v>
      </c>
      <c r="AY12" s="143" t="b">
        <f t="shared" si="14"/>
        <v>0</v>
      </c>
      <c r="AZ12" s="145" t="b">
        <f t="shared" si="15"/>
        <v>0</v>
      </c>
      <c r="BA12" s="453" t="b">
        <f t="shared" si="16"/>
        <v>0</v>
      </c>
      <c r="BB12" s="453" t="b">
        <f t="shared" si="17"/>
        <v>0</v>
      </c>
      <c r="BC12" s="143" t="b">
        <f t="shared" si="18"/>
        <v>0</v>
      </c>
      <c r="BD12" s="146" t="b">
        <f t="shared" si="31"/>
        <v>0</v>
      </c>
      <c r="BE12" s="145" t="b">
        <f t="shared" si="19"/>
        <v>0</v>
      </c>
      <c r="BF12" s="147" t="b">
        <f t="shared" si="20"/>
        <v>0</v>
      </c>
      <c r="BG12" s="453" t="b">
        <f t="shared" si="21"/>
        <v>0</v>
      </c>
      <c r="BH12" s="453">
        <f t="shared" si="32"/>
        <v>1</v>
      </c>
      <c r="BI12" s="453">
        <f t="shared" si="22"/>
        <v>2</v>
      </c>
      <c r="BJ12" s="453" t="str">
        <f t="shared" si="23"/>
        <v>2*</v>
      </c>
      <c r="BK12" s="453">
        <f t="shared" si="24"/>
        <v>3</v>
      </c>
      <c r="BL12" s="148">
        <f t="shared" si="33"/>
        <v>1</v>
      </c>
      <c r="BM12" s="453">
        <f t="shared" si="25"/>
        <v>2</v>
      </c>
      <c r="BN12" s="453">
        <f t="shared" si="26"/>
        <v>3</v>
      </c>
      <c r="BO12" s="155">
        <v>2</v>
      </c>
      <c r="BP12" s="156" t="s">
        <v>350</v>
      </c>
    </row>
    <row r="13" spans="2:73" s="94" customFormat="1" ht="12.95" customHeight="1" x14ac:dyDescent="0.2">
      <c r="B13" s="151">
        <f>IF(ISNA(Z13),"",IF(OR(Z13=1,Z13=2),"    ",MAX($B$8:B12)+1))</f>
        <v>5</v>
      </c>
      <c r="C13" s="904" t="str">
        <f t="shared" si="0"/>
        <v>Clearing/Visual Lookout (2.0%)</v>
      </c>
      <c r="D13" s="904"/>
      <c r="E13" s="904"/>
      <c r="F13" s="905"/>
      <c r="G13" s="133">
        <f t="shared" si="1"/>
        <v>1</v>
      </c>
      <c r="H13" s="134" t="str">
        <f t="shared" si="2"/>
        <v>2*</v>
      </c>
      <c r="I13" s="152">
        <f t="shared" si="2"/>
        <v>3</v>
      </c>
      <c r="J13" s="158">
        <v>1</v>
      </c>
      <c r="K13" s="159">
        <v>2</v>
      </c>
      <c r="L13" s="961"/>
      <c r="M13" s="962"/>
      <c r="N13" s="962"/>
      <c r="O13" s="962"/>
      <c r="P13" s="962"/>
      <c r="Q13" s="962"/>
      <c r="R13" s="963"/>
      <c r="T13" s="99">
        <v>6</v>
      </c>
      <c r="U13" s="88" t="s">
        <v>349</v>
      </c>
      <c r="V13" s="453">
        <v>1</v>
      </c>
      <c r="W13" s="453" t="s">
        <v>340</v>
      </c>
      <c r="X13" s="453">
        <v>2</v>
      </c>
      <c r="Y13" s="453" t="s">
        <v>340</v>
      </c>
      <c r="Z13" s="146" t="s">
        <v>340</v>
      </c>
      <c r="AA13" s="146">
        <v>1</v>
      </c>
      <c r="AB13" s="146">
        <v>0</v>
      </c>
      <c r="AC13" s="453">
        <v>3</v>
      </c>
      <c r="AD13" s="453">
        <v>3</v>
      </c>
      <c r="AE13" s="453">
        <v>1</v>
      </c>
      <c r="AF13" s="453" t="b">
        <v>1</v>
      </c>
      <c r="AG13" s="453">
        <f t="shared" si="3"/>
        <v>3</v>
      </c>
      <c r="AH13" s="453">
        <f t="shared" si="4"/>
        <v>2</v>
      </c>
      <c r="AI13" s="138">
        <f>IF(NOT(OR(Z13=1,Z13=2)),IF(AQ13&gt;0,$AR$44*AQ13/SUMIF($AQ$8:$AQ$39,"&gt;0"),IF(AU13&gt;0,$AV$44*AU13/SUMIF($AU$8:$AU$39,"&gt;0"),IF(AS13&gt;0,$AT$44*AS13/SUMIF($AS$8:$AS$39,"&gt;0"),""))),IF(SUMIF(AJ14:$AJ$39,"=" &amp; AJ13,AI14:$AI$39)=0,"",SUMIF(AJ14:$AJ$39,"=" &amp; AJ13,AI14:$AI$39)))</f>
        <v>0.02</v>
      </c>
      <c r="AJ13" s="139">
        <f t="shared" si="34"/>
        <v>0</v>
      </c>
      <c r="AK13" s="453">
        <f t="shared" si="27"/>
        <v>2</v>
      </c>
      <c r="AL13" s="146">
        <f t="shared" si="28"/>
        <v>2</v>
      </c>
      <c r="AM13" s="146">
        <f t="shared" si="35"/>
        <v>1</v>
      </c>
      <c r="AN13" s="146">
        <f t="shared" si="5"/>
        <v>1</v>
      </c>
      <c r="AO13" s="146">
        <f t="shared" si="6"/>
        <v>2</v>
      </c>
      <c r="AP13" s="453" t="b">
        <f t="shared" si="7"/>
        <v>1</v>
      </c>
      <c r="AQ13" s="140">
        <f t="shared" si="29"/>
        <v>0</v>
      </c>
      <c r="AR13" s="141" t="str">
        <f t="shared" si="8"/>
        <v/>
      </c>
      <c r="AS13" s="142">
        <f t="shared" si="30"/>
        <v>2</v>
      </c>
      <c r="AT13" s="141">
        <f t="shared" si="9"/>
        <v>0.7</v>
      </c>
      <c r="AU13" s="143">
        <f t="shared" si="10"/>
        <v>0</v>
      </c>
      <c r="AV13" s="144" t="str">
        <f t="shared" si="11"/>
        <v/>
      </c>
      <c r="AW13" s="143" t="b">
        <f t="shared" si="12"/>
        <v>0</v>
      </c>
      <c r="AX13" s="145" t="b">
        <f t="shared" si="13"/>
        <v>0</v>
      </c>
      <c r="AY13" s="143" t="b">
        <f t="shared" si="14"/>
        <v>0</v>
      </c>
      <c r="AZ13" s="145" t="b">
        <f t="shared" si="15"/>
        <v>0</v>
      </c>
      <c r="BA13" s="453" t="b">
        <f t="shared" si="16"/>
        <v>0</v>
      </c>
      <c r="BB13" s="453" t="b">
        <f t="shared" si="17"/>
        <v>0</v>
      </c>
      <c r="BC13" s="143" t="b">
        <f t="shared" si="18"/>
        <v>0</v>
      </c>
      <c r="BD13" s="146" t="b">
        <f t="shared" si="31"/>
        <v>0</v>
      </c>
      <c r="BE13" s="145" t="b">
        <f t="shared" si="19"/>
        <v>0</v>
      </c>
      <c r="BF13" s="147" t="b">
        <f t="shared" si="20"/>
        <v>0</v>
      </c>
      <c r="BG13" s="453" t="b">
        <f t="shared" si="21"/>
        <v>1</v>
      </c>
      <c r="BH13" s="453">
        <f t="shared" si="32"/>
        <v>1</v>
      </c>
      <c r="BI13" s="453">
        <f t="shared" si="22"/>
        <v>2</v>
      </c>
      <c r="BJ13" s="453" t="str">
        <f t="shared" si="23"/>
        <v>2*</v>
      </c>
      <c r="BK13" s="453">
        <f t="shared" si="24"/>
        <v>3</v>
      </c>
      <c r="BL13" s="148">
        <f t="shared" si="33"/>
        <v>1</v>
      </c>
      <c r="BM13" s="453">
        <f t="shared" si="25"/>
        <v>2</v>
      </c>
      <c r="BN13" s="453">
        <f t="shared" si="26"/>
        <v>3</v>
      </c>
      <c r="BO13" s="155">
        <v>3</v>
      </c>
      <c r="BP13" s="156" t="s">
        <v>352</v>
      </c>
    </row>
    <row r="14" spans="2:73" s="94" customFormat="1" ht="12.95" customHeight="1" x14ac:dyDescent="0.2">
      <c r="B14" s="151" t="str">
        <f>IF(ISNA(Z14),"",IF(OR(Z14=1,Z14=2),"    ",MAX($B$8:B13)+1))</f>
        <v xml:space="preserve">    </v>
      </c>
      <c r="C14" s="904" t="str">
        <f t="shared" si="0"/>
        <v>Academic Tasks</v>
      </c>
      <c r="D14" s="904"/>
      <c r="E14" s="904"/>
      <c r="F14" s="905"/>
      <c r="G14" s="133" t="str">
        <f t="shared" si="1"/>
        <v/>
      </c>
      <c r="H14" s="134" t="str">
        <f t="shared" si="2"/>
        <v/>
      </c>
      <c r="I14" s="152" t="str">
        <f t="shared" si="2"/>
        <v/>
      </c>
      <c r="J14" s="158" t="s">
        <v>340</v>
      </c>
      <c r="K14" s="159" t="s">
        <v>340</v>
      </c>
      <c r="L14" s="961"/>
      <c r="M14" s="962"/>
      <c r="N14" s="962"/>
      <c r="O14" s="962"/>
      <c r="P14" s="962"/>
      <c r="Q14" s="962"/>
      <c r="R14" s="963"/>
      <c r="T14" s="99">
        <v>7</v>
      </c>
      <c r="U14" s="88" t="s">
        <v>351</v>
      </c>
      <c r="V14" s="453" t="s">
        <v>340</v>
      </c>
      <c r="W14" s="453" t="s">
        <v>340</v>
      </c>
      <c r="X14" s="453" t="s">
        <v>340</v>
      </c>
      <c r="Y14" s="453" t="s">
        <v>340</v>
      </c>
      <c r="Z14" s="146">
        <v>1</v>
      </c>
      <c r="AA14" s="146">
        <v>0</v>
      </c>
      <c r="AB14" s="146">
        <v>1</v>
      </c>
      <c r="AC14" s="453" t="s">
        <v>340</v>
      </c>
      <c r="AD14" s="453" t="s">
        <v>340</v>
      </c>
      <c r="AE14" s="453">
        <v>0</v>
      </c>
      <c r="AF14" s="453" t="s">
        <v>340</v>
      </c>
      <c r="AG14" s="453" t="str">
        <f t="shared" si="3"/>
        <v/>
      </c>
      <c r="AH14" s="453" t="str">
        <f t="shared" si="4"/>
        <v/>
      </c>
      <c r="AI14" s="138" t="str">
        <f>IF(NOT(OR(Z14=1,Z14=2)),IF(AQ14&gt;0,$AR$44*AQ14/SUMIF($AQ$8:$AQ$39,"&gt;0"),IF(AU14&gt;0,$AV$44*AU14/SUMIF($AU$8:$AU$39,"&gt;0"),IF(AS14&gt;0,$AT$44*AS14/SUMIF($AS$8:$AS$39,"&gt;0"),""))),IF(SUMIF(AJ15:$AJ$39,"=" &amp; AJ14,AI15:$AI$39)=0,"",SUMIF(AJ15:$AJ$39,"=" &amp; AJ14,AI15:$AI$39)))</f>
        <v/>
      </c>
      <c r="AJ14" s="139">
        <f t="shared" si="34"/>
        <v>1</v>
      </c>
      <c r="AK14" s="453" t="str">
        <f t="shared" si="27"/>
        <v/>
      </c>
      <c r="AL14" s="146" t="str">
        <f t="shared" si="28"/>
        <v/>
      </c>
      <c r="AM14" s="146" t="str">
        <f t="shared" si="35"/>
        <v/>
      </c>
      <c r="AN14" s="146" t="str">
        <f t="shared" si="5"/>
        <v/>
      </c>
      <c r="AO14" s="146" t="str">
        <f t="shared" si="6"/>
        <v/>
      </c>
      <c r="AP14" s="453" t="str">
        <f t="shared" si="7"/>
        <v/>
      </c>
      <c r="AQ14" s="140">
        <f t="shared" si="29"/>
        <v>0</v>
      </c>
      <c r="AR14" s="141" t="str">
        <f t="shared" si="8"/>
        <v/>
      </c>
      <c r="AS14" s="142">
        <f t="shared" si="30"/>
        <v>0</v>
      </c>
      <c r="AT14" s="141" t="str">
        <f t="shared" si="9"/>
        <v/>
      </c>
      <c r="AU14" s="143">
        <f t="shared" si="10"/>
        <v>0</v>
      </c>
      <c r="AV14" s="144" t="str">
        <f t="shared" si="11"/>
        <v/>
      </c>
      <c r="AW14" s="143" t="b">
        <f t="shared" si="12"/>
        <v>0</v>
      </c>
      <c r="AX14" s="145" t="b">
        <f t="shared" si="13"/>
        <v>0</v>
      </c>
      <c r="AY14" s="143" t="b">
        <f t="shared" si="14"/>
        <v>0</v>
      </c>
      <c r="AZ14" s="145" t="b">
        <f t="shared" si="15"/>
        <v>0</v>
      </c>
      <c r="BA14" s="453" t="b">
        <f t="shared" si="16"/>
        <v>0</v>
      </c>
      <c r="BB14" s="453" t="b">
        <f t="shared" si="17"/>
        <v>0</v>
      </c>
      <c r="BC14" s="143" t="b">
        <f t="shared" si="18"/>
        <v>0</v>
      </c>
      <c r="BD14" s="146" t="b">
        <f t="shared" si="31"/>
        <v>0</v>
      </c>
      <c r="BE14" s="145" t="b">
        <f t="shared" si="19"/>
        <v>0</v>
      </c>
      <c r="BF14" s="147" t="b">
        <f t="shared" si="20"/>
        <v>0</v>
      </c>
      <c r="BG14" s="453" t="b">
        <f t="shared" si="21"/>
        <v>0</v>
      </c>
      <c r="BH14" s="453" t="str">
        <f t="shared" si="32"/>
        <v/>
      </c>
      <c r="BI14" s="453" t="str">
        <f t="shared" si="22"/>
        <v/>
      </c>
      <c r="BJ14" s="453" t="str">
        <f t="shared" si="23"/>
        <v/>
      </c>
      <c r="BK14" s="453" t="str">
        <f t="shared" si="24"/>
        <v/>
      </c>
      <c r="BL14" s="148" t="str">
        <f t="shared" si="33"/>
        <v/>
      </c>
      <c r="BM14" s="453" t="str">
        <f t="shared" si="25"/>
        <v/>
      </c>
      <c r="BN14" s="453" t="str">
        <f t="shared" si="26"/>
        <v/>
      </c>
      <c r="BO14" s="155">
        <v>4</v>
      </c>
      <c r="BP14" s="156" t="s">
        <v>354</v>
      </c>
    </row>
    <row r="15" spans="2:73" s="94" customFormat="1" ht="12.95" customHeight="1" x14ac:dyDescent="0.2">
      <c r="B15" s="151" t="str">
        <f>IF(ISNA(Z15),"",IF(OR(Z15=1,Z15=2),"    ",MAX($B$8:B14)+1))</f>
        <v xml:space="preserve">    </v>
      </c>
      <c r="C15" s="904" t="str">
        <f t="shared" si="0"/>
        <v>Test Conduct (50.0%)</v>
      </c>
      <c r="D15" s="904"/>
      <c r="E15" s="904"/>
      <c r="F15" s="905"/>
      <c r="G15" s="133" t="str">
        <f t="shared" si="1"/>
        <v/>
      </c>
      <c r="H15" s="134" t="str">
        <f t="shared" si="2"/>
        <v/>
      </c>
      <c r="I15" s="152" t="str">
        <f t="shared" si="2"/>
        <v/>
      </c>
      <c r="J15" s="158" t="s">
        <v>340</v>
      </c>
      <c r="K15" s="159" t="s">
        <v>340</v>
      </c>
      <c r="L15" s="961"/>
      <c r="M15" s="962"/>
      <c r="N15" s="962"/>
      <c r="O15" s="962"/>
      <c r="P15" s="962"/>
      <c r="Q15" s="962"/>
      <c r="R15" s="963"/>
      <c r="T15" s="99">
        <v>8</v>
      </c>
      <c r="U15" s="88" t="s">
        <v>353</v>
      </c>
      <c r="V15" s="453" t="s">
        <v>340</v>
      </c>
      <c r="W15" s="453" t="s">
        <v>340</v>
      </c>
      <c r="X15" s="453" t="s">
        <v>340</v>
      </c>
      <c r="Y15" s="453" t="s">
        <v>340</v>
      </c>
      <c r="Z15" s="146">
        <v>2</v>
      </c>
      <c r="AA15" s="146">
        <v>1</v>
      </c>
      <c r="AB15" s="146">
        <v>1</v>
      </c>
      <c r="AC15" s="453" t="s">
        <v>340</v>
      </c>
      <c r="AD15" s="453" t="s">
        <v>340</v>
      </c>
      <c r="AE15" s="453" t="s">
        <v>340</v>
      </c>
      <c r="AF15" s="453" t="s">
        <v>340</v>
      </c>
      <c r="AG15" s="453" t="str">
        <f t="shared" si="3"/>
        <v/>
      </c>
      <c r="AH15" s="453" t="str">
        <f t="shared" si="4"/>
        <v/>
      </c>
      <c r="AI15" s="138">
        <f>IF(NOT(OR(Z15=1,Z15=2)),IF(AQ15&gt;0,$AR$44*AQ15/SUMIF($AQ$8:$AQ$39,"&gt;0"),IF(AU15&gt;0,$AV$44*AU15/SUMIF($AU$8:$AU$39,"&gt;0"),IF(AS15&gt;0,$AT$44*AS15/SUMIF($AS$8:$AS$39,"&gt;0"),""))),IF(SUMIF(AJ16:$AJ$39,"=" &amp; AJ15,AI16:$AI$39)=0,"",SUMIF(AJ16:$AJ$39,"=" &amp; AJ15,AI16:$AI$39)))</f>
        <v>0.5</v>
      </c>
      <c r="AJ15" s="139">
        <f t="shared" si="34"/>
        <v>2</v>
      </c>
      <c r="AK15" s="453" t="str">
        <f t="shared" si="27"/>
        <v/>
      </c>
      <c r="AL15" s="146" t="str">
        <f t="shared" si="28"/>
        <v/>
      </c>
      <c r="AM15" s="146" t="str">
        <f t="shared" si="35"/>
        <v/>
      </c>
      <c r="AN15" s="146" t="str">
        <f t="shared" si="5"/>
        <v/>
      </c>
      <c r="AO15" s="146" t="str">
        <f t="shared" si="6"/>
        <v/>
      </c>
      <c r="AP15" s="453" t="str">
        <f t="shared" si="7"/>
        <v/>
      </c>
      <c r="AQ15" s="140">
        <f t="shared" si="29"/>
        <v>0</v>
      </c>
      <c r="AR15" s="141" t="str">
        <f t="shared" si="8"/>
        <v/>
      </c>
      <c r="AS15" s="142">
        <f t="shared" si="30"/>
        <v>0</v>
      </c>
      <c r="AT15" s="141" t="str">
        <f t="shared" si="9"/>
        <v/>
      </c>
      <c r="AU15" s="143">
        <f t="shared" si="10"/>
        <v>0</v>
      </c>
      <c r="AV15" s="144" t="str">
        <f t="shared" si="11"/>
        <v/>
      </c>
      <c r="AW15" s="143" t="b">
        <f t="shared" si="12"/>
        <v>0</v>
      </c>
      <c r="AX15" s="145" t="b">
        <f t="shared" si="13"/>
        <v>0</v>
      </c>
      <c r="AY15" s="143" t="b">
        <f t="shared" si="14"/>
        <v>0</v>
      </c>
      <c r="AZ15" s="145" t="b">
        <f t="shared" si="15"/>
        <v>0</v>
      </c>
      <c r="BA15" s="453" t="b">
        <f t="shared" si="16"/>
        <v>0</v>
      </c>
      <c r="BB15" s="453" t="b">
        <f t="shared" si="17"/>
        <v>0</v>
      </c>
      <c r="BC15" s="143" t="b">
        <f t="shared" si="18"/>
        <v>0</v>
      </c>
      <c r="BD15" s="146" t="b">
        <f t="shared" si="31"/>
        <v>0</v>
      </c>
      <c r="BE15" s="145" t="b">
        <f t="shared" si="19"/>
        <v>0</v>
      </c>
      <c r="BF15" s="147" t="b">
        <f t="shared" si="20"/>
        <v>0</v>
      </c>
      <c r="BG15" s="453" t="b">
        <f t="shared" si="21"/>
        <v>0</v>
      </c>
      <c r="BH15" s="453" t="str">
        <f t="shared" si="32"/>
        <v/>
      </c>
      <c r="BI15" s="453" t="str">
        <f t="shared" si="22"/>
        <v/>
      </c>
      <c r="BJ15" s="453" t="str">
        <f t="shared" si="23"/>
        <v/>
      </c>
      <c r="BK15" s="453" t="str">
        <f t="shared" si="24"/>
        <v/>
      </c>
      <c r="BL15" s="148" t="str">
        <f t="shared" si="33"/>
        <v/>
      </c>
      <c r="BM15" s="453" t="str">
        <f t="shared" si="25"/>
        <v/>
      </c>
      <c r="BN15" s="453" t="str">
        <f t="shared" si="26"/>
        <v/>
      </c>
      <c r="BO15" s="90"/>
    </row>
    <row r="16" spans="2:73" s="94" customFormat="1" ht="12.95" customHeight="1" x14ac:dyDescent="0.2">
      <c r="B16" s="151">
        <f>IF(ISNA(Z16),"",IF(OR(Z16=1,Z16=2),"    ",MAX($B$8:B15)+1))</f>
        <v>6</v>
      </c>
      <c r="C16" s="904" t="str">
        <f t="shared" si="0"/>
        <v xml:space="preserve">      - Mission Preparation (10.0%)</v>
      </c>
      <c r="D16" s="904"/>
      <c r="E16" s="904"/>
      <c r="F16" s="905"/>
      <c r="G16" s="133">
        <f t="shared" si="1"/>
        <v>1</v>
      </c>
      <c r="H16" s="134" t="str">
        <f t="shared" si="2"/>
        <v>2*</v>
      </c>
      <c r="I16" s="152">
        <f t="shared" si="2"/>
        <v>3</v>
      </c>
      <c r="J16" s="158">
        <v>1</v>
      </c>
      <c r="K16" s="159">
        <v>3</v>
      </c>
      <c r="L16" s="961"/>
      <c r="M16" s="962"/>
      <c r="N16" s="962"/>
      <c r="O16" s="962"/>
      <c r="P16" s="962"/>
      <c r="Q16" s="962"/>
      <c r="R16" s="963"/>
      <c r="T16" s="99">
        <v>9</v>
      </c>
      <c r="U16" s="88" t="s">
        <v>498</v>
      </c>
      <c r="V16" s="453">
        <v>1</v>
      </c>
      <c r="W16" s="453">
        <v>10</v>
      </c>
      <c r="X16" s="453" t="s">
        <v>340</v>
      </c>
      <c r="Y16" s="453" t="s">
        <v>340</v>
      </c>
      <c r="Z16" s="146" t="s">
        <v>340</v>
      </c>
      <c r="AA16" s="146">
        <v>2</v>
      </c>
      <c r="AB16" s="146">
        <v>1</v>
      </c>
      <c r="AC16" s="453">
        <v>3</v>
      </c>
      <c r="AD16" s="453">
        <v>2</v>
      </c>
      <c r="AE16" s="453">
        <v>1</v>
      </c>
      <c r="AF16" s="453" t="b">
        <v>1</v>
      </c>
      <c r="AG16" s="453">
        <f t="shared" si="3"/>
        <v>2</v>
      </c>
      <c r="AH16" s="453">
        <f t="shared" si="4"/>
        <v>1</v>
      </c>
      <c r="AI16" s="138">
        <f>IF(NOT(OR(Z16=1,Z16=2)),IF(AQ16&gt;0,$AR$44*AQ16/SUMIF($AQ$8:$AQ$39,"&gt;0"),IF(AU16&gt;0,$AV$44*AU16/SUMIF($AU$8:$AU$39,"&gt;0"),IF(AS16&gt;0,$AT$44*AS16/SUMIF($AS$8:$AS$39,"&gt;0"),""))),IF(SUMIF(AJ17:$AJ$39,"=" &amp; AJ16,AI17:$AI$39)=0,"",SUMIF(AJ17:$AJ$39,"=" &amp; AJ16,AI17:$AI$39)))</f>
        <v>0.1</v>
      </c>
      <c r="AJ16" s="139">
        <f t="shared" si="34"/>
        <v>2</v>
      </c>
      <c r="AK16" s="453">
        <f t="shared" si="27"/>
        <v>2</v>
      </c>
      <c r="AL16" s="146">
        <f t="shared" si="28"/>
        <v>3</v>
      </c>
      <c r="AM16" s="146">
        <f t="shared" si="35"/>
        <v>1</v>
      </c>
      <c r="AN16" s="146" t="str">
        <f t="shared" si="5"/>
        <v/>
      </c>
      <c r="AO16" s="146" t="str">
        <f t="shared" si="6"/>
        <v/>
      </c>
      <c r="AP16" s="453" t="b">
        <f t="shared" si="7"/>
        <v>0</v>
      </c>
      <c r="AQ16" s="140">
        <f t="shared" si="29"/>
        <v>10</v>
      </c>
      <c r="AR16" s="141">
        <f t="shared" si="8"/>
        <v>0.9</v>
      </c>
      <c r="AS16" s="142">
        <f t="shared" si="30"/>
        <v>0</v>
      </c>
      <c r="AT16" s="141" t="str">
        <f t="shared" si="9"/>
        <v/>
      </c>
      <c r="AU16" s="143">
        <f t="shared" si="10"/>
        <v>0</v>
      </c>
      <c r="AV16" s="144">
        <f t="shared" si="11"/>
        <v>0.9</v>
      </c>
      <c r="AW16" s="143" t="b">
        <f t="shared" si="12"/>
        <v>0</v>
      </c>
      <c r="AX16" s="145" t="b">
        <f t="shared" si="13"/>
        <v>0</v>
      </c>
      <c r="AY16" s="143" t="b">
        <f t="shared" si="14"/>
        <v>0</v>
      </c>
      <c r="AZ16" s="145" t="b">
        <f t="shared" si="15"/>
        <v>0</v>
      </c>
      <c r="BA16" s="453" t="b">
        <f t="shared" si="16"/>
        <v>0</v>
      </c>
      <c r="BB16" s="453" t="b">
        <f t="shared" si="17"/>
        <v>0</v>
      </c>
      <c r="BC16" s="143" t="b">
        <f t="shared" si="18"/>
        <v>0</v>
      </c>
      <c r="BD16" s="146" t="b">
        <f t="shared" si="31"/>
        <v>0</v>
      </c>
      <c r="BE16" s="145" t="b">
        <f t="shared" si="19"/>
        <v>0</v>
      </c>
      <c r="BF16" s="147" t="b">
        <f t="shared" si="20"/>
        <v>0</v>
      </c>
      <c r="BG16" s="453" t="b">
        <f t="shared" si="21"/>
        <v>0</v>
      </c>
      <c r="BH16" s="453">
        <f t="shared" si="32"/>
        <v>1</v>
      </c>
      <c r="BI16" s="453">
        <f t="shared" si="22"/>
        <v>2</v>
      </c>
      <c r="BJ16" s="453" t="str">
        <f t="shared" si="23"/>
        <v>2*</v>
      </c>
      <c r="BK16" s="453">
        <f t="shared" si="24"/>
        <v>3</v>
      </c>
      <c r="BL16" s="148">
        <f t="shared" si="33"/>
        <v>1</v>
      </c>
      <c r="BM16" s="453">
        <f t="shared" si="25"/>
        <v>2</v>
      </c>
      <c r="BN16" s="453">
        <f t="shared" si="26"/>
        <v>3</v>
      </c>
      <c r="BO16" s="155"/>
      <c r="BP16" s="160"/>
    </row>
    <row r="17" spans="2:73" s="94" customFormat="1" ht="12.95" customHeight="1" x14ac:dyDescent="0.2">
      <c r="B17" s="151">
        <f>IF(ISNA(Z17),"",IF(OR(Z17=1,Z17=2),"    ",MAX($B$8:B16)+1))</f>
        <v>7</v>
      </c>
      <c r="C17" s="904" t="str">
        <f t="shared" si="0"/>
        <v xml:space="preserve">      - Prebrief (10.0%)</v>
      </c>
      <c r="D17" s="904"/>
      <c r="E17" s="904"/>
      <c r="F17" s="905"/>
      <c r="G17" s="133">
        <f t="shared" si="1"/>
        <v>1</v>
      </c>
      <c r="H17" s="134" t="str">
        <f t="shared" si="2"/>
        <v>2*</v>
      </c>
      <c r="I17" s="152">
        <f t="shared" si="2"/>
        <v>3</v>
      </c>
      <c r="J17" s="158">
        <v>1</v>
      </c>
      <c r="K17" s="159">
        <v>3</v>
      </c>
      <c r="L17" s="961"/>
      <c r="M17" s="962"/>
      <c r="N17" s="962"/>
      <c r="O17" s="962"/>
      <c r="P17" s="962"/>
      <c r="Q17" s="962"/>
      <c r="R17" s="963"/>
      <c r="T17" s="99">
        <v>10</v>
      </c>
      <c r="U17" s="88" t="s">
        <v>671</v>
      </c>
      <c r="V17" s="453">
        <v>1</v>
      </c>
      <c r="W17" s="453">
        <v>10</v>
      </c>
      <c r="X17" s="453" t="s">
        <v>340</v>
      </c>
      <c r="Y17" s="453" t="s">
        <v>340</v>
      </c>
      <c r="Z17" s="146" t="s">
        <v>340</v>
      </c>
      <c r="AA17" s="146">
        <v>2</v>
      </c>
      <c r="AB17" s="146">
        <v>1</v>
      </c>
      <c r="AC17" s="453">
        <v>3</v>
      </c>
      <c r="AD17" s="453">
        <v>2</v>
      </c>
      <c r="AE17" s="453">
        <v>1</v>
      </c>
      <c r="AF17" s="453" t="b">
        <v>1</v>
      </c>
      <c r="AG17" s="453">
        <f t="shared" si="3"/>
        <v>2</v>
      </c>
      <c r="AH17" s="453">
        <f t="shared" si="4"/>
        <v>1</v>
      </c>
      <c r="AI17" s="138">
        <f>IF(NOT(OR(Z17=1,Z17=2)),IF(AQ17&gt;0,$AR$44*AQ17/SUMIF($AQ$8:$AQ$39,"&gt;0"),IF(AU17&gt;0,$AV$44*AU17/SUMIF($AU$8:$AU$39,"&gt;0"),IF(AS17&gt;0,$AT$44*AS17/SUMIF($AS$8:$AS$39,"&gt;0"),""))),IF(SUMIF(AJ18:$AJ$39,"=" &amp; AJ17,AI18:$AI$39)=0,"",SUMIF(AJ18:$AJ$39,"=" &amp; AJ17,AI18:$AI$39)))</f>
        <v>0.1</v>
      </c>
      <c r="AJ17" s="139">
        <f t="shared" si="34"/>
        <v>2</v>
      </c>
      <c r="AK17" s="453">
        <f t="shared" si="27"/>
        <v>2</v>
      </c>
      <c r="AL17" s="146">
        <f t="shared" si="28"/>
        <v>3</v>
      </c>
      <c r="AM17" s="146">
        <f t="shared" si="35"/>
        <v>1</v>
      </c>
      <c r="AN17" s="146" t="str">
        <f t="shared" si="5"/>
        <v/>
      </c>
      <c r="AO17" s="146" t="str">
        <f t="shared" si="6"/>
        <v/>
      </c>
      <c r="AP17" s="453" t="b">
        <f t="shared" si="7"/>
        <v>0</v>
      </c>
      <c r="AQ17" s="140">
        <f t="shared" si="29"/>
        <v>10</v>
      </c>
      <c r="AR17" s="141">
        <f t="shared" si="8"/>
        <v>0.9</v>
      </c>
      <c r="AS17" s="142">
        <f t="shared" si="30"/>
        <v>0</v>
      </c>
      <c r="AT17" s="141" t="str">
        <f t="shared" si="9"/>
        <v/>
      </c>
      <c r="AU17" s="143">
        <f t="shared" si="10"/>
        <v>0</v>
      </c>
      <c r="AV17" s="144">
        <f t="shared" si="11"/>
        <v>0.9</v>
      </c>
      <c r="AW17" s="143" t="b">
        <f t="shared" si="12"/>
        <v>0</v>
      </c>
      <c r="AX17" s="145" t="b">
        <f t="shared" si="13"/>
        <v>0</v>
      </c>
      <c r="AY17" s="143" t="b">
        <f t="shared" si="14"/>
        <v>0</v>
      </c>
      <c r="AZ17" s="145" t="b">
        <f t="shared" si="15"/>
        <v>0</v>
      </c>
      <c r="BA17" s="453" t="b">
        <f t="shared" si="16"/>
        <v>0</v>
      </c>
      <c r="BB17" s="453" t="b">
        <f t="shared" si="17"/>
        <v>0</v>
      </c>
      <c r="BC17" s="143" t="b">
        <f t="shared" si="18"/>
        <v>0</v>
      </c>
      <c r="BD17" s="146" t="b">
        <f t="shared" si="31"/>
        <v>0</v>
      </c>
      <c r="BE17" s="145" t="b">
        <f t="shared" si="19"/>
        <v>0</v>
      </c>
      <c r="BF17" s="147" t="b">
        <f t="shared" si="20"/>
        <v>0</v>
      </c>
      <c r="BG17" s="453" t="b">
        <f t="shared" si="21"/>
        <v>0</v>
      </c>
      <c r="BH17" s="453">
        <f t="shared" si="32"/>
        <v>1</v>
      </c>
      <c r="BI17" s="453">
        <f t="shared" si="22"/>
        <v>2</v>
      </c>
      <c r="BJ17" s="453" t="str">
        <f t="shared" si="23"/>
        <v>2*</v>
      </c>
      <c r="BK17" s="453">
        <f t="shared" si="24"/>
        <v>3</v>
      </c>
      <c r="BL17" s="148">
        <f t="shared" si="33"/>
        <v>1</v>
      </c>
      <c r="BM17" s="453">
        <f t="shared" si="25"/>
        <v>2</v>
      </c>
      <c r="BN17" s="453">
        <f t="shared" si="26"/>
        <v>3</v>
      </c>
      <c r="BO17" s="90"/>
    </row>
    <row r="18" spans="2:73" s="94" customFormat="1" ht="12.95" customHeight="1" x14ac:dyDescent="0.2">
      <c r="B18" s="151">
        <f>IF(ISNA(Z18),"",IF(OR(Z18=1,Z18=2),"    ",MAX($B$8:B17)+1))</f>
        <v>8</v>
      </c>
      <c r="C18" s="904" t="str">
        <f t="shared" si="0"/>
        <v xml:space="preserve">      - Awareness/Adaptation (10.0%)</v>
      </c>
      <c r="D18" s="904"/>
      <c r="E18" s="904"/>
      <c r="F18" s="905"/>
      <c r="G18" s="133">
        <f t="shared" si="1"/>
        <v>1</v>
      </c>
      <c r="H18" s="134" t="str">
        <f t="shared" si="2"/>
        <v>2*</v>
      </c>
      <c r="I18" s="152">
        <f t="shared" si="2"/>
        <v>3</v>
      </c>
      <c r="J18" s="158">
        <v>1</v>
      </c>
      <c r="K18" s="159">
        <v>3</v>
      </c>
      <c r="L18" s="961"/>
      <c r="M18" s="962"/>
      <c r="N18" s="962"/>
      <c r="O18" s="962"/>
      <c r="P18" s="962"/>
      <c r="Q18" s="962"/>
      <c r="R18" s="963"/>
      <c r="T18" s="99">
        <v>11</v>
      </c>
      <c r="U18" s="88" t="s">
        <v>499</v>
      </c>
      <c r="V18" s="453">
        <v>1</v>
      </c>
      <c r="W18" s="453">
        <v>10</v>
      </c>
      <c r="X18" s="453" t="s">
        <v>340</v>
      </c>
      <c r="Y18" s="453" t="s">
        <v>340</v>
      </c>
      <c r="Z18" s="146" t="s">
        <v>340</v>
      </c>
      <c r="AA18" s="146">
        <v>2</v>
      </c>
      <c r="AB18" s="146">
        <v>1</v>
      </c>
      <c r="AC18" s="453">
        <v>3</v>
      </c>
      <c r="AD18" s="453">
        <v>2</v>
      </c>
      <c r="AE18" s="453">
        <v>1</v>
      </c>
      <c r="AF18" s="453" t="b">
        <v>1</v>
      </c>
      <c r="AG18" s="453">
        <f t="shared" si="3"/>
        <v>2</v>
      </c>
      <c r="AH18" s="453">
        <f t="shared" si="4"/>
        <v>1</v>
      </c>
      <c r="AI18" s="138">
        <f>IF(NOT(OR(Z18=1,Z18=2)),IF(AQ18&gt;0,$AR$44*AQ18/SUMIF($AQ$8:$AQ$39,"&gt;0"),IF(AU18&gt;0,$AV$44*AU18/SUMIF($AU$8:$AU$39,"&gt;0"),IF(AS18&gt;0,$AT$44*AS18/SUMIF($AS$8:$AS$39,"&gt;0"),""))),IF(SUMIF(AJ19:$AJ$39,"=" &amp; AJ18,AI19:$AI$39)=0,"",SUMIF(AJ19:$AJ$39,"=" &amp; AJ18,AI19:$AI$39)))</f>
        <v>0.1</v>
      </c>
      <c r="AJ18" s="139">
        <f t="shared" si="34"/>
        <v>2</v>
      </c>
      <c r="AK18" s="453">
        <f t="shared" si="27"/>
        <v>2</v>
      </c>
      <c r="AL18" s="146">
        <f t="shared" si="28"/>
        <v>3</v>
      </c>
      <c r="AM18" s="146">
        <f t="shared" si="35"/>
        <v>1</v>
      </c>
      <c r="AN18" s="146" t="str">
        <f t="shared" si="5"/>
        <v/>
      </c>
      <c r="AO18" s="146" t="str">
        <f t="shared" si="6"/>
        <v/>
      </c>
      <c r="AP18" s="453" t="b">
        <f t="shared" si="7"/>
        <v>0</v>
      </c>
      <c r="AQ18" s="140">
        <f t="shared" si="29"/>
        <v>10</v>
      </c>
      <c r="AR18" s="141">
        <f t="shared" si="8"/>
        <v>0.9</v>
      </c>
      <c r="AS18" s="142">
        <f t="shared" si="30"/>
        <v>0</v>
      </c>
      <c r="AT18" s="141" t="str">
        <f t="shared" si="9"/>
        <v/>
      </c>
      <c r="AU18" s="143">
        <f t="shared" si="10"/>
        <v>0</v>
      </c>
      <c r="AV18" s="144">
        <f t="shared" si="11"/>
        <v>0.9</v>
      </c>
      <c r="AW18" s="143" t="b">
        <f t="shared" si="12"/>
        <v>0</v>
      </c>
      <c r="AX18" s="145" t="b">
        <f t="shared" si="13"/>
        <v>0</v>
      </c>
      <c r="AY18" s="143" t="b">
        <f t="shared" si="14"/>
        <v>0</v>
      </c>
      <c r="AZ18" s="145" t="b">
        <f t="shared" si="15"/>
        <v>0</v>
      </c>
      <c r="BA18" s="453" t="b">
        <f t="shared" si="16"/>
        <v>0</v>
      </c>
      <c r="BB18" s="453" t="b">
        <f t="shared" si="17"/>
        <v>0</v>
      </c>
      <c r="BC18" s="143" t="b">
        <f t="shared" si="18"/>
        <v>0</v>
      </c>
      <c r="BD18" s="146" t="b">
        <f t="shared" si="31"/>
        <v>0</v>
      </c>
      <c r="BE18" s="145" t="b">
        <f t="shared" si="19"/>
        <v>0</v>
      </c>
      <c r="BF18" s="147" t="b">
        <f t="shared" si="20"/>
        <v>0</v>
      </c>
      <c r="BG18" s="453" t="b">
        <f t="shared" si="21"/>
        <v>0</v>
      </c>
      <c r="BH18" s="453">
        <f t="shared" si="32"/>
        <v>1</v>
      </c>
      <c r="BI18" s="453">
        <f t="shared" si="22"/>
        <v>2</v>
      </c>
      <c r="BJ18" s="453" t="str">
        <f t="shared" si="23"/>
        <v>2*</v>
      </c>
      <c r="BK18" s="453">
        <f t="shared" si="24"/>
        <v>3</v>
      </c>
      <c r="BL18" s="148">
        <f t="shared" si="33"/>
        <v>1</v>
      </c>
      <c r="BM18" s="453">
        <f t="shared" si="25"/>
        <v>2</v>
      </c>
      <c r="BN18" s="453">
        <f t="shared" si="26"/>
        <v>3</v>
      </c>
      <c r="BO18" s="300"/>
      <c r="BP18" s="160" t="s">
        <v>355</v>
      </c>
      <c r="BQ18" s="161"/>
      <c r="BR18" s="161"/>
      <c r="BS18" s="161"/>
      <c r="BT18" s="161"/>
      <c r="BU18" s="161"/>
    </row>
    <row r="19" spans="2:73" s="94" customFormat="1" ht="12.95" customHeight="1" x14ac:dyDescent="0.2">
      <c r="B19" s="151">
        <f>IF(ISNA(Z19),"",IF(OR(Z19=1,Z19=2),"    ",MAX($B$8:B18)+1))</f>
        <v>9</v>
      </c>
      <c r="C19" s="904" t="str">
        <f t="shared" si="0"/>
        <v xml:space="preserve">      - Communication (10.0%)</v>
      </c>
      <c r="D19" s="904"/>
      <c r="E19" s="904"/>
      <c r="F19" s="905"/>
      <c r="G19" s="133">
        <f t="shared" si="1"/>
        <v>1</v>
      </c>
      <c r="H19" s="134" t="str">
        <f t="shared" si="2"/>
        <v>2*</v>
      </c>
      <c r="I19" s="152">
        <f t="shared" si="2"/>
        <v>3</v>
      </c>
      <c r="J19" s="158">
        <v>1</v>
      </c>
      <c r="K19" s="159">
        <v>2</v>
      </c>
      <c r="L19" s="961"/>
      <c r="M19" s="962"/>
      <c r="N19" s="962"/>
      <c r="O19" s="962"/>
      <c r="P19" s="962"/>
      <c r="Q19" s="962"/>
      <c r="R19" s="963"/>
      <c r="T19" s="99">
        <v>12</v>
      </c>
      <c r="U19" s="88" t="s">
        <v>500</v>
      </c>
      <c r="V19" s="453">
        <v>1</v>
      </c>
      <c r="W19" s="453">
        <v>10</v>
      </c>
      <c r="X19" s="453" t="s">
        <v>340</v>
      </c>
      <c r="Y19" s="453" t="s">
        <v>340</v>
      </c>
      <c r="Z19" s="146" t="s">
        <v>340</v>
      </c>
      <c r="AA19" s="146">
        <v>2</v>
      </c>
      <c r="AB19" s="146">
        <v>1</v>
      </c>
      <c r="AC19" s="453">
        <v>3</v>
      </c>
      <c r="AD19" s="453">
        <v>2</v>
      </c>
      <c r="AE19" s="453">
        <v>1</v>
      </c>
      <c r="AF19" s="453" t="b">
        <v>1</v>
      </c>
      <c r="AG19" s="453">
        <f t="shared" si="3"/>
        <v>2</v>
      </c>
      <c r="AH19" s="453">
        <f t="shared" si="4"/>
        <v>1</v>
      </c>
      <c r="AI19" s="138">
        <f>IF(NOT(OR(Z19=1,Z19=2)),IF(AQ19&gt;0,$AR$44*AQ19/SUMIF($AQ$8:$AQ$39,"&gt;0"),IF(AU19&gt;0,$AV$44*AU19/SUMIF($AU$8:$AU$39,"&gt;0"),IF(AS19&gt;0,$AT$44*AS19/SUMIF($AS$8:$AS$39,"&gt;0"),""))),IF(SUMIF(AJ20:$AJ$39,"=" &amp; AJ19,AI20:$AI$39)=0,"",SUMIF(AJ20:$AJ$39,"=" &amp; AJ19,AI20:$AI$39)))</f>
        <v>0.1</v>
      </c>
      <c r="AJ19" s="139">
        <f t="shared" si="34"/>
        <v>2</v>
      </c>
      <c r="AK19" s="453">
        <f t="shared" si="27"/>
        <v>2</v>
      </c>
      <c r="AL19" s="146">
        <f t="shared" si="28"/>
        <v>2</v>
      </c>
      <c r="AM19" s="146">
        <f t="shared" si="35"/>
        <v>1</v>
      </c>
      <c r="AN19" s="146" t="str">
        <f t="shared" si="5"/>
        <v/>
      </c>
      <c r="AO19" s="146" t="str">
        <f t="shared" si="6"/>
        <v/>
      </c>
      <c r="AP19" s="453" t="b">
        <f t="shared" si="7"/>
        <v>1</v>
      </c>
      <c r="AQ19" s="140">
        <f t="shared" si="29"/>
        <v>10</v>
      </c>
      <c r="AR19" s="141">
        <f t="shared" si="8"/>
        <v>0.7</v>
      </c>
      <c r="AS19" s="142">
        <f t="shared" si="30"/>
        <v>0</v>
      </c>
      <c r="AT19" s="141" t="str">
        <f t="shared" si="9"/>
        <v/>
      </c>
      <c r="AU19" s="143">
        <f t="shared" si="10"/>
        <v>0</v>
      </c>
      <c r="AV19" s="144">
        <f t="shared" si="11"/>
        <v>0.7</v>
      </c>
      <c r="AW19" s="143" t="b">
        <f t="shared" si="12"/>
        <v>0</v>
      </c>
      <c r="AX19" s="145" t="b">
        <f t="shared" si="13"/>
        <v>0</v>
      </c>
      <c r="AY19" s="143" t="b">
        <f t="shared" si="14"/>
        <v>0</v>
      </c>
      <c r="AZ19" s="145" t="b">
        <f t="shared" si="15"/>
        <v>0</v>
      </c>
      <c r="BA19" s="453" t="b">
        <f t="shared" si="16"/>
        <v>0</v>
      </c>
      <c r="BB19" s="453" t="b">
        <f t="shared" si="17"/>
        <v>0</v>
      </c>
      <c r="BC19" s="143" t="b">
        <f t="shared" si="18"/>
        <v>0</v>
      </c>
      <c r="BD19" s="146" t="b">
        <f t="shared" si="31"/>
        <v>0</v>
      </c>
      <c r="BE19" s="145" t="b">
        <f t="shared" si="19"/>
        <v>0</v>
      </c>
      <c r="BF19" s="147" t="b">
        <f t="shared" si="20"/>
        <v>0</v>
      </c>
      <c r="BG19" s="453" t="b">
        <f t="shared" si="21"/>
        <v>1</v>
      </c>
      <c r="BH19" s="453">
        <f t="shared" si="32"/>
        <v>1</v>
      </c>
      <c r="BI19" s="453">
        <f t="shared" si="22"/>
        <v>2</v>
      </c>
      <c r="BJ19" s="453" t="str">
        <f t="shared" si="23"/>
        <v>2*</v>
      </c>
      <c r="BK19" s="453">
        <f t="shared" si="24"/>
        <v>3</v>
      </c>
      <c r="BL19" s="148">
        <f t="shared" si="33"/>
        <v>1</v>
      </c>
      <c r="BM19" s="453">
        <f t="shared" si="25"/>
        <v>2</v>
      </c>
      <c r="BN19" s="453">
        <f t="shared" si="26"/>
        <v>3</v>
      </c>
      <c r="BO19" s="300"/>
      <c r="BP19" s="150"/>
      <c r="BQ19" s="935" t="s">
        <v>356</v>
      </c>
      <c r="BR19" s="935"/>
      <c r="BS19" s="935"/>
      <c r="BT19" s="935"/>
      <c r="BU19" s="935"/>
    </row>
    <row r="20" spans="2:73" s="94" customFormat="1" ht="12.95" customHeight="1" x14ac:dyDescent="0.2">
      <c r="B20" s="151">
        <f>IF(ISNA(Z20),"",IF(OR(Z20=1,Z20=2),"    ",MAX($B$8:B19)+1))</f>
        <v>10</v>
      </c>
      <c r="C20" s="904" t="str">
        <f t="shared" si="0"/>
        <v xml:space="preserve">      - Teamwork (10.0%)</v>
      </c>
      <c r="D20" s="904"/>
      <c r="E20" s="904"/>
      <c r="F20" s="905"/>
      <c r="G20" s="133">
        <f t="shared" si="1"/>
        <v>1</v>
      </c>
      <c r="H20" s="134" t="str">
        <f t="shared" si="2"/>
        <v>2*</v>
      </c>
      <c r="I20" s="152">
        <f t="shared" si="2"/>
        <v>3</v>
      </c>
      <c r="J20" s="158">
        <v>1</v>
      </c>
      <c r="K20" s="159">
        <v>3</v>
      </c>
      <c r="L20" s="961"/>
      <c r="M20" s="962"/>
      <c r="N20" s="962"/>
      <c r="O20" s="962"/>
      <c r="P20" s="962"/>
      <c r="Q20" s="962"/>
      <c r="R20" s="963"/>
      <c r="T20" s="99">
        <v>13</v>
      </c>
      <c r="U20" s="88" t="s">
        <v>501</v>
      </c>
      <c r="V20" s="453">
        <v>1</v>
      </c>
      <c r="W20" s="453">
        <v>10</v>
      </c>
      <c r="X20" s="453" t="s">
        <v>340</v>
      </c>
      <c r="Y20" s="453" t="s">
        <v>340</v>
      </c>
      <c r="Z20" s="146" t="s">
        <v>340</v>
      </c>
      <c r="AA20" s="146">
        <v>2</v>
      </c>
      <c r="AB20" s="146">
        <v>1</v>
      </c>
      <c r="AC20" s="453">
        <v>3</v>
      </c>
      <c r="AD20" s="453">
        <v>2</v>
      </c>
      <c r="AE20" s="453">
        <v>1</v>
      </c>
      <c r="AF20" s="453" t="b">
        <v>1</v>
      </c>
      <c r="AG20" s="453">
        <f t="shared" si="3"/>
        <v>2</v>
      </c>
      <c r="AH20" s="453">
        <f t="shared" si="4"/>
        <v>1</v>
      </c>
      <c r="AI20" s="138">
        <f>IF(NOT(OR(Z20=1,Z20=2)),IF(AQ20&gt;0,$AR$44*AQ20/SUMIF($AQ$8:$AQ$39,"&gt;0"),IF(AU20&gt;0,$AV$44*AU20/SUMIF($AU$8:$AU$39,"&gt;0"),IF(AS20&gt;0,$AT$44*AS20/SUMIF($AS$8:$AS$39,"&gt;0"),""))),IF(SUMIF(AJ21:$AJ$39,"=" &amp; AJ20,AI21:$AI$39)=0,"",SUMIF(AJ21:$AJ$39,"=" &amp; AJ20,AI21:$AI$39)))</f>
        <v>0.1</v>
      </c>
      <c r="AJ20" s="139">
        <f t="shared" si="34"/>
        <v>2</v>
      </c>
      <c r="AK20" s="453">
        <f t="shared" si="27"/>
        <v>2</v>
      </c>
      <c r="AL20" s="146">
        <f t="shared" si="28"/>
        <v>3</v>
      </c>
      <c r="AM20" s="146">
        <f t="shared" si="35"/>
        <v>1</v>
      </c>
      <c r="AN20" s="146" t="str">
        <f t="shared" si="5"/>
        <v/>
      </c>
      <c r="AO20" s="146" t="str">
        <f t="shared" si="6"/>
        <v/>
      </c>
      <c r="AP20" s="453" t="b">
        <f t="shared" si="7"/>
        <v>0</v>
      </c>
      <c r="AQ20" s="140">
        <f t="shared" si="29"/>
        <v>10</v>
      </c>
      <c r="AR20" s="141">
        <f t="shared" si="8"/>
        <v>0.9</v>
      </c>
      <c r="AS20" s="142">
        <f t="shared" si="30"/>
        <v>0</v>
      </c>
      <c r="AT20" s="141" t="str">
        <f t="shared" si="9"/>
        <v/>
      </c>
      <c r="AU20" s="143">
        <f t="shared" si="10"/>
        <v>0</v>
      </c>
      <c r="AV20" s="144">
        <f t="shared" si="11"/>
        <v>0.9</v>
      </c>
      <c r="AW20" s="143" t="b">
        <f t="shared" si="12"/>
        <v>0</v>
      </c>
      <c r="AX20" s="145" t="b">
        <f t="shared" si="13"/>
        <v>0</v>
      </c>
      <c r="AY20" s="143" t="b">
        <f t="shared" si="14"/>
        <v>0</v>
      </c>
      <c r="AZ20" s="145" t="b">
        <f t="shared" si="15"/>
        <v>0</v>
      </c>
      <c r="BA20" s="453" t="b">
        <f t="shared" si="16"/>
        <v>0</v>
      </c>
      <c r="BB20" s="453" t="b">
        <f t="shared" si="17"/>
        <v>0</v>
      </c>
      <c r="BC20" s="143" t="b">
        <f t="shared" si="18"/>
        <v>0</v>
      </c>
      <c r="BD20" s="146" t="b">
        <f t="shared" si="31"/>
        <v>0</v>
      </c>
      <c r="BE20" s="145" t="b">
        <f t="shared" si="19"/>
        <v>0</v>
      </c>
      <c r="BF20" s="147" t="b">
        <f t="shared" si="20"/>
        <v>0</v>
      </c>
      <c r="BG20" s="453" t="b">
        <f t="shared" si="21"/>
        <v>0</v>
      </c>
      <c r="BH20" s="453">
        <f t="shared" si="32"/>
        <v>1</v>
      </c>
      <c r="BI20" s="453">
        <f t="shared" si="22"/>
        <v>2</v>
      </c>
      <c r="BJ20" s="453" t="str">
        <f t="shared" si="23"/>
        <v>2*</v>
      </c>
      <c r="BK20" s="453">
        <f t="shared" si="24"/>
        <v>3</v>
      </c>
      <c r="BL20" s="148">
        <f t="shared" si="33"/>
        <v>1</v>
      </c>
      <c r="BM20" s="453">
        <f t="shared" si="25"/>
        <v>2</v>
      </c>
      <c r="BN20" s="453">
        <f t="shared" si="26"/>
        <v>3</v>
      </c>
      <c r="BO20" s="300"/>
      <c r="BP20" s="300"/>
      <c r="BQ20" s="300">
        <v>0</v>
      </c>
      <c r="BR20" s="300">
        <v>1</v>
      </c>
      <c r="BS20" s="300">
        <v>2</v>
      </c>
      <c r="BT20" s="300">
        <v>3</v>
      </c>
      <c r="BU20" s="300">
        <v>4</v>
      </c>
    </row>
    <row r="21" spans="2:73" s="94" customFormat="1" ht="12.95" customHeight="1" x14ac:dyDescent="0.2">
      <c r="B21" s="151" t="str">
        <f>IF(ISNA(Z21),"",IF(OR(Z21=1,Z21=2),"    ",MAX($B$8:B20)+1))</f>
        <v xml:space="preserve">    </v>
      </c>
      <c r="C21" s="904" t="str">
        <f t="shared" si="0"/>
        <v>Test Points/Procedures (35.0%)</v>
      </c>
      <c r="D21" s="904"/>
      <c r="E21" s="904"/>
      <c r="F21" s="905"/>
      <c r="G21" s="133" t="str">
        <f t="shared" si="1"/>
        <v/>
      </c>
      <c r="H21" s="134" t="str">
        <f t="shared" si="2"/>
        <v/>
      </c>
      <c r="I21" s="152" t="str">
        <f t="shared" si="2"/>
        <v/>
      </c>
      <c r="J21" s="158" t="s">
        <v>340</v>
      </c>
      <c r="K21" s="159" t="s">
        <v>340</v>
      </c>
      <c r="L21" s="961"/>
      <c r="M21" s="962"/>
      <c r="N21" s="962"/>
      <c r="O21" s="962"/>
      <c r="P21" s="962"/>
      <c r="Q21" s="962"/>
      <c r="R21" s="963"/>
      <c r="T21" s="99">
        <v>14</v>
      </c>
      <c r="U21" s="88" t="s">
        <v>590</v>
      </c>
      <c r="V21" s="453" t="s">
        <v>340</v>
      </c>
      <c r="W21" s="453" t="s">
        <v>340</v>
      </c>
      <c r="X21" s="453" t="s">
        <v>340</v>
      </c>
      <c r="Y21" s="453" t="s">
        <v>340</v>
      </c>
      <c r="Z21" s="146">
        <v>2</v>
      </c>
      <c r="AA21" s="146">
        <v>1</v>
      </c>
      <c r="AB21" s="146">
        <v>1</v>
      </c>
      <c r="AC21" s="453" t="s">
        <v>340</v>
      </c>
      <c r="AD21" s="453" t="s">
        <v>340</v>
      </c>
      <c r="AE21" s="453" t="s">
        <v>340</v>
      </c>
      <c r="AF21" s="453" t="s">
        <v>340</v>
      </c>
      <c r="AG21" s="453" t="str">
        <f t="shared" si="3"/>
        <v/>
      </c>
      <c r="AH21" s="453" t="str">
        <f t="shared" si="4"/>
        <v/>
      </c>
      <c r="AI21" s="138">
        <f>IF(NOT(OR(Z21=1,Z21=2)),IF(AQ21&gt;0,$AR$44*AQ21/SUMIF($AQ$8:$AQ$39,"&gt;0"),IF(AU21&gt;0,$AV$44*AU21/SUMIF($AU$8:$AU$39,"&gt;0"),IF(AS21&gt;0,$AT$44*AS21/SUMIF($AS$8:$AS$39,"&gt;0"),""))),IF(SUMIF(AJ22:$AJ$39,"=" &amp; AJ21,AI22:$AI$39)=0,"",SUMIF(AJ22:$AJ$39,"=" &amp; AJ21,AI22:$AI$39)))</f>
        <v>0.35000000000000009</v>
      </c>
      <c r="AJ21" s="139">
        <f t="shared" si="34"/>
        <v>3</v>
      </c>
      <c r="AK21" s="453" t="str">
        <f t="shared" si="27"/>
        <v/>
      </c>
      <c r="AL21" s="146" t="str">
        <f t="shared" si="28"/>
        <v/>
      </c>
      <c r="AM21" s="146" t="str">
        <f t="shared" si="35"/>
        <v/>
      </c>
      <c r="AN21" s="146" t="str">
        <f t="shared" si="5"/>
        <v/>
      </c>
      <c r="AO21" s="146" t="str">
        <f t="shared" si="6"/>
        <v/>
      </c>
      <c r="AP21" s="453" t="str">
        <f t="shared" si="7"/>
        <v/>
      </c>
      <c r="AQ21" s="140">
        <f t="shared" si="29"/>
        <v>0</v>
      </c>
      <c r="AR21" s="141" t="str">
        <f t="shared" si="8"/>
        <v/>
      </c>
      <c r="AS21" s="142">
        <f t="shared" si="30"/>
        <v>0</v>
      </c>
      <c r="AT21" s="141" t="str">
        <f t="shared" si="9"/>
        <v/>
      </c>
      <c r="AU21" s="143">
        <f t="shared" si="10"/>
        <v>0</v>
      </c>
      <c r="AV21" s="144" t="str">
        <f t="shared" si="11"/>
        <v/>
      </c>
      <c r="AW21" s="143" t="b">
        <f t="shared" si="12"/>
        <v>0</v>
      </c>
      <c r="AX21" s="145" t="b">
        <f t="shared" si="13"/>
        <v>0</v>
      </c>
      <c r="AY21" s="143" t="b">
        <f t="shared" si="14"/>
        <v>0</v>
      </c>
      <c r="AZ21" s="145" t="b">
        <f t="shared" si="15"/>
        <v>0</v>
      </c>
      <c r="BA21" s="453" t="b">
        <f t="shared" si="16"/>
        <v>0</v>
      </c>
      <c r="BB21" s="453" t="b">
        <f t="shared" si="17"/>
        <v>0</v>
      </c>
      <c r="BC21" s="143" t="b">
        <f t="shared" si="18"/>
        <v>0</v>
      </c>
      <c r="BD21" s="146" t="b">
        <f t="shared" si="31"/>
        <v>0</v>
      </c>
      <c r="BE21" s="145" t="b">
        <f t="shared" si="19"/>
        <v>0</v>
      </c>
      <c r="BF21" s="147" t="b">
        <f t="shared" si="20"/>
        <v>0</v>
      </c>
      <c r="BG21" s="453" t="b">
        <f t="shared" si="21"/>
        <v>0</v>
      </c>
      <c r="BH21" s="453" t="str">
        <f t="shared" si="32"/>
        <v/>
      </c>
      <c r="BI21" s="453" t="str">
        <f t="shared" si="22"/>
        <v/>
      </c>
      <c r="BJ21" s="453" t="str">
        <f t="shared" si="23"/>
        <v/>
      </c>
      <c r="BK21" s="453" t="str">
        <f t="shared" si="24"/>
        <v/>
      </c>
      <c r="BL21" s="148" t="str">
        <f t="shared" si="33"/>
        <v/>
      </c>
      <c r="BM21" s="453" t="str">
        <f t="shared" si="25"/>
        <v/>
      </c>
      <c r="BN21" s="453" t="str">
        <f t="shared" si="26"/>
        <v/>
      </c>
      <c r="BO21" s="936" t="s">
        <v>358</v>
      </c>
      <c r="BP21" s="300" t="s">
        <v>359</v>
      </c>
      <c r="BQ21" s="162">
        <f t="shared" ref="BQ21:BU29" si="36">AR50</f>
        <v>0.7</v>
      </c>
      <c r="BR21" s="163">
        <f t="shared" si="36"/>
        <v>0.9</v>
      </c>
      <c r="BS21" s="163">
        <f t="shared" si="36"/>
        <v>0.93330000000000002</v>
      </c>
      <c r="BT21" s="163">
        <f t="shared" si="36"/>
        <v>0.9667</v>
      </c>
      <c r="BU21" s="164">
        <f t="shared" si="36"/>
        <v>1</v>
      </c>
    </row>
    <row r="22" spans="2:73" s="94" customFormat="1" ht="12.95" customHeight="1" x14ac:dyDescent="0.2">
      <c r="B22" s="151">
        <f>IF(ISNA(Z22),"",IF(OR(Z22=1,Z22=2),"    ",MAX($B$8:B21)+1))</f>
        <v>11</v>
      </c>
      <c r="C22" s="904" t="str">
        <f t="shared" si="0"/>
        <v xml:space="preserve">      - Takeoff (3.0%)</v>
      </c>
      <c r="D22" s="904"/>
      <c r="E22" s="904"/>
      <c r="F22" s="905"/>
      <c r="G22" s="133">
        <f t="shared" si="1"/>
        <v>1</v>
      </c>
      <c r="H22" s="134" t="str">
        <f t="shared" si="2"/>
        <v>2</v>
      </c>
      <c r="I22" s="152">
        <f t="shared" si="2"/>
        <v>3</v>
      </c>
      <c r="J22" s="158">
        <v>1</v>
      </c>
      <c r="K22" s="159">
        <v>3</v>
      </c>
      <c r="L22" s="961"/>
      <c r="M22" s="962"/>
      <c r="N22" s="962"/>
      <c r="O22" s="962"/>
      <c r="P22" s="962"/>
      <c r="Q22" s="962"/>
      <c r="R22" s="963"/>
      <c r="T22" s="99">
        <v>15</v>
      </c>
      <c r="U22" s="88" t="s">
        <v>674</v>
      </c>
      <c r="V22" s="453">
        <v>1</v>
      </c>
      <c r="W22" s="453">
        <v>3</v>
      </c>
      <c r="X22" s="453" t="s">
        <v>340</v>
      </c>
      <c r="Y22" s="453" t="s">
        <v>340</v>
      </c>
      <c r="Z22" s="146" t="s">
        <v>340</v>
      </c>
      <c r="AA22" s="146">
        <v>2</v>
      </c>
      <c r="AB22" s="146">
        <v>1</v>
      </c>
      <c r="AC22" s="453">
        <v>3</v>
      </c>
      <c r="AD22" s="453">
        <v>2</v>
      </c>
      <c r="AE22" s="453">
        <v>0</v>
      </c>
      <c r="AF22" s="453" t="b">
        <v>1</v>
      </c>
      <c r="AG22" s="453">
        <f t="shared" si="3"/>
        <v>2</v>
      </c>
      <c r="AH22" s="453">
        <f t="shared" si="4"/>
        <v>1</v>
      </c>
      <c r="AI22" s="138">
        <f>IF(NOT(OR(Z22=1,Z22=2)),IF(AQ22&gt;0,$AR$44*AQ22/SUMIF($AQ$8:$AQ$39,"&gt;0"),IF(AU22&gt;0,$AV$44*AU22/SUMIF($AU$8:$AU$39,"&gt;0"),IF(AS22&gt;0,$AT$44*AS22/SUMIF($AS$8:$AS$39,"&gt;0"),""))),IF(SUMIF(AJ23:$AJ$39,"=" &amp; AJ22,AI23:$AI$39)=0,"",SUMIF(AJ23:$AJ$39,"=" &amp; AJ22,AI23:$AI$39)))</f>
        <v>3.0000000000000002E-2</v>
      </c>
      <c r="AJ22" s="139">
        <f t="shared" si="34"/>
        <v>3</v>
      </c>
      <c r="AK22" s="453">
        <f t="shared" si="27"/>
        <v>2</v>
      </c>
      <c r="AL22" s="146">
        <f t="shared" si="28"/>
        <v>3</v>
      </c>
      <c r="AM22" s="146">
        <f t="shared" si="35"/>
        <v>1</v>
      </c>
      <c r="AN22" s="146" t="str">
        <f t="shared" si="5"/>
        <v/>
      </c>
      <c r="AO22" s="146" t="str">
        <f t="shared" si="6"/>
        <v/>
      </c>
      <c r="AP22" s="453" t="b">
        <f t="shared" si="7"/>
        <v>0</v>
      </c>
      <c r="AQ22" s="140">
        <f t="shared" si="29"/>
        <v>3</v>
      </c>
      <c r="AR22" s="141">
        <f t="shared" si="8"/>
        <v>0.9</v>
      </c>
      <c r="AS22" s="142">
        <f t="shared" si="30"/>
        <v>0</v>
      </c>
      <c r="AT22" s="141" t="str">
        <f t="shared" si="9"/>
        <v/>
      </c>
      <c r="AU22" s="143">
        <f t="shared" si="10"/>
        <v>0</v>
      </c>
      <c r="AV22" s="144">
        <f t="shared" si="11"/>
        <v>0.9</v>
      </c>
      <c r="AW22" s="143" t="b">
        <f t="shared" si="12"/>
        <v>0</v>
      </c>
      <c r="AX22" s="145" t="b">
        <f t="shared" si="13"/>
        <v>0</v>
      </c>
      <c r="AY22" s="143" t="b">
        <f t="shared" si="14"/>
        <v>0</v>
      </c>
      <c r="AZ22" s="145" t="b">
        <f t="shared" si="15"/>
        <v>0</v>
      </c>
      <c r="BA22" s="453" t="b">
        <f t="shared" si="16"/>
        <v>0</v>
      </c>
      <c r="BB22" s="453" t="b">
        <f t="shared" si="17"/>
        <v>0</v>
      </c>
      <c r="BC22" s="143" t="b">
        <f t="shared" si="18"/>
        <v>0</v>
      </c>
      <c r="BD22" s="146" t="b">
        <f t="shared" si="31"/>
        <v>0</v>
      </c>
      <c r="BE22" s="145" t="b">
        <f>IF(OR(ISNA($Z22),K22&lt;&gt;"D"),FALSE,IF(OR(AND(H22="NG",J22=0),AND(H22&lt;&gt;"NG",NOT(OR(J22="NA",J22=0)))),TRUE,FALSE))</f>
        <v>0</v>
      </c>
      <c r="BF22" s="147" t="b">
        <f t="shared" si="20"/>
        <v>0</v>
      </c>
      <c r="BG22" s="453" t="b">
        <f>IF(ISNA($Z22),"NA",IF(OR(AZ22,AY22,AX22,AW22,AP22,BA22,BB22),TRUE,FALSE))</f>
        <v>0</v>
      </c>
      <c r="BH22" s="453">
        <f t="shared" si="32"/>
        <v>1</v>
      </c>
      <c r="BI22" s="453">
        <f t="shared" si="22"/>
        <v>2</v>
      </c>
      <c r="BJ22" s="453" t="str">
        <f t="shared" si="23"/>
        <v>2</v>
      </c>
      <c r="BK22" s="453">
        <f t="shared" si="24"/>
        <v>3</v>
      </c>
      <c r="BL22" s="148">
        <f t="shared" si="33"/>
        <v>1</v>
      </c>
      <c r="BM22" s="453">
        <f t="shared" si="25"/>
        <v>2</v>
      </c>
      <c r="BN22" s="453">
        <f t="shared" si="26"/>
        <v>3</v>
      </c>
      <c r="BO22" s="936"/>
      <c r="BP22" s="300" t="s">
        <v>360</v>
      </c>
      <c r="BQ22" s="165">
        <f t="shared" si="36"/>
        <v>0.7</v>
      </c>
      <c r="BR22" s="166">
        <f t="shared" si="36"/>
        <v>0.8</v>
      </c>
      <c r="BS22" s="166">
        <f t="shared" si="36"/>
        <v>0.9</v>
      </c>
      <c r="BT22" s="166">
        <f t="shared" si="36"/>
        <v>0.95</v>
      </c>
      <c r="BU22" s="167">
        <f t="shared" si="36"/>
        <v>1</v>
      </c>
    </row>
    <row r="23" spans="2:73" s="94" customFormat="1" ht="12.95" customHeight="1" x14ac:dyDescent="0.2">
      <c r="B23" s="151">
        <f>IF(ISNA(Z23),"",IF(OR(Z23=1,Z23=2),"    ",MAX($B$8:B22)+1))</f>
        <v>12</v>
      </c>
      <c r="C23" s="904" t="str">
        <f t="shared" si="0"/>
        <v xml:space="preserve">      - Check Climb (3.0%)</v>
      </c>
      <c r="D23" s="904"/>
      <c r="E23" s="904"/>
      <c r="F23" s="905"/>
      <c r="G23" s="133">
        <f t="shared" si="1"/>
        <v>1</v>
      </c>
      <c r="H23" s="134" t="str">
        <f t="shared" si="2"/>
        <v>2</v>
      </c>
      <c r="I23" s="152">
        <f t="shared" si="2"/>
        <v>3</v>
      </c>
      <c r="J23" s="158">
        <v>1</v>
      </c>
      <c r="K23" s="159">
        <v>3</v>
      </c>
      <c r="L23" s="961"/>
      <c r="M23" s="962"/>
      <c r="N23" s="962"/>
      <c r="O23" s="962"/>
      <c r="P23" s="962"/>
      <c r="Q23" s="962"/>
      <c r="R23" s="963"/>
      <c r="T23" s="99">
        <v>16</v>
      </c>
      <c r="U23" s="88" t="s">
        <v>666</v>
      </c>
      <c r="V23" s="453">
        <v>1</v>
      </c>
      <c r="W23" s="453">
        <v>3</v>
      </c>
      <c r="X23" s="453" t="s">
        <v>340</v>
      </c>
      <c r="Y23" s="453" t="s">
        <v>340</v>
      </c>
      <c r="Z23" s="146" t="s">
        <v>340</v>
      </c>
      <c r="AA23" s="146">
        <v>2</v>
      </c>
      <c r="AB23" s="146">
        <v>1</v>
      </c>
      <c r="AC23" s="453">
        <v>3</v>
      </c>
      <c r="AD23" s="453">
        <v>2</v>
      </c>
      <c r="AE23" s="453">
        <v>0</v>
      </c>
      <c r="AF23" s="453" t="b">
        <v>1</v>
      </c>
      <c r="AG23" s="453">
        <f t="shared" si="3"/>
        <v>2</v>
      </c>
      <c r="AH23" s="453">
        <f t="shared" si="4"/>
        <v>1</v>
      </c>
      <c r="AI23" s="138">
        <f>IF(NOT(OR(Z23=1,Z23=2)),IF(AQ23&gt;0,$AR$44*AQ23/SUMIF($AQ$8:$AQ$39,"&gt;0"),IF(AU23&gt;0,$AV$44*AU23/SUMIF($AU$8:$AU$39,"&gt;0"),IF(AS23&gt;0,$AT$44*AS23/SUMIF($AS$8:$AS$39,"&gt;0"),""))),IF(SUMIF(AJ24:$AJ$39,"=" &amp; AJ23,AI24:$AI$39)=0,"",SUMIF(AJ24:$AJ$39,"=" &amp; AJ23,AI24:$AI$39)))</f>
        <v>3.0000000000000002E-2</v>
      </c>
      <c r="AJ23" s="139">
        <f t="shared" si="34"/>
        <v>3</v>
      </c>
      <c r="AK23" s="453">
        <f t="shared" si="27"/>
        <v>2</v>
      </c>
      <c r="AL23" s="146">
        <f t="shared" si="28"/>
        <v>3</v>
      </c>
      <c r="AM23" s="146">
        <f t="shared" si="35"/>
        <v>1</v>
      </c>
      <c r="AN23" s="146" t="str">
        <f t="shared" si="5"/>
        <v/>
      </c>
      <c r="AO23" s="146" t="str">
        <f t="shared" si="6"/>
        <v/>
      </c>
      <c r="AP23" s="453" t="b">
        <f t="shared" si="7"/>
        <v>0</v>
      </c>
      <c r="AQ23" s="140">
        <f t="shared" si="29"/>
        <v>3</v>
      </c>
      <c r="AR23" s="141">
        <f t="shared" si="8"/>
        <v>0.9</v>
      </c>
      <c r="AS23" s="142">
        <f t="shared" si="30"/>
        <v>0</v>
      </c>
      <c r="AT23" s="141" t="str">
        <f t="shared" si="9"/>
        <v/>
      </c>
      <c r="AU23" s="143">
        <f t="shared" si="10"/>
        <v>0</v>
      </c>
      <c r="AV23" s="144">
        <f t="shared" si="11"/>
        <v>0.9</v>
      </c>
      <c r="AW23" s="143" t="b">
        <f t="shared" si="12"/>
        <v>0</v>
      </c>
      <c r="AX23" s="145" t="b">
        <f t="shared" si="13"/>
        <v>0</v>
      </c>
      <c r="AY23" s="143" t="b">
        <f t="shared" si="14"/>
        <v>0</v>
      </c>
      <c r="AZ23" s="145" t="b">
        <f t="shared" si="15"/>
        <v>0</v>
      </c>
      <c r="BA23" s="453" t="b">
        <f t="shared" si="16"/>
        <v>0</v>
      </c>
      <c r="BB23" s="453" t="b">
        <f t="shared" si="17"/>
        <v>0</v>
      </c>
      <c r="BC23" s="143" t="b">
        <f t="shared" si="18"/>
        <v>0</v>
      </c>
      <c r="BD23" s="146" t="b">
        <f t="shared" si="31"/>
        <v>0</v>
      </c>
      <c r="BE23" s="145" t="b">
        <f t="shared" ref="BE23:BE39" si="37">IF(OR(ISNA($Z23),K23&lt;&gt;"D"),FALSE,IF(OR(AND(H23="NG",J23=0),AND(H23&lt;&gt;"NG",NOT(OR(J23="NA",J23=0)))),TRUE,FALSE))</f>
        <v>0</v>
      </c>
      <c r="BF23" s="147" t="b">
        <f t="shared" si="20"/>
        <v>0</v>
      </c>
      <c r="BG23" s="453" t="b">
        <f t="shared" ref="BG23:BG39" si="38">IF(ISNA($Z23),"NA",IF(OR(AZ23,AY23,AX23,AW23,AP23,BA23,BB23),TRUE,FALSE))</f>
        <v>0</v>
      </c>
      <c r="BH23" s="453">
        <f t="shared" si="32"/>
        <v>1</v>
      </c>
      <c r="BI23" s="453">
        <f t="shared" si="22"/>
        <v>2</v>
      </c>
      <c r="BJ23" s="453" t="str">
        <f t="shared" si="23"/>
        <v>2</v>
      </c>
      <c r="BK23" s="453">
        <f t="shared" si="24"/>
        <v>3</v>
      </c>
      <c r="BL23" s="148">
        <f t="shared" si="33"/>
        <v>1</v>
      </c>
      <c r="BM23" s="453">
        <f t="shared" si="25"/>
        <v>2</v>
      </c>
      <c r="BN23" s="453">
        <f t="shared" si="26"/>
        <v>3</v>
      </c>
      <c r="BO23" s="936"/>
      <c r="BP23" s="300" t="s">
        <v>361</v>
      </c>
      <c r="BQ23" s="165">
        <f t="shared" si="36"/>
        <v>0.7</v>
      </c>
      <c r="BR23" s="166">
        <f t="shared" si="36"/>
        <v>0.76670000000000005</v>
      </c>
      <c r="BS23" s="166">
        <f t="shared" si="36"/>
        <v>0.83330000000000004</v>
      </c>
      <c r="BT23" s="166">
        <f t="shared" si="36"/>
        <v>0.9</v>
      </c>
      <c r="BU23" s="167">
        <f t="shared" si="36"/>
        <v>1</v>
      </c>
    </row>
    <row r="24" spans="2:73" s="94" customFormat="1" ht="12.95" customHeight="1" x14ac:dyDescent="0.2">
      <c r="B24" s="151">
        <f>IF(ISNA(Z24),"",IF(OR(Z24=1,Z24=2),"    ",MAX($B$8:B23)+1))</f>
        <v>13</v>
      </c>
      <c r="C24" s="904" t="str">
        <f t="shared" si="0"/>
        <v xml:space="preserve">      - Turn Performance (5.0%)</v>
      </c>
      <c r="D24" s="904"/>
      <c r="E24" s="904"/>
      <c r="F24" s="905"/>
      <c r="G24" s="133">
        <f t="shared" si="1"/>
        <v>1</v>
      </c>
      <c r="H24" s="134" t="str">
        <f t="shared" si="2"/>
        <v>2</v>
      </c>
      <c r="I24" s="152">
        <f t="shared" si="2"/>
        <v>3</v>
      </c>
      <c r="J24" s="158">
        <v>1</v>
      </c>
      <c r="K24" s="159">
        <v>3</v>
      </c>
      <c r="L24" s="961"/>
      <c r="M24" s="962"/>
      <c r="N24" s="962"/>
      <c r="O24" s="962"/>
      <c r="P24" s="962"/>
      <c r="Q24" s="962"/>
      <c r="R24" s="963"/>
      <c r="T24" s="99">
        <v>17</v>
      </c>
      <c r="U24" s="88" t="s">
        <v>461</v>
      </c>
      <c r="V24" s="453">
        <v>1</v>
      </c>
      <c r="W24" s="453">
        <v>5</v>
      </c>
      <c r="X24" s="453" t="s">
        <v>340</v>
      </c>
      <c r="Y24" s="453" t="s">
        <v>340</v>
      </c>
      <c r="Z24" s="146" t="s">
        <v>340</v>
      </c>
      <c r="AA24" s="146">
        <v>2</v>
      </c>
      <c r="AB24" s="146">
        <v>1</v>
      </c>
      <c r="AC24" s="453">
        <v>3</v>
      </c>
      <c r="AD24" s="453">
        <v>2</v>
      </c>
      <c r="AE24" s="453">
        <v>0</v>
      </c>
      <c r="AF24" s="453" t="b">
        <v>1</v>
      </c>
      <c r="AG24" s="453">
        <f t="shared" si="3"/>
        <v>2</v>
      </c>
      <c r="AH24" s="453">
        <f t="shared" si="4"/>
        <v>1</v>
      </c>
      <c r="AI24" s="138">
        <f>IF(NOT(OR(Z24=1,Z24=2)),IF(AQ24&gt;0,$AR$44*AQ24/SUMIF($AQ$8:$AQ$39,"&gt;0"),IF(AU24&gt;0,$AV$44*AU24/SUMIF($AU$8:$AU$39,"&gt;0"),IF(AS24&gt;0,$AT$44*AS24/SUMIF($AS$8:$AS$39,"&gt;0"),""))),IF(SUMIF(AJ25:$AJ$39,"=" &amp; AJ24,AI25:$AI$39)=0,"",SUMIF(AJ25:$AJ$39,"=" &amp; AJ24,AI25:$AI$39)))</f>
        <v>0.05</v>
      </c>
      <c r="AJ24" s="139">
        <f t="shared" si="34"/>
        <v>3</v>
      </c>
      <c r="AK24" s="453">
        <f t="shared" si="27"/>
        <v>2</v>
      </c>
      <c r="AL24" s="146">
        <f t="shared" si="28"/>
        <v>3</v>
      </c>
      <c r="AM24" s="146">
        <f t="shared" si="35"/>
        <v>1</v>
      </c>
      <c r="AN24" s="146" t="str">
        <f t="shared" si="5"/>
        <v/>
      </c>
      <c r="AO24" s="146" t="str">
        <f t="shared" si="6"/>
        <v/>
      </c>
      <c r="AP24" s="453" t="b">
        <f t="shared" si="7"/>
        <v>0</v>
      </c>
      <c r="AQ24" s="140">
        <f t="shared" si="29"/>
        <v>5</v>
      </c>
      <c r="AR24" s="141">
        <f t="shared" si="8"/>
        <v>0.9</v>
      </c>
      <c r="AS24" s="142">
        <f t="shared" si="30"/>
        <v>0</v>
      </c>
      <c r="AT24" s="141" t="str">
        <f t="shared" si="9"/>
        <v/>
      </c>
      <c r="AU24" s="143">
        <f t="shared" si="10"/>
        <v>0</v>
      </c>
      <c r="AV24" s="144">
        <f t="shared" si="11"/>
        <v>0.9</v>
      </c>
      <c r="AW24" s="143" t="b">
        <f t="shared" si="12"/>
        <v>0</v>
      </c>
      <c r="AX24" s="145" t="b">
        <f t="shared" si="13"/>
        <v>0</v>
      </c>
      <c r="AY24" s="143" t="b">
        <f t="shared" si="14"/>
        <v>0</v>
      </c>
      <c r="AZ24" s="145" t="b">
        <f t="shared" si="15"/>
        <v>0</v>
      </c>
      <c r="BA24" s="453" t="b">
        <f t="shared" si="16"/>
        <v>0</v>
      </c>
      <c r="BB24" s="453" t="b">
        <f t="shared" si="17"/>
        <v>0</v>
      </c>
      <c r="BC24" s="143" t="b">
        <f t="shared" si="18"/>
        <v>0</v>
      </c>
      <c r="BD24" s="146" t="b">
        <f t="shared" si="31"/>
        <v>0</v>
      </c>
      <c r="BE24" s="145" t="b">
        <f t="shared" si="37"/>
        <v>0</v>
      </c>
      <c r="BF24" s="147" t="b">
        <f t="shared" si="20"/>
        <v>0</v>
      </c>
      <c r="BG24" s="453" t="b">
        <f t="shared" si="38"/>
        <v>0</v>
      </c>
      <c r="BH24" s="453">
        <f t="shared" si="32"/>
        <v>1</v>
      </c>
      <c r="BI24" s="453">
        <f t="shared" si="22"/>
        <v>2</v>
      </c>
      <c r="BJ24" s="453" t="str">
        <f t="shared" si="23"/>
        <v>2</v>
      </c>
      <c r="BK24" s="453">
        <f t="shared" si="24"/>
        <v>3</v>
      </c>
      <c r="BL24" s="148">
        <f t="shared" si="33"/>
        <v>1</v>
      </c>
      <c r="BM24" s="453">
        <f t="shared" si="25"/>
        <v>2</v>
      </c>
      <c r="BN24" s="453">
        <f t="shared" si="26"/>
        <v>3</v>
      </c>
      <c r="BO24" s="936"/>
      <c r="BP24" s="300" t="s">
        <v>362</v>
      </c>
      <c r="BQ24" s="165">
        <f t="shared" si="36"/>
        <v>0.6</v>
      </c>
      <c r="BR24" s="166">
        <f t="shared" si="36"/>
        <v>0.9</v>
      </c>
      <c r="BS24" s="166">
        <f t="shared" si="36"/>
        <v>0.93330000000000002</v>
      </c>
      <c r="BT24" s="166">
        <f t="shared" si="36"/>
        <v>0.9667</v>
      </c>
      <c r="BU24" s="167">
        <f t="shared" si="36"/>
        <v>1</v>
      </c>
    </row>
    <row r="25" spans="2:73" s="94" customFormat="1" ht="12.95" customHeight="1" x14ac:dyDescent="0.2">
      <c r="B25" s="151">
        <f>IF(ISNA(Z25),"",IF(OR(Z25=1,Z25=2),"    ",MAX($B$8:B24)+1))</f>
        <v>14</v>
      </c>
      <c r="C25" s="904" t="str">
        <f t="shared" si="0"/>
        <v xml:space="preserve">      - 1.2 Vs Cruise (5.0%)</v>
      </c>
      <c r="D25" s="904"/>
      <c r="E25" s="904"/>
      <c r="F25" s="905"/>
      <c r="G25" s="133">
        <f t="shared" si="1"/>
        <v>1</v>
      </c>
      <c r="H25" s="134" t="str">
        <f t="shared" si="2"/>
        <v>2</v>
      </c>
      <c r="I25" s="152">
        <f t="shared" si="2"/>
        <v>3</v>
      </c>
      <c r="J25" s="158">
        <v>1</v>
      </c>
      <c r="K25" s="159">
        <v>3</v>
      </c>
      <c r="L25" s="961"/>
      <c r="M25" s="962"/>
      <c r="N25" s="962"/>
      <c r="O25" s="962"/>
      <c r="P25" s="962"/>
      <c r="Q25" s="962"/>
      <c r="R25" s="963"/>
      <c r="T25" s="99">
        <v>18</v>
      </c>
      <c r="U25" s="88" t="s">
        <v>839</v>
      </c>
      <c r="V25" s="453">
        <v>1</v>
      </c>
      <c r="W25" s="453">
        <v>5</v>
      </c>
      <c r="X25" s="453" t="s">
        <v>340</v>
      </c>
      <c r="Y25" s="453" t="s">
        <v>340</v>
      </c>
      <c r="Z25" s="146" t="s">
        <v>340</v>
      </c>
      <c r="AA25" s="146">
        <v>2</v>
      </c>
      <c r="AB25" s="146">
        <v>1</v>
      </c>
      <c r="AC25" s="453">
        <v>3</v>
      </c>
      <c r="AD25" s="453">
        <v>2</v>
      </c>
      <c r="AE25" s="453">
        <v>0</v>
      </c>
      <c r="AF25" s="453" t="b">
        <v>1</v>
      </c>
      <c r="AG25" s="453">
        <f t="shared" si="3"/>
        <v>2</v>
      </c>
      <c r="AH25" s="453">
        <f t="shared" si="4"/>
        <v>1</v>
      </c>
      <c r="AI25" s="138">
        <f>IF(NOT(OR(Z25=1,Z25=2)),IF(AQ25&gt;0,$AR$44*AQ25/SUMIF($AQ$8:$AQ$39,"&gt;0"),IF(AU25&gt;0,$AV$44*AU25/SUMIF($AU$8:$AU$39,"&gt;0"),IF(AS25&gt;0,$AT$44*AS25/SUMIF($AS$8:$AS$39,"&gt;0"),""))),IF(SUMIF(AJ26:$AJ$39,"=" &amp; AJ25,AI26:$AI$39)=0,"",SUMIF(AJ26:$AJ$39,"=" &amp; AJ25,AI26:$AI$39)))</f>
        <v>0.05</v>
      </c>
      <c r="AJ25" s="139">
        <f t="shared" si="34"/>
        <v>3</v>
      </c>
      <c r="AK25" s="453">
        <f t="shared" si="27"/>
        <v>2</v>
      </c>
      <c r="AL25" s="146">
        <f t="shared" si="28"/>
        <v>3</v>
      </c>
      <c r="AM25" s="146">
        <f t="shared" si="35"/>
        <v>1</v>
      </c>
      <c r="AN25" s="146" t="str">
        <f t="shared" si="5"/>
        <v/>
      </c>
      <c r="AO25" s="146" t="str">
        <f t="shared" si="6"/>
        <v/>
      </c>
      <c r="AP25" s="453" t="b">
        <f t="shared" si="7"/>
        <v>0</v>
      </c>
      <c r="AQ25" s="140">
        <f t="shared" si="29"/>
        <v>5</v>
      </c>
      <c r="AR25" s="141">
        <f t="shared" si="8"/>
        <v>0.9</v>
      </c>
      <c r="AS25" s="142">
        <f t="shared" si="30"/>
        <v>0</v>
      </c>
      <c r="AT25" s="141" t="str">
        <f t="shared" si="9"/>
        <v/>
      </c>
      <c r="AU25" s="143">
        <f t="shared" si="10"/>
        <v>0</v>
      </c>
      <c r="AV25" s="144">
        <f t="shared" si="11"/>
        <v>0.9</v>
      </c>
      <c r="AW25" s="143" t="b">
        <f t="shared" si="12"/>
        <v>0</v>
      </c>
      <c r="AX25" s="145" t="b">
        <f t="shared" si="13"/>
        <v>0</v>
      </c>
      <c r="AY25" s="143" t="b">
        <f t="shared" si="14"/>
        <v>0</v>
      </c>
      <c r="AZ25" s="145" t="b">
        <f t="shared" si="15"/>
        <v>0</v>
      </c>
      <c r="BA25" s="453" t="b">
        <f t="shared" si="16"/>
        <v>0</v>
      </c>
      <c r="BB25" s="453" t="b">
        <f t="shared" si="17"/>
        <v>0</v>
      </c>
      <c r="BC25" s="143" t="b">
        <f t="shared" si="18"/>
        <v>0</v>
      </c>
      <c r="BD25" s="146" t="b">
        <f t="shared" si="31"/>
        <v>0</v>
      </c>
      <c r="BE25" s="145" t="b">
        <f t="shared" si="37"/>
        <v>0</v>
      </c>
      <c r="BF25" s="147" t="b">
        <f t="shared" si="20"/>
        <v>0</v>
      </c>
      <c r="BG25" s="453" t="b">
        <f t="shared" si="38"/>
        <v>0</v>
      </c>
      <c r="BH25" s="453">
        <f t="shared" si="32"/>
        <v>1</v>
      </c>
      <c r="BI25" s="453">
        <f t="shared" si="22"/>
        <v>2</v>
      </c>
      <c r="BJ25" s="453" t="str">
        <f t="shared" si="23"/>
        <v>2</v>
      </c>
      <c r="BK25" s="453">
        <f t="shared" si="24"/>
        <v>3</v>
      </c>
      <c r="BL25" s="148">
        <f t="shared" si="33"/>
        <v>1</v>
      </c>
      <c r="BM25" s="453">
        <f t="shared" si="25"/>
        <v>2</v>
      </c>
      <c r="BN25" s="453">
        <f t="shared" si="26"/>
        <v>3</v>
      </c>
      <c r="BO25" s="936"/>
      <c r="BP25" s="300" t="s">
        <v>363</v>
      </c>
      <c r="BQ25" s="165">
        <f t="shared" si="36"/>
        <v>0.6</v>
      </c>
      <c r="BR25" s="166">
        <f t="shared" si="36"/>
        <v>0.7</v>
      </c>
      <c r="BS25" s="166">
        <f t="shared" si="36"/>
        <v>0.9</v>
      </c>
      <c r="BT25" s="166">
        <f t="shared" si="36"/>
        <v>0.95</v>
      </c>
      <c r="BU25" s="167">
        <f t="shared" si="36"/>
        <v>1</v>
      </c>
    </row>
    <row r="26" spans="2:73" s="94" customFormat="1" ht="12.95" customHeight="1" x14ac:dyDescent="0.2">
      <c r="B26" s="151">
        <f>IF(ISNA(Z26),"",IF(OR(Z26=1,Z26=2),"    ",MAX($B$8:B25)+1))</f>
        <v>15</v>
      </c>
      <c r="C26" s="904" t="str">
        <f t="shared" si="0"/>
        <v xml:space="preserve">      - Max Range Cruise (3.0%)</v>
      </c>
      <c r="D26" s="904"/>
      <c r="E26" s="904"/>
      <c r="F26" s="905"/>
      <c r="G26" s="133">
        <f t="shared" si="1"/>
        <v>1</v>
      </c>
      <c r="H26" s="134" t="str">
        <f t="shared" si="2"/>
        <v>2</v>
      </c>
      <c r="I26" s="152">
        <f t="shared" si="2"/>
        <v>3</v>
      </c>
      <c r="J26" s="158">
        <v>1</v>
      </c>
      <c r="K26" s="159">
        <v>3</v>
      </c>
      <c r="L26" s="961"/>
      <c r="M26" s="962"/>
      <c r="N26" s="962"/>
      <c r="O26" s="962"/>
      <c r="P26" s="962"/>
      <c r="Q26" s="962"/>
      <c r="R26" s="963"/>
      <c r="T26" s="99">
        <v>19</v>
      </c>
      <c r="U26" s="88" t="s">
        <v>673</v>
      </c>
      <c r="V26" s="453">
        <v>1</v>
      </c>
      <c r="W26" s="453">
        <v>3</v>
      </c>
      <c r="X26" s="453" t="s">
        <v>340</v>
      </c>
      <c r="Y26" s="453" t="s">
        <v>340</v>
      </c>
      <c r="Z26" s="146" t="s">
        <v>340</v>
      </c>
      <c r="AA26" s="146">
        <v>2</v>
      </c>
      <c r="AB26" s="146">
        <v>1</v>
      </c>
      <c r="AC26" s="453">
        <v>3</v>
      </c>
      <c r="AD26" s="453">
        <v>2</v>
      </c>
      <c r="AE26" s="453">
        <v>0</v>
      </c>
      <c r="AF26" s="453" t="b">
        <v>1</v>
      </c>
      <c r="AG26" s="453">
        <f t="shared" si="3"/>
        <v>2</v>
      </c>
      <c r="AH26" s="453">
        <f t="shared" si="4"/>
        <v>1</v>
      </c>
      <c r="AI26" s="138">
        <f>IF(NOT(OR(Z26=1,Z26=2)),IF(AQ26&gt;0,$AR$44*AQ26/SUMIF($AQ$8:$AQ$39,"&gt;0"),IF(AU26&gt;0,$AV$44*AU26/SUMIF($AU$8:$AU$39,"&gt;0"),IF(AS26&gt;0,$AT$44*AS26/SUMIF($AS$8:$AS$39,"&gt;0"),""))),IF(SUMIF(AJ27:$AJ$39,"=" &amp; AJ26,AI27:$AI$39)=0,"",SUMIF(AJ27:$AJ$39,"=" &amp; AJ26,AI27:$AI$39)))</f>
        <v>3.0000000000000002E-2</v>
      </c>
      <c r="AJ26" s="139">
        <f t="shared" si="34"/>
        <v>3</v>
      </c>
      <c r="AK26" s="453">
        <f t="shared" si="27"/>
        <v>2</v>
      </c>
      <c r="AL26" s="146">
        <f t="shared" si="28"/>
        <v>3</v>
      </c>
      <c r="AM26" s="146">
        <f t="shared" si="35"/>
        <v>1</v>
      </c>
      <c r="AN26" s="146" t="str">
        <f t="shared" si="5"/>
        <v/>
      </c>
      <c r="AO26" s="146" t="str">
        <f t="shared" si="6"/>
        <v/>
      </c>
      <c r="AP26" s="453" t="b">
        <f t="shared" si="7"/>
        <v>0</v>
      </c>
      <c r="AQ26" s="140">
        <f t="shared" si="29"/>
        <v>3</v>
      </c>
      <c r="AR26" s="141">
        <f t="shared" si="8"/>
        <v>0.9</v>
      </c>
      <c r="AS26" s="142">
        <f t="shared" si="30"/>
        <v>0</v>
      </c>
      <c r="AT26" s="141" t="str">
        <f t="shared" si="9"/>
        <v/>
      </c>
      <c r="AU26" s="143">
        <f t="shared" si="10"/>
        <v>0</v>
      </c>
      <c r="AV26" s="144">
        <f t="shared" si="11"/>
        <v>0.9</v>
      </c>
      <c r="AW26" s="143" t="b">
        <f t="shared" si="12"/>
        <v>0</v>
      </c>
      <c r="AX26" s="145" t="b">
        <f t="shared" si="13"/>
        <v>0</v>
      </c>
      <c r="AY26" s="143" t="b">
        <f t="shared" si="14"/>
        <v>0</v>
      </c>
      <c r="AZ26" s="145" t="b">
        <f t="shared" si="15"/>
        <v>0</v>
      </c>
      <c r="BA26" s="453" t="b">
        <f t="shared" si="16"/>
        <v>0</v>
      </c>
      <c r="BB26" s="453" t="b">
        <f t="shared" si="17"/>
        <v>0</v>
      </c>
      <c r="BC26" s="143" t="b">
        <f t="shared" si="18"/>
        <v>0</v>
      </c>
      <c r="BD26" s="146" t="b">
        <f t="shared" si="31"/>
        <v>0</v>
      </c>
      <c r="BE26" s="145" t="b">
        <f t="shared" si="37"/>
        <v>0</v>
      </c>
      <c r="BF26" s="147" t="b">
        <f t="shared" si="20"/>
        <v>0</v>
      </c>
      <c r="BG26" s="453" t="b">
        <f t="shared" si="38"/>
        <v>0</v>
      </c>
      <c r="BH26" s="453">
        <f t="shared" si="32"/>
        <v>1</v>
      </c>
      <c r="BI26" s="453">
        <f t="shared" si="22"/>
        <v>2</v>
      </c>
      <c r="BJ26" s="453" t="str">
        <f t="shared" si="23"/>
        <v>2</v>
      </c>
      <c r="BK26" s="453">
        <f t="shared" si="24"/>
        <v>3</v>
      </c>
      <c r="BL26" s="148">
        <f t="shared" si="33"/>
        <v>1</v>
      </c>
      <c r="BM26" s="453">
        <f t="shared" si="25"/>
        <v>2</v>
      </c>
      <c r="BN26" s="453">
        <f t="shared" si="26"/>
        <v>3</v>
      </c>
      <c r="BO26" s="936"/>
      <c r="BP26" s="300" t="s">
        <v>364</v>
      </c>
      <c r="BQ26" s="165">
        <f t="shared" si="36"/>
        <v>0.6</v>
      </c>
      <c r="BR26" s="166">
        <f t="shared" si="36"/>
        <v>0.7</v>
      </c>
      <c r="BS26" s="166">
        <f t="shared" si="36"/>
        <v>0.8</v>
      </c>
      <c r="BT26" s="166">
        <f t="shared" si="36"/>
        <v>0.9</v>
      </c>
      <c r="BU26" s="167">
        <f t="shared" si="36"/>
        <v>1</v>
      </c>
    </row>
    <row r="27" spans="2:73" s="94" customFormat="1" ht="12.95" customHeight="1" x14ac:dyDescent="0.2">
      <c r="B27" s="151">
        <f>IF(ISNA(Z27),"",IF(OR(Z27=1,Z27=2),"    ",MAX($B$8:B26)+1))</f>
        <v>16</v>
      </c>
      <c r="C27" s="904" t="str">
        <f t="shared" si="0"/>
        <v xml:space="preserve">      - SSE Level Accel (4.0%)</v>
      </c>
      <c r="D27" s="904"/>
      <c r="E27" s="904"/>
      <c r="F27" s="905"/>
      <c r="G27" s="133">
        <f t="shared" si="1"/>
        <v>1</v>
      </c>
      <c r="H27" s="134" t="str">
        <f t="shared" si="2"/>
        <v>2</v>
      </c>
      <c r="I27" s="152">
        <f t="shared" si="2"/>
        <v>3</v>
      </c>
      <c r="J27" s="158">
        <v>1</v>
      </c>
      <c r="K27" s="159">
        <v>2</v>
      </c>
      <c r="L27" s="961"/>
      <c r="M27" s="962"/>
      <c r="N27" s="962"/>
      <c r="O27" s="962"/>
      <c r="P27" s="962"/>
      <c r="Q27" s="962"/>
      <c r="R27" s="963"/>
      <c r="T27" s="99">
        <v>20</v>
      </c>
      <c r="U27" s="88" t="s">
        <v>840</v>
      </c>
      <c r="V27" s="453">
        <v>1</v>
      </c>
      <c r="W27" s="453">
        <v>4</v>
      </c>
      <c r="X27" s="453" t="s">
        <v>340</v>
      </c>
      <c r="Y27" s="453" t="s">
        <v>340</v>
      </c>
      <c r="Z27" s="146" t="s">
        <v>340</v>
      </c>
      <c r="AA27" s="146">
        <v>2</v>
      </c>
      <c r="AB27" s="146">
        <v>1</v>
      </c>
      <c r="AC27" s="453">
        <v>3</v>
      </c>
      <c r="AD27" s="453">
        <v>2</v>
      </c>
      <c r="AE27" s="453">
        <v>0</v>
      </c>
      <c r="AF27" s="453" t="b">
        <v>1</v>
      </c>
      <c r="AG27" s="453">
        <f t="shared" si="3"/>
        <v>2</v>
      </c>
      <c r="AH27" s="453">
        <f t="shared" si="4"/>
        <v>1</v>
      </c>
      <c r="AI27" s="138">
        <f>IF(NOT(OR(Z27=1,Z27=2)),IF(AQ27&gt;0,$AR$44*AQ27/SUMIF($AQ$8:$AQ$39,"&gt;0"),IF(AU27&gt;0,$AV$44*AU27/SUMIF($AU$8:$AU$39,"&gt;0"),IF(AS27&gt;0,$AT$44*AS27/SUMIF($AS$8:$AS$39,"&gt;0"),""))),IF(SUMIF(AJ28:$AJ$39,"=" &amp; AJ27,AI28:$AI$39)=0,"",SUMIF(AJ28:$AJ$39,"=" &amp; AJ27,AI28:$AI$39)))</f>
        <v>0.04</v>
      </c>
      <c r="AJ27" s="139">
        <f t="shared" si="34"/>
        <v>3</v>
      </c>
      <c r="AK27" s="453">
        <f t="shared" si="27"/>
        <v>2</v>
      </c>
      <c r="AL27" s="146">
        <f t="shared" si="28"/>
        <v>2</v>
      </c>
      <c r="AM27" s="146">
        <f t="shared" si="35"/>
        <v>1</v>
      </c>
      <c r="AN27" s="146" t="str">
        <f t="shared" si="5"/>
        <v/>
      </c>
      <c r="AO27" s="146" t="str">
        <f t="shared" si="6"/>
        <v/>
      </c>
      <c r="AP27" s="453" t="b">
        <f t="shared" si="7"/>
        <v>1</v>
      </c>
      <c r="AQ27" s="140">
        <f t="shared" si="29"/>
        <v>4</v>
      </c>
      <c r="AR27" s="141">
        <f t="shared" si="8"/>
        <v>0.7</v>
      </c>
      <c r="AS27" s="142">
        <f t="shared" si="30"/>
        <v>0</v>
      </c>
      <c r="AT27" s="141" t="str">
        <f t="shared" si="9"/>
        <v/>
      </c>
      <c r="AU27" s="143">
        <f t="shared" si="10"/>
        <v>0</v>
      </c>
      <c r="AV27" s="144">
        <f t="shared" si="11"/>
        <v>0.7</v>
      </c>
      <c r="AW27" s="143" t="b">
        <f t="shared" si="12"/>
        <v>0</v>
      </c>
      <c r="AX27" s="145" t="b">
        <f t="shared" si="13"/>
        <v>0</v>
      </c>
      <c r="AY27" s="143" t="b">
        <f t="shared" si="14"/>
        <v>0</v>
      </c>
      <c r="AZ27" s="145" t="b">
        <f t="shared" si="15"/>
        <v>0</v>
      </c>
      <c r="BA27" s="453" t="b">
        <f t="shared" si="16"/>
        <v>0</v>
      </c>
      <c r="BB27" s="453" t="b">
        <f t="shared" si="17"/>
        <v>0</v>
      </c>
      <c r="BC27" s="143" t="b">
        <f t="shared" si="18"/>
        <v>0</v>
      </c>
      <c r="BD27" s="146" t="b">
        <f t="shared" si="31"/>
        <v>0</v>
      </c>
      <c r="BE27" s="145" t="b">
        <f t="shared" si="37"/>
        <v>0</v>
      </c>
      <c r="BF27" s="147" t="b">
        <f t="shared" si="20"/>
        <v>0</v>
      </c>
      <c r="BG27" s="453" t="b">
        <f t="shared" si="38"/>
        <v>1</v>
      </c>
      <c r="BH27" s="453">
        <f t="shared" si="32"/>
        <v>1</v>
      </c>
      <c r="BI27" s="453">
        <f t="shared" si="22"/>
        <v>2</v>
      </c>
      <c r="BJ27" s="453" t="str">
        <f t="shared" si="23"/>
        <v>2</v>
      </c>
      <c r="BK27" s="453">
        <f t="shared" si="24"/>
        <v>3</v>
      </c>
      <c r="BL27" s="148">
        <f t="shared" si="33"/>
        <v>1</v>
      </c>
      <c r="BM27" s="453">
        <f t="shared" si="25"/>
        <v>2</v>
      </c>
      <c r="BN27" s="453">
        <f t="shared" si="26"/>
        <v>3</v>
      </c>
      <c r="BO27" s="936"/>
      <c r="BP27" s="300" t="s">
        <v>365</v>
      </c>
      <c r="BQ27" s="165">
        <f t="shared" si="36"/>
        <v>0.3</v>
      </c>
      <c r="BR27" s="166">
        <f t="shared" si="36"/>
        <v>0.6</v>
      </c>
      <c r="BS27" s="166">
        <f t="shared" si="36"/>
        <v>0.9</v>
      </c>
      <c r="BT27" s="166">
        <f t="shared" si="36"/>
        <v>0.95</v>
      </c>
      <c r="BU27" s="167">
        <f t="shared" si="36"/>
        <v>1</v>
      </c>
    </row>
    <row r="28" spans="2:73" s="94" customFormat="1" ht="12.95" customHeight="1" x14ac:dyDescent="0.2">
      <c r="B28" s="151">
        <f>IF(ISNA(Z28),"",IF(OR(Z28=1,Z28=2),"    ",MAX($B$8:B27)+1))</f>
        <v>17</v>
      </c>
      <c r="C28" s="904" t="str">
        <f t="shared" si="0"/>
        <v xml:space="preserve">      - SSE Sawtooth Climbs (4.0%)</v>
      </c>
      <c r="D28" s="904"/>
      <c r="E28" s="904"/>
      <c r="F28" s="905"/>
      <c r="G28" s="133">
        <f t="shared" si="1"/>
        <v>1</v>
      </c>
      <c r="H28" s="134" t="str">
        <f t="shared" si="2"/>
        <v>2</v>
      </c>
      <c r="I28" s="152">
        <f t="shared" si="2"/>
        <v>3</v>
      </c>
      <c r="J28" s="158">
        <v>1</v>
      </c>
      <c r="K28" s="159">
        <v>3</v>
      </c>
      <c r="L28" s="961"/>
      <c r="M28" s="962"/>
      <c r="N28" s="962"/>
      <c r="O28" s="962"/>
      <c r="P28" s="962"/>
      <c r="Q28" s="962"/>
      <c r="R28" s="963"/>
      <c r="T28" s="99">
        <v>21</v>
      </c>
      <c r="U28" s="88" t="s">
        <v>841</v>
      </c>
      <c r="V28" s="453">
        <v>1</v>
      </c>
      <c r="W28" s="453">
        <v>4</v>
      </c>
      <c r="X28" s="453" t="s">
        <v>340</v>
      </c>
      <c r="Y28" s="453" t="s">
        <v>340</v>
      </c>
      <c r="Z28" s="146" t="s">
        <v>340</v>
      </c>
      <c r="AA28" s="146">
        <v>2</v>
      </c>
      <c r="AB28" s="146">
        <v>1</v>
      </c>
      <c r="AC28" s="453">
        <v>3</v>
      </c>
      <c r="AD28" s="453">
        <v>2</v>
      </c>
      <c r="AE28" s="453">
        <v>0</v>
      </c>
      <c r="AF28" s="453" t="b">
        <v>1</v>
      </c>
      <c r="AG28" s="453">
        <f t="shared" si="3"/>
        <v>2</v>
      </c>
      <c r="AH28" s="453">
        <f t="shared" si="4"/>
        <v>1</v>
      </c>
      <c r="AI28" s="138">
        <f>IF(NOT(OR(Z28=1,Z28=2)),IF(AQ28&gt;0,$AR$44*AQ28/SUMIF($AQ$8:$AQ$39,"&gt;0"),IF(AU28&gt;0,$AV$44*AU28/SUMIF($AU$8:$AU$39,"&gt;0"),IF(AS28&gt;0,$AT$44*AS28/SUMIF($AS$8:$AS$39,"&gt;0"),""))),IF(SUMIF(AJ29:$AJ$39,"=" &amp; AJ28,AI29:$AI$39)=0,"",SUMIF(AJ29:$AJ$39,"=" &amp; AJ28,AI29:$AI$39)))</f>
        <v>0.04</v>
      </c>
      <c r="AJ28" s="139">
        <f t="shared" si="34"/>
        <v>3</v>
      </c>
      <c r="AK28" s="453">
        <f t="shared" si="27"/>
        <v>2</v>
      </c>
      <c r="AL28" s="146">
        <f t="shared" si="28"/>
        <v>3</v>
      </c>
      <c r="AM28" s="146">
        <f t="shared" si="35"/>
        <v>1</v>
      </c>
      <c r="AN28" s="146" t="str">
        <f t="shared" si="5"/>
        <v/>
      </c>
      <c r="AO28" s="146" t="str">
        <f t="shared" si="6"/>
        <v/>
      </c>
      <c r="AP28" s="453" t="b">
        <f t="shared" si="7"/>
        <v>0</v>
      </c>
      <c r="AQ28" s="140">
        <f t="shared" si="29"/>
        <v>4</v>
      </c>
      <c r="AR28" s="141">
        <f t="shared" si="8"/>
        <v>0.9</v>
      </c>
      <c r="AS28" s="142">
        <f t="shared" si="30"/>
        <v>0</v>
      </c>
      <c r="AT28" s="141" t="str">
        <f t="shared" si="9"/>
        <v/>
      </c>
      <c r="AU28" s="143">
        <f t="shared" si="10"/>
        <v>0</v>
      </c>
      <c r="AV28" s="144">
        <f t="shared" si="11"/>
        <v>0.9</v>
      </c>
      <c r="AW28" s="143" t="b">
        <f t="shared" si="12"/>
        <v>0</v>
      </c>
      <c r="AX28" s="145" t="b">
        <f t="shared" si="13"/>
        <v>0</v>
      </c>
      <c r="AY28" s="143" t="b">
        <f t="shared" si="14"/>
        <v>0</v>
      </c>
      <c r="AZ28" s="145" t="b">
        <f t="shared" si="15"/>
        <v>0</v>
      </c>
      <c r="BA28" s="453" t="b">
        <f t="shared" si="16"/>
        <v>0</v>
      </c>
      <c r="BB28" s="453" t="b">
        <f t="shared" si="17"/>
        <v>0</v>
      </c>
      <c r="BC28" s="143" t="b">
        <f t="shared" si="18"/>
        <v>0</v>
      </c>
      <c r="BD28" s="146" t="b">
        <f t="shared" si="31"/>
        <v>0</v>
      </c>
      <c r="BE28" s="145" t="b">
        <f t="shared" si="37"/>
        <v>0</v>
      </c>
      <c r="BF28" s="147" t="b">
        <f t="shared" si="20"/>
        <v>0</v>
      </c>
      <c r="BG28" s="453" t="b">
        <f t="shared" si="38"/>
        <v>0</v>
      </c>
      <c r="BH28" s="453">
        <f t="shared" si="32"/>
        <v>1</v>
      </c>
      <c r="BI28" s="453">
        <f t="shared" si="22"/>
        <v>2</v>
      </c>
      <c r="BJ28" s="453" t="str">
        <f t="shared" si="23"/>
        <v>2</v>
      </c>
      <c r="BK28" s="453">
        <f t="shared" si="24"/>
        <v>3</v>
      </c>
      <c r="BL28" s="148">
        <f t="shared" si="33"/>
        <v>1</v>
      </c>
      <c r="BM28" s="453">
        <f t="shared" si="25"/>
        <v>2</v>
      </c>
      <c r="BN28" s="453">
        <f t="shared" si="26"/>
        <v>3</v>
      </c>
      <c r="BO28" s="936"/>
      <c r="BP28" s="300" t="s">
        <v>366</v>
      </c>
      <c r="BQ28" s="165">
        <f t="shared" si="36"/>
        <v>0.3</v>
      </c>
      <c r="BR28" s="166">
        <f t="shared" si="36"/>
        <v>0.6</v>
      </c>
      <c r="BS28" s="166">
        <f t="shared" si="36"/>
        <v>0.7</v>
      </c>
      <c r="BT28" s="166">
        <f t="shared" si="36"/>
        <v>0.9</v>
      </c>
      <c r="BU28" s="167">
        <f t="shared" si="36"/>
        <v>1</v>
      </c>
    </row>
    <row r="29" spans="2:73" s="94" customFormat="1" ht="12.95" customHeight="1" x14ac:dyDescent="0.2">
      <c r="B29" s="151">
        <f>IF(ISNA(Z29),"",IF(OR(Z29=1,Z29=2),"    ",MAX($B$8:B28)+1))</f>
        <v>18</v>
      </c>
      <c r="C29" s="904" t="str">
        <f t="shared" si="0"/>
        <v xml:space="preserve">      - Level Decel (3.0%)</v>
      </c>
      <c r="D29" s="904"/>
      <c r="E29" s="904"/>
      <c r="F29" s="905"/>
      <c r="G29" s="133">
        <f t="shared" si="1"/>
        <v>1</v>
      </c>
      <c r="H29" s="134" t="str">
        <f t="shared" si="2"/>
        <v>2</v>
      </c>
      <c r="I29" s="152">
        <f t="shared" si="2"/>
        <v>3</v>
      </c>
      <c r="J29" s="158">
        <v>1</v>
      </c>
      <c r="K29" s="159">
        <v>0</v>
      </c>
      <c r="L29" s="961"/>
      <c r="M29" s="962"/>
      <c r="N29" s="962"/>
      <c r="O29" s="962"/>
      <c r="P29" s="962"/>
      <c r="Q29" s="962"/>
      <c r="R29" s="963"/>
      <c r="T29" s="99">
        <v>22</v>
      </c>
      <c r="U29" s="88" t="s">
        <v>676</v>
      </c>
      <c r="V29" s="453">
        <v>1</v>
      </c>
      <c r="W29" s="453">
        <v>3</v>
      </c>
      <c r="X29" s="453" t="s">
        <v>340</v>
      </c>
      <c r="Y29" s="453" t="s">
        <v>340</v>
      </c>
      <c r="Z29" s="146" t="s">
        <v>340</v>
      </c>
      <c r="AA29" s="146">
        <v>2</v>
      </c>
      <c r="AB29" s="146">
        <v>1</v>
      </c>
      <c r="AC29" s="453">
        <v>3</v>
      </c>
      <c r="AD29" s="453">
        <v>2</v>
      </c>
      <c r="AE29" s="453">
        <v>0</v>
      </c>
      <c r="AF29" s="453" t="b">
        <v>1</v>
      </c>
      <c r="AG29" s="453">
        <f t="shared" si="3"/>
        <v>2</v>
      </c>
      <c r="AH29" s="453">
        <f t="shared" si="4"/>
        <v>1</v>
      </c>
      <c r="AI29" s="138">
        <f>IF(NOT(OR(Z29=1,Z29=2)),IF(AQ29&gt;0,$AR$44*AQ29/SUMIF($AQ$8:$AQ$39,"&gt;0"),IF(AU29&gt;0,$AV$44*AU29/SUMIF($AU$8:$AU$39,"&gt;0"),IF(AS29&gt;0,$AT$44*AS29/SUMIF($AS$8:$AS$39,"&gt;0"),""))),IF(SUMIF(AJ30:$AJ$39,"=" &amp; AJ29,AI30:$AI$39)=0,"",SUMIF(AJ30:$AJ$39,"=" &amp; AJ29,AI30:$AI$39)))</f>
        <v>3.0000000000000002E-2</v>
      </c>
      <c r="AJ29" s="139">
        <f t="shared" si="34"/>
        <v>3</v>
      </c>
      <c r="AK29" s="453">
        <f t="shared" si="27"/>
        <v>2</v>
      </c>
      <c r="AL29" s="146">
        <f t="shared" si="28"/>
        <v>0</v>
      </c>
      <c r="AM29" s="146">
        <f t="shared" si="35"/>
        <v>1</v>
      </c>
      <c r="AN29" s="146" t="str">
        <f t="shared" si="5"/>
        <v/>
      </c>
      <c r="AO29" s="146" t="str">
        <f t="shared" si="6"/>
        <v/>
      </c>
      <c r="AP29" s="453" t="b">
        <f t="shared" si="7"/>
        <v>1</v>
      </c>
      <c r="AQ29" s="140">
        <f t="shared" si="29"/>
        <v>3</v>
      </c>
      <c r="AR29" s="141">
        <f t="shared" si="8"/>
        <v>0.3</v>
      </c>
      <c r="AS29" s="142">
        <f t="shared" si="30"/>
        <v>0</v>
      </c>
      <c r="AT29" s="141" t="str">
        <f t="shared" si="9"/>
        <v/>
      </c>
      <c r="AU29" s="143">
        <f t="shared" si="10"/>
        <v>0</v>
      </c>
      <c r="AV29" s="144">
        <f t="shared" si="11"/>
        <v>0.3</v>
      </c>
      <c r="AW29" s="143" t="b">
        <f t="shared" si="12"/>
        <v>0</v>
      </c>
      <c r="AX29" s="145" t="b">
        <f t="shared" si="13"/>
        <v>0</v>
      </c>
      <c r="AY29" s="143" t="b">
        <f t="shared" si="14"/>
        <v>0</v>
      </c>
      <c r="AZ29" s="145" t="b">
        <f t="shared" si="15"/>
        <v>0</v>
      </c>
      <c r="BA29" s="453" t="b">
        <f t="shared" si="16"/>
        <v>0</v>
      </c>
      <c r="BB29" s="453" t="b">
        <f t="shared" si="17"/>
        <v>0</v>
      </c>
      <c r="BC29" s="143" t="b">
        <f t="shared" si="18"/>
        <v>0</v>
      </c>
      <c r="BD29" s="146" t="b">
        <f t="shared" si="31"/>
        <v>0</v>
      </c>
      <c r="BE29" s="145" t="b">
        <f t="shared" si="37"/>
        <v>0</v>
      </c>
      <c r="BF29" s="147" t="b">
        <f t="shared" si="20"/>
        <v>0</v>
      </c>
      <c r="BG29" s="453" t="b">
        <f t="shared" si="38"/>
        <v>1</v>
      </c>
      <c r="BH29" s="453">
        <f t="shared" si="32"/>
        <v>1</v>
      </c>
      <c r="BI29" s="453">
        <f t="shared" si="22"/>
        <v>2</v>
      </c>
      <c r="BJ29" s="453" t="str">
        <f t="shared" si="23"/>
        <v>2</v>
      </c>
      <c r="BK29" s="453">
        <f t="shared" si="24"/>
        <v>3</v>
      </c>
      <c r="BL29" s="148">
        <f t="shared" si="33"/>
        <v>1</v>
      </c>
      <c r="BM29" s="453">
        <f t="shared" si="25"/>
        <v>2</v>
      </c>
      <c r="BN29" s="453">
        <f t="shared" si="26"/>
        <v>3</v>
      </c>
      <c r="BO29" s="936"/>
      <c r="BP29" s="300" t="s">
        <v>367</v>
      </c>
      <c r="BQ29" s="168">
        <f t="shared" si="36"/>
        <v>0</v>
      </c>
      <c r="BR29" s="169">
        <f t="shared" si="36"/>
        <v>0.3</v>
      </c>
      <c r="BS29" s="169">
        <f t="shared" si="36"/>
        <v>0.6</v>
      </c>
      <c r="BT29" s="169">
        <f t="shared" si="36"/>
        <v>0.9</v>
      </c>
      <c r="BU29" s="170">
        <f t="shared" si="36"/>
        <v>1</v>
      </c>
    </row>
    <row r="30" spans="2:73" s="94" customFormat="1" ht="12.95" customHeight="1" x14ac:dyDescent="0.2">
      <c r="B30" s="151">
        <f>IF(ISNA(Z30),"",IF(OR(Z30=1,Z30=2),"    ",MAX($B$8:B29)+1))</f>
        <v>19</v>
      </c>
      <c r="C30" s="904" t="str">
        <f t="shared" si="0"/>
        <v xml:space="preserve">      - Check Descent (3.0%)</v>
      </c>
      <c r="D30" s="904"/>
      <c r="E30" s="904"/>
      <c r="F30" s="905"/>
      <c r="G30" s="133">
        <f t="shared" si="1"/>
        <v>1</v>
      </c>
      <c r="H30" s="134" t="str">
        <f t="shared" si="2"/>
        <v>2</v>
      </c>
      <c r="I30" s="152">
        <f t="shared" si="2"/>
        <v>3</v>
      </c>
      <c r="J30" s="158">
        <v>1</v>
      </c>
      <c r="K30" s="159">
        <v>2</v>
      </c>
      <c r="L30" s="961"/>
      <c r="M30" s="962"/>
      <c r="N30" s="962"/>
      <c r="O30" s="962"/>
      <c r="P30" s="962"/>
      <c r="Q30" s="962"/>
      <c r="R30" s="963"/>
      <c r="T30" s="99">
        <v>23</v>
      </c>
      <c r="U30" s="88" t="s">
        <v>668</v>
      </c>
      <c r="V30" s="453">
        <v>1</v>
      </c>
      <c r="W30" s="453">
        <v>3</v>
      </c>
      <c r="X30" s="453" t="s">
        <v>340</v>
      </c>
      <c r="Y30" s="453" t="s">
        <v>340</v>
      </c>
      <c r="Z30" s="146" t="s">
        <v>340</v>
      </c>
      <c r="AA30" s="146">
        <v>2</v>
      </c>
      <c r="AB30" s="146">
        <v>1</v>
      </c>
      <c r="AC30" s="453">
        <v>3</v>
      </c>
      <c r="AD30" s="453">
        <v>2</v>
      </c>
      <c r="AE30" s="453">
        <v>0</v>
      </c>
      <c r="AF30" s="453" t="b">
        <v>1</v>
      </c>
      <c r="AG30" s="453">
        <f t="shared" si="3"/>
        <v>2</v>
      </c>
      <c r="AH30" s="453">
        <f t="shared" si="4"/>
        <v>1</v>
      </c>
      <c r="AI30" s="138">
        <f>IF(NOT(OR(Z30=1,Z30=2)),IF(AQ30&gt;0,$AR$44*AQ30/SUMIF($AQ$8:$AQ$39,"&gt;0"),IF(AU30&gt;0,$AV$44*AU30/SUMIF($AU$8:$AU$39,"&gt;0"),IF(AS30&gt;0,$AT$44*AS30/SUMIF($AS$8:$AS$39,"&gt;0"),""))),IF(SUMIF(AJ31:$AJ$39,"=" &amp; AJ30,AI31:$AI$39)=0,"",SUMIF(AJ31:$AJ$39,"=" &amp; AJ30,AI31:$AI$39)))</f>
        <v>3.0000000000000002E-2</v>
      </c>
      <c r="AJ30" s="139">
        <f t="shared" si="34"/>
        <v>3</v>
      </c>
      <c r="AK30" s="453">
        <f t="shared" si="27"/>
        <v>2</v>
      </c>
      <c r="AL30" s="146">
        <f t="shared" si="28"/>
        <v>2</v>
      </c>
      <c r="AM30" s="146">
        <f t="shared" si="35"/>
        <v>1</v>
      </c>
      <c r="AN30" s="146" t="str">
        <f t="shared" si="5"/>
        <v/>
      </c>
      <c r="AO30" s="146" t="str">
        <f t="shared" si="6"/>
        <v/>
      </c>
      <c r="AP30" s="453" t="b">
        <f t="shared" si="7"/>
        <v>1</v>
      </c>
      <c r="AQ30" s="140">
        <f t="shared" si="29"/>
        <v>3</v>
      </c>
      <c r="AR30" s="141">
        <f t="shared" si="8"/>
        <v>0.7</v>
      </c>
      <c r="AS30" s="142">
        <f t="shared" si="30"/>
        <v>0</v>
      </c>
      <c r="AT30" s="141" t="str">
        <f t="shared" si="9"/>
        <v/>
      </c>
      <c r="AU30" s="143">
        <f t="shared" si="10"/>
        <v>0</v>
      </c>
      <c r="AV30" s="144">
        <f t="shared" si="11"/>
        <v>0.7</v>
      </c>
      <c r="AW30" s="143" t="b">
        <f t="shared" si="12"/>
        <v>0</v>
      </c>
      <c r="AX30" s="145" t="b">
        <f t="shared" si="13"/>
        <v>0</v>
      </c>
      <c r="AY30" s="143" t="b">
        <f t="shared" si="14"/>
        <v>0</v>
      </c>
      <c r="AZ30" s="145" t="b">
        <f t="shared" si="15"/>
        <v>0</v>
      </c>
      <c r="BA30" s="453" t="b">
        <f t="shared" si="16"/>
        <v>0</v>
      </c>
      <c r="BB30" s="453" t="b">
        <f t="shared" si="17"/>
        <v>0</v>
      </c>
      <c r="BC30" s="143" t="b">
        <f t="shared" si="18"/>
        <v>0</v>
      </c>
      <c r="BD30" s="146" t="b">
        <f t="shared" si="31"/>
        <v>0</v>
      </c>
      <c r="BE30" s="145" t="b">
        <f t="shared" si="37"/>
        <v>0</v>
      </c>
      <c r="BF30" s="147" t="b">
        <f t="shared" si="20"/>
        <v>0</v>
      </c>
      <c r="BG30" s="453" t="b">
        <f t="shared" si="38"/>
        <v>1</v>
      </c>
      <c r="BH30" s="453">
        <f t="shared" si="32"/>
        <v>1</v>
      </c>
      <c r="BI30" s="453">
        <f t="shared" si="22"/>
        <v>2</v>
      </c>
      <c r="BJ30" s="453" t="str">
        <f t="shared" si="23"/>
        <v>2</v>
      </c>
      <c r="BK30" s="453">
        <f t="shared" si="24"/>
        <v>3</v>
      </c>
      <c r="BL30" s="148">
        <f t="shared" si="33"/>
        <v>1</v>
      </c>
      <c r="BM30" s="453">
        <f t="shared" si="25"/>
        <v>2</v>
      </c>
      <c r="BN30" s="453">
        <f t="shared" si="26"/>
        <v>3</v>
      </c>
      <c r="BO30" s="90"/>
    </row>
    <row r="31" spans="2:73" s="94" customFormat="1" ht="12.95" customHeight="1" x14ac:dyDescent="0.2">
      <c r="B31" s="151">
        <f>IF(ISNA(Z31),"",IF(OR(Z31=1,Z31=2),"    ",MAX($B$8:B30)+1))</f>
        <v>20</v>
      </c>
      <c r="C31" s="904" t="str">
        <f t="shared" si="0"/>
        <v xml:space="preserve">      - Ground Blocks (2.0%)</v>
      </c>
      <c r="D31" s="904"/>
      <c r="E31" s="904"/>
      <c r="F31" s="905"/>
      <c r="G31" s="133">
        <f t="shared" si="1"/>
        <v>1</v>
      </c>
      <c r="H31" s="134" t="str">
        <f t="shared" si="2"/>
        <v>2</v>
      </c>
      <c r="I31" s="152">
        <f t="shared" si="2"/>
        <v>3</v>
      </c>
      <c r="J31" s="158">
        <v>1</v>
      </c>
      <c r="K31" s="159">
        <v>3</v>
      </c>
      <c r="L31" s="961"/>
      <c r="M31" s="962"/>
      <c r="N31" s="962"/>
      <c r="O31" s="962"/>
      <c r="P31" s="962"/>
      <c r="Q31" s="962"/>
      <c r="R31" s="963"/>
      <c r="T31" s="99">
        <v>24</v>
      </c>
      <c r="U31" s="88" t="s">
        <v>740</v>
      </c>
      <c r="V31" s="453">
        <v>1</v>
      </c>
      <c r="W31" s="453">
        <v>2</v>
      </c>
      <c r="X31" s="453" t="s">
        <v>340</v>
      </c>
      <c r="Y31" s="453" t="s">
        <v>340</v>
      </c>
      <c r="Z31" s="146" t="s">
        <v>340</v>
      </c>
      <c r="AA31" s="146">
        <v>2</v>
      </c>
      <c r="AB31" s="146">
        <v>1</v>
      </c>
      <c r="AC31" s="453">
        <v>3</v>
      </c>
      <c r="AD31" s="453">
        <v>2</v>
      </c>
      <c r="AE31" s="453">
        <v>0</v>
      </c>
      <c r="AF31" s="453" t="b">
        <v>1</v>
      </c>
      <c r="AG31" s="453">
        <f t="shared" si="3"/>
        <v>2</v>
      </c>
      <c r="AH31" s="453">
        <f t="shared" si="4"/>
        <v>1</v>
      </c>
      <c r="AI31" s="138">
        <f>IF(NOT(OR(Z31=1,Z31=2)),IF(AQ31&gt;0,$AR$44*AQ31/SUMIF($AQ$8:$AQ$39,"&gt;0"),IF(AU31&gt;0,$AV$44*AU31/SUMIF($AU$8:$AU$39,"&gt;0"),IF(AS31&gt;0,$AT$44*AS31/SUMIF($AS$8:$AS$39,"&gt;0"),""))),IF(SUMIF(AJ32:$AJ$39,"=" &amp; AJ31,AI32:$AI$39)=0,"",SUMIF(AJ32:$AJ$39,"=" &amp; AJ31,AI32:$AI$39)))</f>
        <v>0.02</v>
      </c>
      <c r="AJ31" s="139">
        <f t="shared" si="34"/>
        <v>3</v>
      </c>
      <c r="AK31" s="453">
        <f t="shared" si="27"/>
        <v>2</v>
      </c>
      <c r="AL31" s="146">
        <f t="shared" si="28"/>
        <v>3</v>
      </c>
      <c r="AM31" s="146">
        <f t="shared" si="35"/>
        <v>1</v>
      </c>
      <c r="AN31" s="146" t="str">
        <f t="shared" si="5"/>
        <v/>
      </c>
      <c r="AO31" s="146" t="str">
        <f t="shared" si="6"/>
        <v/>
      </c>
      <c r="AP31" s="453" t="b">
        <f t="shared" si="7"/>
        <v>0</v>
      </c>
      <c r="AQ31" s="140">
        <f t="shared" si="29"/>
        <v>2</v>
      </c>
      <c r="AR31" s="141">
        <f t="shared" si="8"/>
        <v>0.9</v>
      </c>
      <c r="AS31" s="142">
        <f t="shared" si="30"/>
        <v>0</v>
      </c>
      <c r="AT31" s="141" t="str">
        <f t="shared" si="9"/>
        <v/>
      </c>
      <c r="AU31" s="143">
        <f t="shared" si="10"/>
        <v>0</v>
      </c>
      <c r="AV31" s="144">
        <f t="shared" si="11"/>
        <v>0.9</v>
      </c>
      <c r="AW31" s="143" t="b">
        <f t="shared" si="12"/>
        <v>0</v>
      </c>
      <c r="AX31" s="145" t="b">
        <f t="shared" si="13"/>
        <v>0</v>
      </c>
      <c r="AY31" s="143" t="b">
        <f t="shared" si="14"/>
        <v>0</v>
      </c>
      <c r="AZ31" s="145" t="b">
        <f t="shared" si="15"/>
        <v>0</v>
      </c>
      <c r="BA31" s="453" t="b">
        <f t="shared" si="16"/>
        <v>0</v>
      </c>
      <c r="BB31" s="453" t="b">
        <f t="shared" si="17"/>
        <v>0</v>
      </c>
      <c r="BC31" s="143" t="b">
        <f t="shared" si="18"/>
        <v>0</v>
      </c>
      <c r="BD31" s="146" t="b">
        <f>IF(OR(ISNA($Z31),ISNUMBER($Z31),NOT(ISNUMBER(K31))),FALSE,OR(NOT(ISNUMBER(J31)),J31=0,AND(J31=0,K31&lt;&gt;0)))</f>
        <v>0</v>
      </c>
      <c r="BE31" s="145" t="b">
        <f t="shared" si="37"/>
        <v>0</v>
      </c>
      <c r="BF31" s="147" t="b">
        <f>IF(OR(ISNA($Z31),H31&lt;&gt;"NG"),FALSE,IF(AND(J31="NA",K31&lt;&gt;""),TRUE,FALSE))</f>
        <v>0</v>
      </c>
      <c r="BG31" s="453" t="b">
        <f t="shared" si="38"/>
        <v>0</v>
      </c>
      <c r="BH31" s="453">
        <f t="shared" si="32"/>
        <v>1</v>
      </c>
      <c r="BI31" s="453">
        <f t="shared" si="22"/>
        <v>2</v>
      </c>
      <c r="BJ31" s="453" t="str">
        <f t="shared" si="23"/>
        <v>2</v>
      </c>
      <c r="BK31" s="453">
        <f t="shared" si="24"/>
        <v>3</v>
      </c>
      <c r="BL31" s="148">
        <f t="shared" si="33"/>
        <v>1</v>
      </c>
      <c r="BM31" s="453">
        <f t="shared" si="25"/>
        <v>2</v>
      </c>
      <c r="BN31" s="453">
        <f t="shared" si="26"/>
        <v>3</v>
      </c>
      <c r="BO31" s="155" t="s">
        <v>368</v>
      </c>
      <c r="BP31" s="161" t="s">
        <v>369</v>
      </c>
    </row>
    <row r="32" spans="2:73" s="94" customFormat="1" ht="12.95" customHeight="1" x14ac:dyDescent="0.2">
      <c r="B32" s="151" t="str">
        <f>IF(ISNA(Z32),"",IF(OR(Z32=1,Z32=2),"    ",MAX($B$8:B31)+1))</f>
        <v xml:space="preserve">    </v>
      </c>
      <c r="C32" s="904" t="str">
        <f t="shared" si="0"/>
        <v>Post Flight (5.0%)</v>
      </c>
      <c r="D32" s="904"/>
      <c r="E32" s="904"/>
      <c r="F32" s="905"/>
      <c r="G32" s="133" t="str">
        <f t="shared" si="1"/>
        <v/>
      </c>
      <c r="H32" s="134" t="str">
        <f t="shared" si="2"/>
        <v/>
      </c>
      <c r="I32" s="152" t="str">
        <f t="shared" si="2"/>
        <v/>
      </c>
      <c r="J32" s="158" t="s">
        <v>340</v>
      </c>
      <c r="K32" s="159" t="s">
        <v>340</v>
      </c>
      <c r="L32" s="961"/>
      <c r="M32" s="962"/>
      <c r="N32" s="962"/>
      <c r="O32" s="962"/>
      <c r="P32" s="962"/>
      <c r="Q32" s="962"/>
      <c r="R32" s="963"/>
      <c r="T32" s="99">
        <v>25</v>
      </c>
      <c r="U32" s="88" t="s">
        <v>502</v>
      </c>
      <c r="V32" s="453" t="s">
        <v>340</v>
      </c>
      <c r="W32" s="453" t="s">
        <v>340</v>
      </c>
      <c r="X32" s="453" t="s">
        <v>340</v>
      </c>
      <c r="Y32" s="453" t="s">
        <v>340</v>
      </c>
      <c r="Z32" s="146">
        <v>2</v>
      </c>
      <c r="AA32" s="146">
        <v>1</v>
      </c>
      <c r="AB32" s="146">
        <v>1</v>
      </c>
      <c r="AC32" s="453" t="s">
        <v>340</v>
      </c>
      <c r="AD32" s="453" t="s">
        <v>340</v>
      </c>
      <c r="AE32" s="453" t="s">
        <v>340</v>
      </c>
      <c r="AF32" s="453" t="s">
        <v>340</v>
      </c>
      <c r="AG32" s="453" t="str">
        <f t="shared" si="3"/>
        <v/>
      </c>
      <c r="AH32" s="453" t="str">
        <f t="shared" si="4"/>
        <v/>
      </c>
      <c r="AI32" s="138">
        <f>IF(NOT(OR(Z32=1,Z32=2)),IF(AQ32&gt;0,$AR$44*AQ32/SUMIF($AQ$8:$AQ$39,"&gt;0"),IF(AU32&gt;0,$AV$44*AU32/SUMIF($AU$8:$AU$39,"&gt;0"),IF(AS32&gt;0,$AT$44*AS32/SUMIF($AS$8:$AS$39,"&gt;0"),""))),IF(SUMIF(AJ33:$AJ$39,"=" &amp; AJ32,AI33:$AI$39)=0,"",SUMIF(AJ33:$AJ$39,"=" &amp; AJ32,AI33:$AI$39)))</f>
        <v>0.05</v>
      </c>
      <c r="AJ32" s="139">
        <f t="shared" si="34"/>
        <v>4</v>
      </c>
      <c r="AK32" s="453" t="str">
        <f t="shared" si="27"/>
        <v/>
      </c>
      <c r="AL32" s="146" t="str">
        <f t="shared" si="28"/>
        <v/>
      </c>
      <c r="AM32" s="146" t="str">
        <f t="shared" si="35"/>
        <v/>
      </c>
      <c r="AN32" s="146" t="str">
        <f t="shared" si="5"/>
        <v/>
      </c>
      <c r="AO32" s="146" t="str">
        <f t="shared" si="6"/>
        <v/>
      </c>
      <c r="AP32" s="453" t="str">
        <f t="shared" si="7"/>
        <v/>
      </c>
      <c r="AQ32" s="140">
        <f t="shared" si="29"/>
        <v>0</v>
      </c>
      <c r="AR32" s="141" t="str">
        <f t="shared" si="8"/>
        <v/>
      </c>
      <c r="AS32" s="142">
        <f t="shared" si="30"/>
        <v>0</v>
      </c>
      <c r="AT32" s="141" t="str">
        <f t="shared" si="9"/>
        <v/>
      </c>
      <c r="AU32" s="143">
        <f t="shared" si="10"/>
        <v>0</v>
      </c>
      <c r="AV32" s="144" t="str">
        <f t="shared" si="11"/>
        <v/>
      </c>
      <c r="AW32" s="143" t="b">
        <f t="shared" si="12"/>
        <v>0</v>
      </c>
      <c r="AX32" s="145" t="b">
        <f t="shared" si="13"/>
        <v>0</v>
      </c>
      <c r="AY32" s="143" t="b">
        <f t="shared" si="14"/>
        <v>0</v>
      </c>
      <c r="AZ32" s="145" t="b">
        <f t="shared" si="15"/>
        <v>0</v>
      </c>
      <c r="BA32" s="453" t="b">
        <f t="shared" si="16"/>
        <v>0</v>
      </c>
      <c r="BB32" s="453" t="b">
        <f t="shared" si="17"/>
        <v>0</v>
      </c>
      <c r="BC32" s="143" t="b">
        <f t="shared" si="18"/>
        <v>0</v>
      </c>
      <c r="BD32" s="146" t="b">
        <f t="shared" si="31"/>
        <v>0</v>
      </c>
      <c r="BE32" s="145" t="b">
        <f t="shared" si="37"/>
        <v>0</v>
      </c>
      <c r="BF32" s="147" t="b">
        <f t="shared" ref="BF32:BF39" si="39">IF(OR(ISNA($Z32),H32&lt;&gt;"NG"),FALSE,IF(AND(J32="NA",K32&lt;&gt;""),TRUE,FALSE))</f>
        <v>0</v>
      </c>
      <c r="BG32" s="453" t="b">
        <f t="shared" si="38"/>
        <v>0</v>
      </c>
      <c r="BH32" s="453" t="str">
        <f t="shared" si="32"/>
        <v/>
      </c>
      <c r="BI32" s="453" t="str">
        <f t="shared" si="22"/>
        <v/>
      </c>
      <c r="BJ32" s="453" t="str">
        <f t="shared" si="23"/>
        <v/>
      </c>
      <c r="BK32" s="453" t="str">
        <f t="shared" si="24"/>
        <v/>
      </c>
      <c r="BL32" s="148" t="str">
        <f t="shared" si="33"/>
        <v/>
      </c>
      <c r="BM32" s="453" t="str">
        <f t="shared" si="25"/>
        <v/>
      </c>
      <c r="BN32" s="453" t="str">
        <f t="shared" si="26"/>
        <v/>
      </c>
      <c r="BO32" s="155" t="s">
        <v>370</v>
      </c>
      <c r="BP32" s="161" t="s">
        <v>371</v>
      </c>
    </row>
    <row r="33" spans="2:73" s="94" customFormat="1" ht="12.95" customHeight="1" x14ac:dyDescent="0.2">
      <c r="B33" s="151">
        <f>IF(ISNA(Z33),"",IF(OR(Z33=1,Z33=2),"    ",MAX($B$8:B32)+1))</f>
        <v>21</v>
      </c>
      <c r="C33" s="904" t="str">
        <f t="shared" si="0"/>
        <v xml:space="preserve">      - Debrief/Data Analysis (5.0%)</v>
      </c>
      <c r="D33" s="904"/>
      <c r="E33" s="904"/>
      <c r="F33" s="905"/>
      <c r="G33" s="133">
        <f t="shared" si="1"/>
        <v>1</v>
      </c>
      <c r="H33" s="134" t="str">
        <f t="shared" si="2"/>
        <v>2*</v>
      </c>
      <c r="I33" s="152">
        <f t="shared" si="2"/>
        <v>3</v>
      </c>
      <c r="J33" s="158">
        <v>1</v>
      </c>
      <c r="K33" s="159">
        <v>3</v>
      </c>
      <c r="L33" s="961"/>
      <c r="M33" s="962"/>
      <c r="N33" s="962"/>
      <c r="O33" s="962"/>
      <c r="P33" s="962"/>
      <c r="Q33" s="962"/>
      <c r="R33" s="963"/>
      <c r="T33" s="99">
        <v>26</v>
      </c>
      <c r="U33" s="88" t="s">
        <v>669</v>
      </c>
      <c r="V33" s="453">
        <v>1</v>
      </c>
      <c r="W33" s="453">
        <v>5</v>
      </c>
      <c r="X33" s="453" t="s">
        <v>340</v>
      </c>
      <c r="Y33" s="453" t="s">
        <v>340</v>
      </c>
      <c r="Z33" s="146" t="s">
        <v>340</v>
      </c>
      <c r="AA33" s="146">
        <v>2</v>
      </c>
      <c r="AB33" s="146">
        <v>1</v>
      </c>
      <c r="AC33" s="453">
        <v>3</v>
      </c>
      <c r="AD33" s="453">
        <v>2</v>
      </c>
      <c r="AE33" s="453">
        <v>1</v>
      </c>
      <c r="AF33" s="453" t="b">
        <v>1</v>
      </c>
      <c r="AG33" s="453">
        <f t="shared" si="3"/>
        <v>2</v>
      </c>
      <c r="AH33" s="453">
        <f t="shared" si="4"/>
        <v>1</v>
      </c>
      <c r="AI33" s="138">
        <f>IF(NOT(OR(Z33=1,Z33=2)),IF(AQ33&gt;0,$AR$44*AQ33/SUMIF($AQ$8:$AQ$39,"&gt;0"),IF(AU33&gt;0,$AV$44*AU33/SUMIF($AU$8:$AU$39,"&gt;0"),IF(AS33&gt;0,$AT$44*AS33/SUMIF($AS$8:$AS$39,"&gt;0"),""))),IF(SUMIF(AJ34:$AJ$39,"=" &amp; AJ33,AI34:$AI$39)=0,"",SUMIF(AJ34:$AJ$39,"=" &amp; AJ33,AI34:$AI$39)))</f>
        <v>0.05</v>
      </c>
      <c r="AJ33" s="139">
        <f t="shared" si="34"/>
        <v>4</v>
      </c>
      <c r="AK33" s="453">
        <f t="shared" si="27"/>
        <v>2</v>
      </c>
      <c r="AL33" s="146">
        <f t="shared" si="28"/>
        <v>3</v>
      </c>
      <c r="AM33" s="146">
        <f t="shared" si="35"/>
        <v>1</v>
      </c>
      <c r="AN33" s="146" t="str">
        <f t="shared" si="5"/>
        <v/>
      </c>
      <c r="AO33" s="146" t="str">
        <f t="shared" si="6"/>
        <v/>
      </c>
      <c r="AP33" s="453" t="b">
        <f t="shared" si="7"/>
        <v>0</v>
      </c>
      <c r="AQ33" s="140">
        <f t="shared" si="29"/>
        <v>5</v>
      </c>
      <c r="AR33" s="141">
        <f t="shared" si="8"/>
        <v>0.9</v>
      </c>
      <c r="AS33" s="142">
        <f t="shared" si="30"/>
        <v>0</v>
      </c>
      <c r="AT33" s="141" t="str">
        <f t="shared" si="9"/>
        <v/>
      </c>
      <c r="AU33" s="143">
        <f t="shared" si="10"/>
        <v>0</v>
      </c>
      <c r="AV33" s="144">
        <f t="shared" si="11"/>
        <v>0.9</v>
      </c>
      <c r="AW33" s="143" t="b">
        <f t="shared" si="12"/>
        <v>0</v>
      </c>
      <c r="AX33" s="145" t="b">
        <f t="shared" si="13"/>
        <v>0</v>
      </c>
      <c r="AY33" s="143" t="b">
        <f t="shared" si="14"/>
        <v>0</v>
      </c>
      <c r="AZ33" s="145" t="b">
        <f t="shared" si="15"/>
        <v>0</v>
      </c>
      <c r="BA33" s="453" t="b">
        <f t="shared" si="16"/>
        <v>0</v>
      </c>
      <c r="BB33" s="453" t="b">
        <f t="shared" si="17"/>
        <v>0</v>
      </c>
      <c r="BC33" s="143" t="b">
        <f t="shared" si="18"/>
        <v>0</v>
      </c>
      <c r="BD33" s="146" t="b">
        <f t="shared" si="31"/>
        <v>0</v>
      </c>
      <c r="BE33" s="145" t="b">
        <f t="shared" si="37"/>
        <v>0</v>
      </c>
      <c r="BF33" s="147" t="b">
        <f t="shared" si="39"/>
        <v>0</v>
      </c>
      <c r="BG33" s="453" t="b">
        <f t="shared" si="38"/>
        <v>0</v>
      </c>
      <c r="BH33" s="453">
        <f t="shared" si="32"/>
        <v>1</v>
      </c>
      <c r="BI33" s="453">
        <f t="shared" si="22"/>
        <v>2</v>
      </c>
      <c r="BJ33" s="453" t="str">
        <f t="shared" si="23"/>
        <v>2*</v>
      </c>
      <c r="BK33" s="453">
        <f t="shared" si="24"/>
        <v>3</v>
      </c>
      <c r="BL33" s="148">
        <f t="shared" si="33"/>
        <v>1</v>
      </c>
      <c r="BM33" s="453">
        <f t="shared" si="25"/>
        <v>2</v>
      </c>
      <c r="BN33" s="453">
        <f t="shared" si="26"/>
        <v>3</v>
      </c>
      <c r="BO33" s="150" t="s">
        <v>372</v>
      </c>
      <c r="BP33" s="161"/>
      <c r="BQ33" s="161"/>
      <c r="BR33" s="161"/>
      <c r="BS33" s="161"/>
      <c r="BT33" s="161"/>
      <c r="BU33" s="161"/>
    </row>
    <row r="34" spans="2:73" s="94" customFormat="1" ht="12.95" customHeight="1" x14ac:dyDescent="0.2">
      <c r="B34" s="151" t="str">
        <f>IF(ISNA(Z34),"",IF(OR(Z34=1,Z34=2),"    ",MAX($B$8:B33)+1))</f>
        <v/>
      </c>
      <c r="C34" s="904" t="str">
        <f t="shared" si="0"/>
        <v/>
      </c>
      <c r="D34" s="904"/>
      <c r="E34" s="904"/>
      <c r="F34" s="905"/>
      <c r="G34" s="133" t="str">
        <f t="shared" si="1"/>
        <v/>
      </c>
      <c r="H34" s="134" t="str">
        <f t="shared" si="2"/>
        <v/>
      </c>
      <c r="I34" s="152" t="str">
        <f t="shared" si="2"/>
        <v/>
      </c>
      <c r="J34" s="158" t="s">
        <v>340</v>
      </c>
      <c r="K34" s="159" t="s">
        <v>340</v>
      </c>
      <c r="L34" s="961"/>
      <c r="M34" s="962"/>
      <c r="N34" s="962"/>
      <c r="O34" s="962"/>
      <c r="P34" s="962"/>
      <c r="Q34" s="962"/>
      <c r="R34" s="963"/>
      <c r="T34" s="99">
        <v>27</v>
      </c>
      <c r="U34" s="88" t="e">
        <v>#N/A</v>
      </c>
      <c r="V34" s="453" t="e">
        <v>#N/A</v>
      </c>
      <c r="W34" s="453" t="e">
        <v>#N/A</v>
      </c>
      <c r="X34" s="453" t="e">
        <v>#N/A</v>
      </c>
      <c r="Y34" s="453" t="e">
        <v>#N/A</v>
      </c>
      <c r="Z34" s="146" t="e">
        <v>#N/A</v>
      </c>
      <c r="AA34" s="146" t="e">
        <v>#N/A</v>
      </c>
      <c r="AB34" s="146" t="e">
        <v>#N/A</v>
      </c>
      <c r="AC34" s="453" t="e">
        <v>#N/A</v>
      </c>
      <c r="AD34" s="453" t="e">
        <v>#N/A</v>
      </c>
      <c r="AE34" s="453" t="e">
        <v>#N/A</v>
      </c>
      <c r="AF34" s="453" t="e">
        <v>#N/A</v>
      </c>
      <c r="AG34" s="453" t="e">
        <f t="shared" si="3"/>
        <v>#N/A</v>
      </c>
      <c r="AH34" s="453" t="str">
        <f t="shared" si="4"/>
        <v/>
      </c>
      <c r="AI34" s="138" t="e">
        <f>IF(NOT(OR(Z34=1,Z34=2)),IF(AQ34&gt;0,$AR$44*AQ34/SUMIF($AQ$8:$AQ$39,"&gt;0"),IF(AU34&gt;0,$AV$44*AU34/SUMIF($AU$8:$AU$39,"&gt;0"),IF(AS34&gt;0,$AT$44*AS34/SUMIF($AS$8:$AS$39,"&gt;0"),""))),IF(SUMIF(AJ35:$AJ$39,"=" &amp; AJ34,AI35:$AI$39)=0,"",SUMIF(AJ35:$AJ$39,"=" &amp; AJ34,AI35:$AI$39)))</f>
        <v>#N/A</v>
      </c>
      <c r="AJ34" s="139" t="e">
        <f t="shared" si="34"/>
        <v>#N/A</v>
      </c>
      <c r="AK34" s="453" t="str">
        <f t="shared" si="27"/>
        <v/>
      </c>
      <c r="AL34" s="146" t="str">
        <f t="shared" si="28"/>
        <v/>
      </c>
      <c r="AM34" s="146" t="str">
        <f t="shared" si="35"/>
        <v/>
      </c>
      <c r="AN34" s="146" t="str">
        <f t="shared" si="5"/>
        <v/>
      </c>
      <c r="AO34" s="146" t="e">
        <f t="shared" si="6"/>
        <v>#N/A</v>
      </c>
      <c r="AP34" s="453" t="str">
        <f t="shared" si="7"/>
        <v/>
      </c>
      <c r="AQ34" s="140">
        <f t="shared" si="29"/>
        <v>0</v>
      </c>
      <c r="AR34" s="141" t="str">
        <f t="shared" si="8"/>
        <v/>
      </c>
      <c r="AS34" s="142">
        <f t="shared" si="30"/>
        <v>0</v>
      </c>
      <c r="AT34" s="141" t="str">
        <f t="shared" si="9"/>
        <v/>
      </c>
      <c r="AU34" s="143">
        <f t="shared" si="10"/>
        <v>0</v>
      </c>
      <c r="AV34" s="144" t="str">
        <f t="shared" si="11"/>
        <v/>
      </c>
      <c r="AW34" s="143" t="b">
        <f t="shared" si="12"/>
        <v>0</v>
      </c>
      <c r="AX34" s="145" t="b">
        <f t="shared" si="13"/>
        <v>0</v>
      </c>
      <c r="AY34" s="143" t="b">
        <f t="shared" si="14"/>
        <v>0</v>
      </c>
      <c r="AZ34" s="145" t="b">
        <f t="shared" si="15"/>
        <v>0</v>
      </c>
      <c r="BA34" s="453" t="b">
        <f t="shared" si="16"/>
        <v>0</v>
      </c>
      <c r="BB34" s="453" t="b">
        <f t="shared" si="17"/>
        <v>0</v>
      </c>
      <c r="BC34" s="143" t="b">
        <f t="shared" si="18"/>
        <v>0</v>
      </c>
      <c r="BD34" s="146" t="b">
        <f t="shared" si="31"/>
        <v>0</v>
      </c>
      <c r="BE34" s="145" t="b">
        <f t="shared" si="37"/>
        <v>0</v>
      </c>
      <c r="BF34" s="147" t="b">
        <f t="shared" si="39"/>
        <v>0</v>
      </c>
      <c r="BG34" s="453" t="str">
        <f t="shared" si="38"/>
        <v>NA</v>
      </c>
      <c r="BH34" s="453" t="str">
        <f t="shared" si="32"/>
        <v/>
      </c>
      <c r="BI34" s="453" t="str">
        <f t="shared" si="22"/>
        <v/>
      </c>
      <c r="BJ34" s="453" t="str">
        <f t="shared" si="23"/>
        <v/>
      </c>
      <c r="BK34" s="453" t="str">
        <f t="shared" si="24"/>
        <v/>
      </c>
      <c r="BL34" s="148" t="str">
        <f t="shared" si="33"/>
        <v/>
      </c>
      <c r="BM34" s="453" t="str">
        <f t="shared" si="25"/>
        <v/>
      </c>
      <c r="BN34" s="453" t="str">
        <f t="shared" si="26"/>
        <v/>
      </c>
      <c r="BO34" s="906"/>
      <c r="BP34" s="907"/>
      <c r="BQ34" s="907"/>
      <c r="BR34" s="907"/>
      <c r="BS34" s="907"/>
      <c r="BT34" s="907"/>
      <c r="BU34" s="908"/>
    </row>
    <row r="35" spans="2:73" s="94" customFormat="1" ht="12.95" customHeight="1" x14ac:dyDescent="0.2">
      <c r="B35" s="151" t="str">
        <f>IF(ISNA(Z35),"",IF(OR(Z35=1,Z35=2),"    ",MAX($B$8:B34)+1))</f>
        <v/>
      </c>
      <c r="C35" s="904" t="str">
        <f t="shared" si="0"/>
        <v/>
      </c>
      <c r="D35" s="904"/>
      <c r="E35" s="904"/>
      <c r="F35" s="905"/>
      <c r="G35" s="133" t="str">
        <f t="shared" si="1"/>
        <v/>
      </c>
      <c r="H35" s="134" t="str">
        <f t="shared" si="2"/>
        <v/>
      </c>
      <c r="I35" s="152" t="str">
        <f t="shared" si="2"/>
        <v/>
      </c>
      <c r="J35" s="158" t="s">
        <v>340</v>
      </c>
      <c r="K35" s="159" t="s">
        <v>340</v>
      </c>
      <c r="L35" s="961"/>
      <c r="M35" s="962"/>
      <c r="N35" s="962"/>
      <c r="O35" s="962"/>
      <c r="P35" s="962"/>
      <c r="Q35" s="962"/>
      <c r="R35" s="963"/>
      <c r="T35" s="99">
        <v>28</v>
      </c>
      <c r="U35" s="88" t="e">
        <v>#N/A</v>
      </c>
      <c r="V35" s="453" t="e">
        <v>#N/A</v>
      </c>
      <c r="W35" s="453" t="e">
        <v>#N/A</v>
      </c>
      <c r="X35" s="453" t="e">
        <v>#N/A</v>
      </c>
      <c r="Y35" s="453" t="e">
        <v>#N/A</v>
      </c>
      <c r="Z35" s="146" t="e">
        <v>#N/A</v>
      </c>
      <c r="AA35" s="146" t="e">
        <v>#N/A</v>
      </c>
      <c r="AB35" s="146" t="e">
        <v>#N/A</v>
      </c>
      <c r="AC35" s="453" t="e">
        <v>#N/A</v>
      </c>
      <c r="AD35" s="453" t="e">
        <v>#N/A</v>
      </c>
      <c r="AE35" s="453" t="e">
        <v>#N/A</v>
      </c>
      <c r="AF35" s="453" t="e">
        <v>#N/A</v>
      </c>
      <c r="AG35" s="453" t="e">
        <f t="shared" si="3"/>
        <v>#N/A</v>
      </c>
      <c r="AH35" s="453" t="str">
        <f t="shared" si="4"/>
        <v/>
      </c>
      <c r="AI35" s="138" t="e">
        <f>IF(NOT(OR(Z35=1,Z35=2)),IF(AQ35&gt;0,$AR$44*AQ35/SUMIF($AQ$8:$AQ$39,"&gt;0"),IF(AU35&gt;0,$AV$44*AU35/SUMIF($AU$8:$AU$39,"&gt;0"),IF(AS35&gt;0,$AT$44*AS35/SUMIF($AS$8:$AS$39,"&gt;0"),""))),IF(SUMIF(AJ36:$AJ$39,"=" &amp; AJ35,AI36:$AI$39)=0,"",SUMIF(AJ36:$AJ$39,"=" &amp; AJ35,AI36:$AI$39)))</f>
        <v>#N/A</v>
      </c>
      <c r="AJ35" s="139" t="e">
        <f t="shared" si="34"/>
        <v>#N/A</v>
      </c>
      <c r="AK35" s="453" t="str">
        <f t="shared" si="27"/>
        <v/>
      </c>
      <c r="AL35" s="146" t="str">
        <f t="shared" si="28"/>
        <v/>
      </c>
      <c r="AM35" s="146" t="str">
        <f t="shared" si="35"/>
        <v/>
      </c>
      <c r="AN35" s="146" t="str">
        <f t="shared" si="5"/>
        <v/>
      </c>
      <c r="AO35" s="146" t="e">
        <f t="shared" si="6"/>
        <v>#N/A</v>
      </c>
      <c r="AP35" s="453" t="str">
        <f t="shared" si="7"/>
        <v/>
      </c>
      <c r="AQ35" s="140">
        <f t="shared" si="29"/>
        <v>0</v>
      </c>
      <c r="AR35" s="141" t="str">
        <f t="shared" si="8"/>
        <v/>
      </c>
      <c r="AS35" s="142">
        <f t="shared" si="30"/>
        <v>0</v>
      </c>
      <c r="AT35" s="141" t="str">
        <f t="shared" si="9"/>
        <v/>
      </c>
      <c r="AU35" s="143">
        <f t="shared" si="10"/>
        <v>0</v>
      </c>
      <c r="AV35" s="144" t="str">
        <f t="shared" si="11"/>
        <v/>
      </c>
      <c r="AW35" s="143" t="b">
        <f t="shared" si="12"/>
        <v>0</v>
      </c>
      <c r="AX35" s="145" t="b">
        <f t="shared" si="13"/>
        <v>0</v>
      </c>
      <c r="AY35" s="143" t="b">
        <f t="shared" si="14"/>
        <v>0</v>
      </c>
      <c r="AZ35" s="145" t="b">
        <f t="shared" si="15"/>
        <v>0</v>
      </c>
      <c r="BA35" s="453" t="b">
        <f t="shared" si="16"/>
        <v>0</v>
      </c>
      <c r="BB35" s="453" t="b">
        <f t="shared" si="17"/>
        <v>0</v>
      </c>
      <c r="BC35" s="143" t="b">
        <f t="shared" si="18"/>
        <v>0</v>
      </c>
      <c r="BD35" s="146" t="b">
        <f t="shared" si="31"/>
        <v>0</v>
      </c>
      <c r="BE35" s="145" t="b">
        <f t="shared" si="37"/>
        <v>0</v>
      </c>
      <c r="BF35" s="147" t="b">
        <f t="shared" si="39"/>
        <v>0</v>
      </c>
      <c r="BG35" s="453" t="str">
        <f t="shared" si="38"/>
        <v>NA</v>
      </c>
      <c r="BH35" s="453" t="str">
        <f t="shared" si="32"/>
        <v/>
      </c>
      <c r="BI35" s="453" t="str">
        <f t="shared" si="22"/>
        <v/>
      </c>
      <c r="BJ35" s="453" t="str">
        <f t="shared" si="23"/>
        <v/>
      </c>
      <c r="BK35" s="453" t="str">
        <f t="shared" si="24"/>
        <v/>
      </c>
      <c r="BL35" s="148" t="str">
        <f t="shared" si="33"/>
        <v/>
      </c>
      <c r="BM35" s="453" t="str">
        <f t="shared" si="25"/>
        <v/>
      </c>
      <c r="BN35" s="453" t="str">
        <f t="shared" si="26"/>
        <v/>
      </c>
      <c r="BO35" s="909"/>
      <c r="BP35" s="910"/>
      <c r="BQ35" s="910"/>
      <c r="BR35" s="910"/>
      <c r="BS35" s="910"/>
      <c r="BT35" s="910"/>
      <c r="BU35" s="911"/>
    </row>
    <row r="36" spans="2:73" s="94" customFormat="1" ht="12.95" customHeight="1" x14ac:dyDescent="0.2">
      <c r="B36" s="151" t="str">
        <f>IF(ISNA(Z36),"",IF(OR(Z36=1,Z36=2),"    ",MAX($B$8:B35)+1))</f>
        <v/>
      </c>
      <c r="C36" s="904" t="str">
        <f t="shared" si="0"/>
        <v/>
      </c>
      <c r="D36" s="904"/>
      <c r="E36" s="904"/>
      <c r="F36" s="905"/>
      <c r="G36" s="133" t="str">
        <f t="shared" si="1"/>
        <v/>
      </c>
      <c r="H36" s="134" t="str">
        <f t="shared" si="2"/>
        <v/>
      </c>
      <c r="I36" s="152" t="str">
        <f t="shared" si="2"/>
        <v/>
      </c>
      <c r="J36" s="158" t="s">
        <v>340</v>
      </c>
      <c r="K36" s="159" t="s">
        <v>340</v>
      </c>
      <c r="L36" s="961"/>
      <c r="M36" s="962"/>
      <c r="N36" s="962"/>
      <c r="O36" s="962"/>
      <c r="P36" s="962"/>
      <c r="Q36" s="962"/>
      <c r="R36" s="963"/>
      <c r="T36" s="99">
        <v>29</v>
      </c>
      <c r="U36" s="88" t="e">
        <v>#N/A</v>
      </c>
      <c r="V36" s="453" t="e">
        <v>#N/A</v>
      </c>
      <c r="W36" s="453" t="e">
        <v>#N/A</v>
      </c>
      <c r="X36" s="453" t="e">
        <v>#N/A</v>
      </c>
      <c r="Y36" s="453" t="e">
        <v>#N/A</v>
      </c>
      <c r="Z36" s="146" t="e">
        <v>#N/A</v>
      </c>
      <c r="AA36" s="146" t="e">
        <v>#N/A</v>
      </c>
      <c r="AB36" s="146" t="e">
        <v>#N/A</v>
      </c>
      <c r="AC36" s="453" t="e">
        <v>#N/A</v>
      </c>
      <c r="AD36" s="453" t="e">
        <v>#N/A</v>
      </c>
      <c r="AE36" s="453" t="e">
        <v>#N/A</v>
      </c>
      <c r="AF36" s="453" t="e">
        <v>#N/A</v>
      </c>
      <c r="AG36" s="453" t="e">
        <f t="shared" si="3"/>
        <v>#N/A</v>
      </c>
      <c r="AH36" s="453" t="str">
        <f t="shared" si="4"/>
        <v/>
      </c>
      <c r="AI36" s="138" t="e">
        <f>IF(NOT(OR(Z36=1,Z36=2)),IF(AQ36&gt;0,$AR$44*AQ36/SUMIF($AQ$8:$AQ$39,"&gt;0"),IF(AU36&gt;0,$AV$44*AU36/SUMIF($AU$8:$AU$39,"&gt;0"),IF(AS36&gt;0,$AT$44*AS36/SUMIF($AS$8:$AS$39,"&gt;0"),""))),IF(SUMIF(AJ37:$AJ$39,"=" &amp; AJ36,AI37:$AI$39)=0,"",SUMIF(AJ37:$AJ$39,"=" &amp; AJ36,AI37:$AI$39)))</f>
        <v>#N/A</v>
      </c>
      <c r="AJ36" s="139" t="e">
        <f t="shared" si="34"/>
        <v>#N/A</v>
      </c>
      <c r="AK36" s="453" t="str">
        <f t="shared" si="27"/>
        <v/>
      </c>
      <c r="AL36" s="146" t="str">
        <f t="shared" si="28"/>
        <v/>
      </c>
      <c r="AM36" s="146" t="str">
        <f t="shared" si="35"/>
        <v/>
      </c>
      <c r="AN36" s="146" t="str">
        <f t="shared" si="5"/>
        <v/>
      </c>
      <c r="AO36" s="146" t="e">
        <f t="shared" si="6"/>
        <v>#N/A</v>
      </c>
      <c r="AP36" s="453" t="str">
        <f t="shared" si="7"/>
        <v/>
      </c>
      <c r="AQ36" s="140">
        <f t="shared" si="29"/>
        <v>0</v>
      </c>
      <c r="AR36" s="141" t="str">
        <f t="shared" si="8"/>
        <v/>
      </c>
      <c r="AS36" s="142">
        <f t="shared" si="30"/>
        <v>0</v>
      </c>
      <c r="AT36" s="141" t="str">
        <f t="shared" si="9"/>
        <v/>
      </c>
      <c r="AU36" s="143">
        <f t="shared" si="10"/>
        <v>0</v>
      </c>
      <c r="AV36" s="144" t="str">
        <f t="shared" si="11"/>
        <v/>
      </c>
      <c r="AW36" s="143" t="b">
        <f t="shared" si="12"/>
        <v>0</v>
      </c>
      <c r="AX36" s="145" t="b">
        <f t="shared" si="13"/>
        <v>0</v>
      </c>
      <c r="AY36" s="143" t="b">
        <f t="shared" si="14"/>
        <v>0</v>
      </c>
      <c r="AZ36" s="145" t="b">
        <f t="shared" si="15"/>
        <v>0</v>
      </c>
      <c r="BA36" s="453" t="b">
        <f t="shared" si="16"/>
        <v>0</v>
      </c>
      <c r="BB36" s="453" t="b">
        <f t="shared" si="17"/>
        <v>0</v>
      </c>
      <c r="BC36" s="143" t="b">
        <f t="shared" si="18"/>
        <v>0</v>
      </c>
      <c r="BD36" s="146" t="b">
        <f t="shared" si="31"/>
        <v>0</v>
      </c>
      <c r="BE36" s="145" t="b">
        <f t="shared" si="37"/>
        <v>0</v>
      </c>
      <c r="BF36" s="147" t="b">
        <f t="shared" si="39"/>
        <v>0</v>
      </c>
      <c r="BG36" s="453" t="str">
        <f t="shared" si="38"/>
        <v>NA</v>
      </c>
      <c r="BH36" s="453" t="str">
        <f t="shared" si="32"/>
        <v/>
      </c>
      <c r="BI36" s="453" t="str">
        <f t="shared" si="22"/>
        <v/>
      </c>
      <c r="BJ36" s="453" t="str">
        <f t="shared" si="23"/>
        <v/>
      </c>
      <c r="BK36" s="453" t="str">
        <f t="shared" si="24"/>
        <v/>
      </c>
      <c r="BL36" s="148" t="str">
        <f t="shared" si="33"/>
        <v/>
      </c>
      <c r="BM36" s="453" t="str">
        <f t="shared" si="25"/>
        <v/>
      </c>
      <c r="BN36" s="453" t="str">
        <f t="shared" si="26"/>
        <v/>
      </c>
      <c r="BO36" s="909"/>
      <c r="BP36" s="910"/>
      <c r="BQ36" s="910"/>
      <c r="BR36" s="910"/>
      <c r="BS36" s="910"/>
      <c r="BT36" s="910"/>
      <c r="BU36" s="911"/>
    </row>
    <row r="37" spans="2:73" s="94" customFormat="1" ht="12.95" customHeight="1" x14ac:dyDescent="0.2">
      <c r="B37" s="151" t="str">
        <f>IF(ISNA(Z37),"",IF(OR(Z37=1,Z37=2),"    ",MAX($B$8:B36)+1))</f>
        <v/>
      </c>
      <c r="C37" s="904" t="str">
        <f>IF(ISNA(Z37),"",CONCATENATE($U37,IF(ISNUMBER(AI37),TEXT(ROUND($AI37,3)," (0.0%)"),""),IF(AU37&gt;0," Bonus","")))</f>
        <v/>
      </c>
      <c r="D37" s="904"/>
      <c r="E37" s="904"/>
      <c r="F37" s="905"/>
      <c r="G37" s="133" t="str">
        <f t="shared" si="1"/>
        <v/>
      </c>
      <c r="H37" s="134" t="str">
        <f t="shared" si="2"/>
        <v/>
      </c>
      <c r="I37" s="152" t="str">
        <f t="shared" si="2"/>
        <v/>
      </c>
      <c r="J37" s="158" t="s">
        <v>340</v>
      </c>
      <c r="K37" s="159" t="s">
        <v>340</v>
      </c>
      <c r="L37" s="961"/>
      <c r="M37" s="962"/>
      <c r="N37" s="962"/>
      <c r="O37" s="962"/>
      <c r="P37" s="962"/>
      <c r="Q37" s="962"/>
      <c r="R37" s="963"/>
      <c r="T37" s="99">
        <v>30</v>
      </c>
      <c r="U37" s="88" t="e">
        <v>#N/A</v>
      </c>
      <c r="V37" s="453" t="e">
        <v>#N/A</v>
      </c>
      <c r="W37" s="453" t="e">
        <v>#N/A</v>
      </c>
      <c r="X37" s="453" t="e">
        <v>#N/A</v>
      </c>
      <c r="Y37" s="453" t="e">
        <v>#N/A</v>
      </c>
      <c r="Z37" s="146" t="e">
        <v>#N/A</v>
      </c>
      <c r="AA37" s="146" t="e">
        <v>#N/A</v>
      </c>
      <c r="AB37" s="146" t="e">
        <v>#N/A</v>
      </c>
      <c r="AC37" s="453" t="e">
        <v>#N/A</v>
      </c>
      <c r="AD37" s="453" t="e">
        <v>#N/A</v>
      </c>
      <c r="AE37" s="453" t="e">
        <v>#N/A</v>
      </c>
      <c r="AF37" s="453" t="e">
        <v>#N/A</v>
      </c>
      <c r="AG37" s="453" t="e">
        <f t="shared" si="3"/>
        <v>#N/A</v>
      </c>
      <c r="AH37" s="453" t="str">
        <f t="shared" si="4"/>
        <v/>
      </c>
      <c r="AI37" s="138" t="e">
        <f>IF(NOT(OR(Z37=1,Z37=2)),IF(AQ37&gt;0,$AR$44*AQ37/SUMIF($AQ$8:$AQ$39,"&gt;0"),IF(AU37&gt;0,$AV$44*AU37/SUMIF($AU$8:$AU$39,"&gt;0"),IF(AS37&gt;0,$AT$44*AS37/SUMIF($AS$8:$AS$39,"&gt;0"),""))),IF(SUMIF(AJ38:$AJ$39,"=" &amp; AJ37,AI38:$AI$39)=0,"",SUMIF(AJ38:$AJ$39,"=" &amp; AJ37,AI38:$AI$39)))</f>
        <v>#N/A</v>
      </c>
      <c r="AJ37" s="139" t="e">
        <f t="shared" si="34"/>
        <v>#N/A</v>
      </c>
      <c r="AK37" s="453" t="str">
        <f t="shared" si="27"/>
        <v/>
      </c>
      <c r="AL37" s="146" t="str">
        <f t="shared" si="28"/>
        <v/>
      </c>
      <c r="AM37" s="146" t="str">
        <f t="shared" si="35"/>
        <v/>
      </c>
      <c r="AN37" s="146" t="str">
        <f>IF(ISNUMBER(AH37),IF(AND(AB37=0,ISNUMBER(AC37),ISNUMBER(AL37)),1,""),"")</f>
        <v/>
      </c>
      <c r="AO37" s="146" t="e">
        <f t="shared" si="6"/>
        <v>#N/A</v>
      </c>
      <c r="AP37" s="453" t="str">
        <f t="shared" si="7"/>
        <v/>
      </c>
      <c r="AQ37" s="140">
        <f t="shared" si="29"/>
        <v>0</v>
      </c>
      <c r="AR37" s="141" t="str">
        <f t="shared" si="8"/>
        <v/>
      </c>
      <c r="AS37" s="142">
        <f t="shared" si="30"/>
        <v>0</v>
      </c>
      <c r="AT37" s="141" t="str">
        <f t="shared" si="9"/>
        <v/>
      </c>
      <c r="AU37" s="143">
        <f t="shared" si="10"/>
        <v>0</v>
      </c>
      <c r="AV37" s="144" t="str">
        <f t="shared" si="11"/>
        <v/>
      </c>
      <c r="AW37" s="143" t="b">
        <f t="shared" si="12"/>
        <v>0</v>
      </c>
      <c r="AX37" s="145" t="b">
        <f t="shared" si="13"/>
        <v>0</v>
      </c>
      <c r="AY37" s="143" t="b">
        <f t="shared" si="14"/>
        <v>0</v>
      </c>
      <c r="AZ37" s="145" t="b">
        <f t="shared" si="15"/>
        <v>0</v>
      </c>
      <c r="BA37" s="453" t="b">
        <f t="shared" si="16"/>
        <v>0</v>
      </c>
      <c r="BB37" s="453" t="b">
        <f t="shared" si="17"/>
        <v>0</v>
      </c>
      <c r="BC37" s="143" t="b">
        <f t="shared" si="18"/>
        <v>0</v>
      </c>
      <c r="BD37" s="146" t="b">
        <f t="shared" si="31"/>
        <v>0</v>
      </c>
      <c r="BE37" s="145" t="b">
        <f t="shared" si="37"/>
        <v>0</v>
      </c>
      <c r="BF37" s="147" t="b">
        <f t="shared" si="39"/>
        <v>0</v>
      </c>
      <c r="BG37" s="453" t="str">
        <f t="shared" si="38"/>
        <v>NA</v>
      </c>
      <c r="BH37" s="453" t="str">
        <f t="shared" si="32"/>
        <v/>
      </c>
      <c r="BI37" s="453" t="str">
        <f t="shared" si="22"/>
        <v/>
      </c>
      <c r="BJ37" s="453" t="str">
        <f t="shared" si="23"/>
        <v/>
      </c>
      <c r="BK37" s="453" t="str">
        <f t="shared" si="24"/>
        <v/>
      </c>
      <c r="BL37" s="148" t="str">
        <f t="shared" si="33"/>
        <v/>
      </c>
      <c r="BM37" s="453" t="str">
        <f t="shared" si="25"/>
        <v/>
      </c>
      <c r="BN37" s="453" t="str">
        <f t="shared" si="26"/>
        <v/>
      </c>
      <c r="BO37" s="912"/>
      <c r="BP37" s="913"/>
      <c r="BQ37" s="913"/>
      <c r="BR37" s="913"/>
      <c r="BS37" s="913"/>
      <c r="BT37" s="913"/>
      <c r="BU37" s="914"/>
    </row>
    <row r="38" spans="2:73" s="94" customFormat="1" ht="12.95" customHeight="1" x14ac:dyDescent="0.2">
      <c r="B38" s="151" t="str">
        <f>IF(ISNA(Z38),"",IF(OR(Z38=1,Z38=2),"    ",MAX($B$8:B37)+1))</f>
        <v/>
      </c>
      <c r="C38" s="904" t="str">
        <f t="shared" ref="C38:C39" si="40">IF(ISNA(Z38),"",CONCATENATE($U38,IF(ISNUMBER(AI38),TEXT(ROUND($AI38,3)," (0.0%)"),""),IF(AU38&gt;0," Bonus","")))</f>
        <v/>
      </c>
      <c r="D38" s="904"/>
      <c r="E38" s="904"/>
      <c r="F38" s="905"/>
      <c r="G38" s="133" t="str">
        <f t="shared" si="1"/>
        <v/>
      </c>
      <c r="H38" s="134" t="str">
        <f t="shared" si="2"/>
        <v/>
      </c>
      <c r="I38" s="152" t="str">
        <f t="shared" si="2"/>
        <v/>
      </c>
      <c r="J38" s="158" t="s">
        <v>340</v>
      </c>
      <c r="K38" s="159" t="s">
        <v>340</v>
      </c>
      <c r="L38" s="961"/>
      <c r="M38" s="962"/>
      <c r="N38" s="962"/>
      <c r="O38" s="962"/>
      <c r="P38" s="962"/>
      <c r="Q38" s="962"/>
      <c r="R38" s="963"/>
      <c r="T38" s="99">
        <v>31</v>
      </c>
      <c r="U38" s="88" t="e">
        <v>#N/A</v>
      </c>
      <c r="V38" s="453" t="e">
        <v>#N/A</v>
      </c>
      <c r="W38" s="453" t="e">
        <v>#N/A</v>
      </c>
      <c r="X38" s="453" t="e">
        <v>#N/A</v>
      </c>
      <c r="Y38" s="453" t="e">
        <v>#N/A</v>
      </c>
      <c r="Z38" s="146" t="e">
        <v>#N/A</v>
      </c>
      <c r="AA38" s="146" t="e">
        <v>#N/A</v>
      </c>
      <c r="AB38" s="146" t="e">
        <v>#N/A</v>
      </c>
      <c r="AC38" s="453" t="e">
        <v>#N/A</v>
      </c>
      <c r="AD38" s="453" t="e">
        <v>#N/A</v>
      </c>
      <c r="AE38" s="453" t="e">
        <v>#N/A</v>
      </c>
      <c r="AF38" s="453" t="e">
        <v>#N/A</v>
      </c>
      <c r="AG38" s="453" t="e">
        <f t="shared" si="3"/>
        <v>#N/A</v>
      </c>
      <c r="AH38" s="453" t="str">
        <f t="shared" si="4"/>
        <v/>
      </c>
      <c r="AI38" s="138" t="e">
        <f>IF(NOT(OR(Z38=1,Z38=2)),IF(AQ38&gt;0,$AR$44*AQ38/SUMIF($AQ$8:$AQ$39,"&gt;0"),IF(AU38&gt;0,$AV$44*AU38/SUMIF($AU$8:$AU$39,"&gt;0"),IF(AS38&gt;0,$AT$44*AS38/SUMIF($AS$8:$AS$39,"&gt;0"),""))),IF(SUMIF(AJ39:$AJ$39,"=" &amp; AJ38,AI39:$AI$39)=0,"",SUMIF(AJ39:$AJ$39,"=" &amp; AJ38,AI39:$AI$39)))</f>
        <v>#N/A</v>
      </c>
      <c r="AJ38" s="139" t="e">
        <f t="shared" si="34"/>
        <v>#N/A</v>
      </c>
      <c r="AK38" s="453" t="str">
        <f t="shared" si="27"/>
        <v/>
      </c>
      <c r="AL38" s="146" t="str">
        <f t="shared" si="28"/>
        <v/>
      </c>
      <c r="AM38" s="146" t="str">
        <f t="shared" si="35"/>
        <v/>
      </c>
      <c r="AN38" s="146" t="str">
        <f>IF(ISNUMBER(AH38),IF(AND(AB38=0,ISNUMBER(AC38),ISNUMBER(AL38)),1,""),"")</f>
        <v/>
      </c>
      <c r="AO38" s="146" t="e">
        <f t="shared" si="6"/>
        <v>#N/A</v>
      </c>
      <c r="AP38" s="453" t="str">
        <f t="shared" si="7"/>
        <v/>
      </c>
      <c r="AQ38" s="140">
        <f t="shared" si="29"/>
        <v>0</v>
      </c>
      <c r="AR38" s="141" t="str">
        <f t="shared" si="8"/>
        <v/>
      </c>
      <c r="AS38" s="142">
        <f t="shared" si="30"/>
        <v>0</v>
      </c>
      <c r="AT38" s="141" t="str">
        <f t="shared" si="9"/>
        <v/>
      </c>
      <c r="AU38" s="143">
        <f t="shared" si="10"/>
        <v>0</v>
      </c>
      <c r="AV38" s="144" t="str">
        <f t="shared" si="11"/>
        <v/>
      </c>
      <c r="AW38" s="143" t="b">
        <f t="shared" si="12"/>
        <v>0</v>
      </c>
      <c r="AX38" s="145" t="b">
        <f t="shared" si="13"/>
        <v>0</v>
      </c>
      <c r="AY38" s="143" t="b">
        <f t="shared" si="14"/>
        <v>0</v>
      </c>
      <c r="AZ38" s="145" t="b">
        <f t="shared" si="15"/>
        <v>0</v>
      </c>
      <c r="BA38" s="453" t="b">
        <f t="shared" si="16"/>
        <v>0</v>
      </c>
      <c r="BB38" s="453" t="b">
        <f t="shared" si="17"/>
        <v>0</v>
      </c>
      <c r="BC38" s="143" t="b">
        <f t="shared" si="18"/>
        <v>0</v>
      </c>
      <c r="BD38" s="146" t="b">
        <f t="shared" si="31"/>
        <v>0</v>
      </c>
      <c r="BE38" s="145" t="b">
        <f t="shared" si="37"/>
        <v>0</v>
      </c>
      <c r="BF38" s="147" t="b">
        <f t="shared" si="39"/>
        <v>0</v>
      </c>
      <c r="BG38" s="453" t="str">
        <f t="shared" si="38"/>
        <v>NA</v>
      </c>
      <c r="BH38" s="453" t="str">
        <f t="shared" si="32"/>
        <v/>
      </c>
      <c r="BI38" s="453" t="str">
        <f t="shared" si="22"/>
        <v/>
      </c>
      <c r="BJ38" s="453" t="str">
        <f t="shared" si="23"/>
        <v/>
      </c>
      <c r="BK38" s="453" t="str">
        <f t="shared" si="24"/>
        <v/>
      </c>
      <c r="BL38" s="148" t="str">
        <f t="shared" si="33"/>
        <v/>
      </c>
      <c r="BM38" s="453" t="str">
        <f t="shared" si="25"/>
        <v/>
      </c>
      <c r="BN38" s="453" t="str">
        <f t="shared" si="26"/>
        <v/>
      </c>
      <c r="BO38" s="150" t="s">
        <v>373</v>
      </c>
      <c r="BP38" s="150"/>
      <c r="BQ38" s="150"/>
      <c r="BR38" s="150"/>
      <c r="BS38" s="150"/>
      <c r="BT38" s="150"/>
      <c r="BU38" s="150"/>
    </row>
    <row r="39" spans="2:73" s="94" customFormat="1" ht="12.95" customHeight="1" thickBot="1" x14ac:dyDescent="0.25">
      <c r="B39" s="151" t="str">
        <f>IF(ISNA(Z39),"",IF(OR(Z39=1,Z39=2),"    ",MAX($B$8:B38)+1))</f>
        <v/>
      </c>
      <c r="C39" s="904" t="str">
        <f t="shared" si="40"/>
        <v/>
      </c>
      <c r="D39" s="904"/>
      <c r="E39" s="904"/>
      <c r="F39" s="905"/>
      <c r="G39" s="171" t="str">
        <f t="shared" si="1"/>
        <v/>
      </c>
      <c r="H39" s="134" t="str">
        <f t="shared" si="2"/>
        <v/>
      </c>
      <c r="I39" s="172" t="str">
        <f t="shared" si="2"/>
        <v/>
      </c>
      <c r="J39" s="173" t="s">
        <v>340</v>
      </c>
      <c r="K39" s="174" t="s">
        <v>340</v>
      </c>
      <c r="L39" s="964"/>
      <c r="M39" s="965"/>
      <c r="N39" s="965"/>
      <c r="O39" s="965"/>
      <c r="P39" s="965"/>
      <c r="Q39" s="965"/>
      <c r="R39" s="966"/>
      <c r="T39" s="99">
        <v>32</v>
      </c>
      <c r="U39" s="88" t="e">
        <v>#N/A</v>
      </c>
      <c r="V39" s="453" t="e">
        <v>#N/A</v>
      </c>
      <c r="W39" s="453" t="e">
        <v>#N/A</v>
      </c>
      <c r="X39" s="453" t="e">
        <v>#N/A</v>
      </c>
      <c r="Y39" s="453" t="e">
        <v>#N/A</v>
      </c>
      <c r="Z39" s="146" t="e">
        <v>#N/A</v>
      </c>
      <c r="AA39" s="146" t="e">
        <v>#N/A</v>
      </c>
      <c r="AB39" s="146" t="e">
        <v>#N/A</v>
      </c>
      <c r="AC39" s="453" t="e">
        <v>#N/A</v>
      </c>
      <c r="AD39" s="453" t="e">
        <v>#N/A</v>
      </c>
      <c r="AE39" s="453" t="e">
        <v>#N/A</v>
      </c>
      <c r="AF39" s="453" t="e">
        <v>#N/A</v>
      </c>
      <c r="AG39" s="453" t="e">
        <f t="shared" si="3"/>
        <v>#N/A</v>
      </c>
      <c r="AH39" s="453" t="str">
        <f t="shared" si="4"/>
        <v/>
      </c>
      <c r="AI39" s="138" t="e">
        <f>IF(NOT(OR(Z39=1,Z39=2)),IF(AQ39&gt;0,$AR$44*AQ39/SUMIF($AQ$8:$AQ$39,"&gt;0"),IF(AU39&gt;0,$AV$44*AU39/SUMIF($AU$8:$AU$39,"&gt;0"),IF(AS39&gt;0,$AT$44*AS39/SUMIF($AS$8:$AS$39,"&gt;0"),""))),IF(SUMIF(AJ$39:$AJ40,"=" &amp; AJ39,AI$39:$AI40)=0,"",SUMIF(AJ$39:$AJ40,"=" &amp; AJ39,AI$39:$AI40)))</f>
        <v>#N/A</v>
      </c>
      <c r="AJ39" s="139" t="e">
        <f t="shared" si="34"/>
        <v>#N/A</v>
      </c>
      <c r="AK39" s="453" t="str">
        <f t="shared" si="27"/>
        <v/>
      </c>
      <c r="AL39" s="146" t="str">
        <f t="shared" si="28"/>
        <v/>
      </c>
      <c r="AM39" s="146" t="str">
        <f t="shared" si="35"/>
        <v/>
      </c>
      <c r="AN39" s="146" t="str">
        <f>IF(ISNUMBER(AH39),IF(AND(AB39=0,ISNUMBER(AC39),ISNUMBER(AL39)),1,""),"")</f>
        <v/>
      </c>
      <c r="AO39" s="146" t="e">
        <f t="shared" si="6"/>
        <v>#N/A</v>
      </c>
      <c r="AP39" s="453" t="str">
        <f t="shared" si="7"/>
        <v/>
      </c>
      <c r="AQ39" s="140">
        <f t="shared" si="29"/>
        <v>0</v>
      </c>
      <c r="AR39" s="141" t="str">
        <f t="shared" si="8"/>
        <v/>
      </c>
      <c r="AS39" s="142">
        <f t="shared" si="30"/>
        <v>0</v>
      </c>
      <c r="AT39" s="141" t="str">
        <f t="shared" si="9"/>
        <v/>
      </c>
      <c r="AU39" s="143">
        <f t="shared" si="10"/>
        <v>0</v>
      </c>
      <c r="AV39" s="144" t="str">
        <f t="shared" si="11"/>
        <v/>
      </c>
      <c r="AW39" s="143" t="b">
        <f t="shared" si="12"/>
        <v>0</v>
      </c>
      <c r="AX39" s="145" t="b">
        <f t="shared" si="13"/>
        <v>0</v>
      </c>
      <c r="AY39" s="143" t="b">
        <f t="shared" si="14"/>
        <v>0</v>
      </c>
      <c r="AZ39" s="145" t="b">
        <f t="shared" si="15"/>
        <v>0</v>
      </c>
      <c r="BA39" s="453" t="b">
        <f t="shared" si="16"/>
        <v>0</v>
      </c>
      <c r="BB39" s="453" t="b">
        <f t="shared" si="17"/>
        <v>0</v>
      </c>
      <c r="BC39" s="143" t="b">
        <f t="shared" si="18"/>
        <v>0</v>
      </c>
      <c r="BD39" s="146" t="b">
        <f t="shared" si="31"/>
        <v>0</v>
      </c>
      <c r="BE39" s="145" t="b">
        <f t="shared" si="37"/>
        <v>0</v>
      </c>
      <c r="BF39" s="147" t="b">
        <f t="shared" si="39"/>
        <v>0</v>
      </c>
      <c r="BG39" s="453" t="str">
        <f t="shared" si="38"/>
        <v>NA</v>
      </c>
      <c r="BH39" s="453" t="str">
        <f t="shared" si="32"/>
        <v/>
      </c>
      <c r="BI39" s="453" t="str">
        <f t="shared" si="22"/>
        <v/>
      </c>
      <c r="BJ39" s="453" t="str">
        <f t="shared" si="23"/>
        <v/>
      </c>
      <c r="BK39" s="453" t="str">
        <f t="shared" si="24"/>
        <v/>
      </c>
      <c r="BL39" s="453" t="str">
        <f t="shared" si="33"/>
        <v/>
      </c>
      <c r="BM39" s="453" t="str">
        <f t="shared" si="25"/>
        <v/>
      </c>
      <c r="BN39" s="453" t="str">
        <f t="shared" si="26"/>
        <v/>
      </c>
      <c r="BO39" s="906"/>
      <c r="BP39" s="907"/>
      <c r="BQ39" s="907"/>
      <c r="BR39" s="907"/>
      <c r="BS39" s="907"/>
      <c r="BT39" s="907"/>
      <c r="BU39" s="908"/>
    </row>
    <row r="40" spans="2:73" s="91" customFormat="1" ht="8.25" customHeight="1" x14ac:dyDescent="0.2">
      <c r="B40" s="915" t="s">
        <v>374</v>
      </c>
      <c r="C40" s="916"/>
      <c r="D40" s="917"/>
      <c r="E40" s="452" t="s">
        <v>375</v>
      </c>
      <c r="F40" s="918" t="s">
        <v>376</v>
      </c>
      <c r="G40" s="919"/>
      <c r="H40" s="919" t="s">
        <v>377</v>
      </c>
      <c r="I40" s="919"/>
      <c r="J40" s="920" t="s">
        <v>378</v>
      </c>
      <c r="K40" s="921"/>
      <c r="L40" s="175" t="s">
        <v>379</v>
      </c>
      <c r="M40" s="922" t="s">
        <v>380</v>
      </c>
      <c r="N40" s="922"/>
      <c r="O40" s="923" t="str">
        <f>IF(U44,"DO REVIEW","DO REV N/A")</f>
        <v>DO REVIEW</v>
      </c>
      <c r="P40" s="924"/>
      <c r="Q40" s="176" t="str">
        <f>IF(U45,"ED REVIEW","ED REV N/A")</f>
        <v>ED REV N/A</v>
      </c>
      <c r="R40" s="177"/>
      <c r="S40" s="178">
        <v>0</v>
      </c>
      <c r="AI40" s="179"/>
      <c r="AJ40" s="92"/>
      <c r="AK40" s="92"/>
      <c r="AL40" s="92"/>
      <c r="AM40" s="92"/>
      <c r="AN40" s="92"/>
      <c r="AO40" s="88"/>
      <c r="AP40" s="92"/>
      <c r="AQ40" s="180"/>
      <c r="AR40" s="92"/>
      <c r="AS40" s="180"/>
      <c r="AT40" s="92"/>
      <c r="AU40" s="180"/>
      <c r="AV40" s="181"/>
      <c r="AW40" s="92"/>
      <c r="AX40" s="92"/>
      <c r="AY40" s="92"/>
      <c r="AZ40" s="92"/>
      <c r="BA40" s="92"/>
      <c r="BB40" s="92"/>
      <c r="BC40" s="92"/>
      <c r="BD40" s="92"/>
      <c r="BE40" s="92"/>
      <c r="BF40" s="92"/>
      <c r="BG40" s="92"/>
      <c r="BH40" s="88"/>
      <c r="BI40" s="88"/>
      <c r="BJ40" s="88"/>
      <c r="BK40" s="88"/>
      <c r="BL40" s="88"/>
      <c r="BM40" s="88"/>
      <c r="BN40" s="88"/>
      <c r="BO40" s="909"/>
      <c r="BP40" s="910"/>
      <c r="BQ40" s="910"/>
      <c r="BR40" s="910"/>
      <c r="BS40" s="910"/>
      <c r="BT40" s="910"/>
      <c r="BU40" s="911"/>
    </row>
    <row r="41" spans="2:73" ht="18.75" customHeight="1" thickBot="1" x14ac:dyDescent="0.25">
      <c r="B41" s="925" t="str">
        <f>IF(ISERROR(AR46),"",TEXT(AR45,"0.0%"))</f>
        <v>84.0%</v>
      </c>
      <c r="C41" s="926"/>
      <c r="D41" s="927"/>
      <c r="E41" s="182" t="str">
        <f>IF(AU41=0,"N/A",CONCATENATE(TEXT(AV45,"0.0%")," of ",TEXT(AV44,"0.0%")))</f>
        <v>N/A</v>
      </c>
      <c r="F41" s="929" t="str">
        <f>IF((graded_aca_events+graded_amn_events)&lt;1,"---",IF(AND(AW4,AX4),"INCOMPLETE",IF(AND(NOT(AW4),AX4),"ACA INC",IF(AND(AW4,NOT(AX4)),"AMN INC","COMPLETE"))))</f>
        <v>COMPLETE</v>
      </c>
      <c r="G41" s="929"/>
      <c r="H41" s="929" t="str">
        <f>IF(AU4,IF(OR(AY4="UNK",NOT(AN6)),"---",IF(AY4,"UNSAT",IF(AVERAGEIFS(AT8:AT39,AS8:AS39,"&gt;0")&lt;0.9,"MARG","SAT"))),"N/A")</f>
        <v>MARG</v>
      </c>
      <c r="I41" s="929"/>
      <c r="J41" s="930" t="str">
        <f>IF(OR(AZ4="UNK",NOT(AM6)),"---",IF(OR(AZ4,AR45&lt;0.7),"FAIL","PASS"))</f>
        <v>PASS</v>
      </c>
      <c r="K41" s="931"/>
      <c r="L41" s="868" t="s">
        <v>1053</v>
      </c>
      <c r="M41" s="932"/>
      <c r="N41" s="932"/>
      <c r="O41" s="933" t="s">
        <v>265</v>
      </c>
      <c r="P41" s="933"/>
      <c r="Q41" s="933" t="s">
        <v>265</v>
      </c>
      <c r="R41" s="934"/>
      <c r="S41" s="183"/>
      <c r="T41" s="99" t="s">
        <v>381</v>
      </c>
      <c r="U41" s="146" t="s">
        <v>382</v>
      </c>
      <c r="V41" s="184"/>
      <c r="W41" s="184"/>
      <c r="X41" s="184"/>
      <c r="Y41" s="184"/>
      <c r="Z41" s="184"/>
      <c r="AA41" s="184"/>
      <c r="AB41" s="184"/>
      <c r="AC41" s="184"/>
      <c r="AD41" s="184"/>
      <c r="AE41" s="184"/>
      <c r="AF41" s="184"/>
      <c r="AG41" s="184"/>
      <c r="AH41" s="184"/>
      <c r="AI41" s="86"/>
      <c r="AJ41" s="85"/>
      <c r="AK41" s="184"/>
      <c r="AL41" s="184"/>
      <c r="AM41" s="184">
        <f>SUM(AM8:AM39)</f>
        <v>21</v>
      </c>
      <c r="AN41" s="184">
        <f>SUM(AN8:AN39)</f>
        <v>5</v>
      </c>
      <c r="AO41" s="99"/>
      <c r="AP41" s="85"/>
      <c r="AQ41" s="185">
        <f>SUMIF(AQ8:AQ39,"&gt;0")</f>
        <v>90</v>
      </c>
      <c r="AR41" s="186">
        <f>IF(AQ41=0,0,SUMPRODUCT($AQ$8:$AQ$39,AR8:AR39)/SUM($AQ$8:$AQ$39))</f>
        <v>0.84222222222222221</v>
      </c>
      <c r="AS41" s="187">
        <f>SUMIF(AS8:AS39,"&gt;0")</f>
        <v>10</v>
      </c>
      <c r="AT41" s="186">
        <f>IF(AS41=0,0,SUMPRODUCT($AS$8:$AS$39,AT8:AT39)/SUM($AS$8:$AS$39))</f>
        <v>0.82</v>
      </c>
      <c r="AU41" s="187">
        <f>SUM(AU9:AU39)</f>
        <v>0</v>
      </c>
      <c r="AV41" s="186">
        <f>IF(AU41=0,0,SUMPRODUCT($AU$8:$AU$39,AV8:AV39)/SUM($AU$8:$AU$39))</f>
        <v>0</v>
      </c>
      <c r="AW41" s="188"/>
      <c r="AX41" s="188"/>
      <c r="AY41" s="188"/>
      <c r="AZ41" s="188"/>
      <c r="BA41" s="188"/>
      <c r="BB41" s="188"/>
      <c r="BC41" s="88" t="s">
        <v>383</v>
      </c>
      <c r="BD41" s="88" t="s">
        <v>384</v>
      </c>
      <c r="BE41" s="88" t="s">
        <v>385</v>
      </c>
      <c r="BO41" s="909"/>
      <c r="BP41" s="910"/>
      <c r="BQ41" s="910"/>
      <c r="BR41" s="910"/>
      <c r="BS41" s="910"/>
      <c r="BT41" s="910"/>
      <c r="BU41" s="911"/>
    </row>
    <row r="42" spans="2:73" ht="7.5" customHeight="1" thickTop="1" x14ac:dyDescent="0.2">
      <c r="L42" s="928" t="s">
        <v>670</v>
      </c>
      <c r="M42" s="928"/>
      <c r="N42" s="928"/>
      <c r="O42" s="928"/>
      <c r="P42" s="928"/>
      <c r="Q42" s="928"/>
      <c r="R42" s="928"/>
      <c r="AP42" s="184"/>
      <c r="AQ42" s="85"/>
      <c r="AR42" s="85"/>
      <c r="AT42" s="186"/>
      <c r="AU42" s="186"/>
      <c r="AV42" s="186"/>
      <c r="AW42" s="85"/>
      <c r="AX42" s="186"/>
      <c r="BO42" s="912"/>
      <c r="BP42" s="913"/>
      <c r="BQ42" s="913"/>
      <c r="BR42" s="913"/>
      <c r="BS42" s="913"/>
      <c r="BT42" s="913"/>
      <c r="BU42" s="914"/>
    </row>
    <row r="43" spans="2:73" ht="30.75" customHeight="1" x14ac:dyDescent="0.2">
      <c r="T43" s="189" t="s">
        <v>386</v>
      </c>
      <c r="U43" s="146" t="b">
        <v>0</v>
      </c>
      <c r="AI43" s="89">
        <f ca="1">SUMIF(AJ8:$AJ$39,"=" &amp; AJ8,AI9:$AI$39)</f>
        <v>0.1</v>
      </c>
      <c r="AO43" s="190"/>
      <c r="AS43" s="118" t="s">
        <v>387</v>
      </c>
      <c r="AT43" s="191">
        <f>SUMIF(X8:X39,"&gt;0")/SUMIF(W8:W39,"&gt;0")</f>
        <v>0.1111111111111111</v>
      </c>
      <c r="AU43" s="118" t="s">
        <v>388</v>
      </c>
      <c r="AV43" s="192">
        <f>SUMIF(AU8:AU39,"&gt;0")/SUMIF(AQ8:AQ39,"&gt;0")</f>
        <v>0</v>
      </c>
      <c r="AW43" s="193"/>
      <c r="BE43" s="88" t="b">
        <f>AND(ISBLANK($K30),J30&gt;0)</f>
        <v>0</v>
      </c>
      <c r="BO43" s="88"/>
      <c r="BP43" s="88"/>
      <c r="BQ43" s="90"/>
    </row>
    <row r="44" spans="2:73" ht="30.75" customHeight="1" x14ac:dyDescent="0.2">
      <c r="J44" s="194"/>
      <c r="T44" s="195" t="s">
        <v>389</v>
      </c>
      <c r="U44" s="88" t="b">
        <f>IF(AND(Flight?,OR(AW4,AY4,BA4,AZ4,AR45&lt;0.7,H41="MARG")),TRUE,FALSE)</f>
        <v>1</v>
      </c>
      <c r="AO44" s="196"/>
      <c r="AQ44" s="118" t="s">
        <v>390</v>
      </c>
      <c r="AR44" s="191">
        <f>1-AT44</f>
        <v>0.9</v>
      </c>
      <c r="AS44" s="118" t="s">
        <v>391</v>
      </c>
      <c r="AT44" s="191">
        <f>MIN(AT43,AT6)</f>
        <v>0.1</v>
      </c>
      <c r="AU44" s="118" t="s">
        <v>392</v>
      </c>
      <c r="AV44" s="89">
        <f>MIN(AV43,AV6)</f>
        <v>0</v>
      </c>
      <c r="BO44" s="88"/>
      <c r="BP44" s="88"/>
      <c r="BQ44" s="90"/>
    </row>
    <row r="45" spans="2:73" ht="25.5" x14ac:dyDescent="0.2">
      <c r="T45" s="195" t="s">
        <v>393</v>
      </c>
      <c r="U45" s="88" t="b">
        <f>IF(OR(AX4,AY4,AZ4,BB4,AR45&lt;0.7),TRUE,FALSE)</f>
        <v>0</v>
      </c>
      <c r="AO45" s="197"/>
      <c r="AQ45" s="118" t="s">
        <v>394</v>
      </c>
      <c r="AR45" s="89">
        <f>AR41*(1-AT44)+(AT41*AT44)</f>
        <v>0.84</v>
      </c>
      <c r="AU45" s="88" t="s">
        <v>324</v>
      </c>
      <c r="AV45" s="89">
        <f>AV41*AV44</f>
        <v>0</v>
      </c>
      <c r="BO45" s="88"/>
      <c r="BP45" s="88"/>
      <c r="BQ45" s="90"/>
    </row>
    <row r="46" spans="2:73" ht="25.5" x14ac:dyDescent="0.2">
      <c r="T46" s="195" t="s">
        <v>395</v>
      </c>
      <c r="U46" s="88" t="b">
        <v>0</v>
      </c>
      <c r="AO46" s="197"/>
      <c r="AQ46" s="118" t="s">
        <v>396</v>
      </c>
      <c r="AR46" s="89">
        <f>MIN(1,IF(NOT(OR(AY4,AZ4)),AR45+AV45,MIN(0.69,AR45+AV45)))</f>
        <v>0.84</v>
      </c>
      <c r="BO46" s="88"/>
      <c r="BP46" s="88"/>
      <c r="BQ46" s="90"/>
    </row>
    <row r="47" spans="2:73" x14ac:dyDescent="0.2">
      <c r="T47" s="195" t="s">
        <v>397</v>
      </c>
      <c r="U47" s="88" t="b">
        <f>IF(NOT(Flight?),TRUE,NOT(OR(ISBLANK(comments),ISBLANK(hdr_class),ISBLANK(hdr_date),ISBLANK(hdr_stud),ISBLANK(hdr_instr),ISBLANK(hdr_acft),ISBLANK(hdr_time),F41="---")))</f>
        <v>1</v>
      </c>
      <c r="AO47" s="197"/>
      <c r="AR47" s="118"/>
      <c r="AS47" s="89"/>
    </row>
    <row r="48" spans="2:73" x14ac:dyDescent="0.2">
      <c r="T48" s="195" t="s">
        <v>398</v>
      </c>
      <c r="U48" s="88" t="b">
        <f>IF(Flight?,TRUE,NOT(OR(ISBLANK(comments),ISBLANK(hdr_class),ISBLANK(hdr_date),ISBLANK(hdr_stud),ISBLANK(hdr_instr),F41="---")))</f>
        <v>1</v>
      </c>
      <c r="AO48" s="196"/>
      <c r="AP48" s="85" t="s">
        <v>399</v>
      </c>
      <c r="AQ48" s="85"/>
      <c r="AR48" s="85"/>
      <c r="AS48" s="85"/>
      <c r="AT48" s="85"/>
    </row>
    <row r="49" spans="20:50" x14ac:dyDescent="0.2">
      <c r="T49" s="195" t="s">
        <v>400</v>
      </c>
      <c r="U49" s="88" t="b">
        <f>AND(U47:U48)</f>
        <v>1</v>
      </c>
      <c r="AO49" s="196"/>
      <c r="AP49" s="85"/>
      <c r="AQ49" s="85"/>
      <c r="AR49" s="85">
        <v>0</v>
      </c>
      <c r="AS49" s="85">
        <v>1</v>
      </c>
      <c r="AT49" s="85">
        <v>2</v>
      </c>
      <c r="AU49" s="85">
        <v>3</v>
      </c>
      <c r="AV49" s="85">
        <v>4</v>
      </c>
    </row>
    <row r="50" spans="20:50" x14ac:dyDescent="0.2">
      <c r="AO50" s="196"/>
      <c r="AP50" s="85" t="s">
        <v>359</v>
      </c>
      <c r="AQ50" s="85">
        <v>1</v>
      </c>
      <c r="AR50" s="198">
        <v>0.7</v>
      </c>
      <c r="AS50" s="198">
        <v>0.9</v>
      </c>
      <c r="AT50" s="198">
        <v>0.93330000000000002</v>
      </c>
      <c r="AU50" s="198">
        <v>0.9667</v>
      </c>
      <c r="AV50" s="198">
        <v>1</v>
      </c>
    </row>
    <row r="51" spans="20:50" x14ac:dyDescent="0.2">
      <c r="AO51" s="196"/>
      <c r="AP51" s="85" t="s">
        <v>360</v>
      </c>
      <c r="AQ51" s="85">
        <v>2</v>
      </c>
      <c r="AR51" s="198">
        <v>0.7</v>
      </c>
      <c r="AS51" s="198">
        <v>0.8</v>
      </c>
      <c r="AT51" s="198">
        <v>0.9</v>
      </c>
      <c r="AU51" s="198">
        <v>0.95</v>
      </c>
      <c r="AV51" s="198">
        <v>1</v>
      </c>
    </row>
    <row r="52" spans="20:50" x14ac:dyDescent="0.2">
      <c r="AO52" s="196"/>
      <c r="AP52" s="85" t="s">
        <v>361</v>
      </c>
      <c r="AQ52" s="85">
        <v>3</v>
      </c>
      <c r="AR52" s="198">
        <v>0.7</v>
      </c>
      <c r="AS52" s="198">
        <v>0.76670000000000005</v>
      </c>
      <c r="AT52" s="198">
        <v>0.83330000000000004</v>
      </c>
      <c r="AU52" s="198">
        <v>0.9</v>
      </c>
      <c r="AV52" s="198">
        <v>1</v>
      </c>
    </row>
    <row r="53" spans="20:50" x14ac:dyDescent="0.2">
      <c r="AP53" s="199" t="s">
        <v>362</v>
      </c>
      <c r="AQ53" s="85">
        <v>11</v>
      </c>
      <c r="AR53" s="198">
        <v>0.6</v>
      </c>
      <c r="AS53" s="198">
        <v>0.9</v>
      </c>
      <c r="AT53" s="198">
        <v>0.93330000000000002</v>
      </c>
      <c r="AU53" s="198">
        <v>0.9667</v>
      </c>
      <c r="AV53" s="198">
        <v>1</v>
      </c>
    </row>
    <row r="54" spans="20:50" x14ac:dyDescent="0.2">
      <c r="AP54" s="199" t="s">
        <v>363</v>
      </c>
      <c r="AQ54" s="85">
        <v>12</v>
      </c>
      <c r="AR54" s="198">
        <v>0.6</v>
      </c>
      <c r="AS54" s="198">
        <v>0.7</v>
      </c>
      <c r="AT54" s="198">
        <v>0.9</v>
      </c>
      <c r="AU54" s="198">
        <v>0.95</v>
      </c>
      <c r="AV54" s="198">
        <v>1</v>
      </c>
    </row>
    <row r="55" spans="20:50" x14ac:dyDescent="0.2">
      <c r="AP55" s="199" t="s">
        <v>364</v>
      </c>
      <c r="AQ55" s="85">
        <v>13</v>
      </c>
      <c r="AR55" s="198">
        <v>0.6</v>
      </c>
      <c r="AS55" s="198">
        <v>0.7</v>
      </c>
      <c r="AT55" s="198">
        <v>0.8</v>
      </c>
      <c r="AU55" s="198">
        <v>0.9</v>
      </c>
      <c r="AV55" s="198">
        <v>1</v>
      </c>
    </row>
    <row r="56" spans="20:50" x14ac:dyDescent="0.2">
      <c r="AP56" s="199" t="s">
        <v>365</v>
      </c>
      <c r="AQ56" s="85">
        <v>22</v>
      </c>
      <c r="AR56" s="198">
        <v>0.3</v>
      </c>
      <c r="AS56" s="198">
        <v>0.6</v>
      </c>
      <c r="AT56" s="198">
        <v>0.9</v>
      </c>
      <c r="AU56" s="198">
        <v>0.95</v>
      </c>
      <c r="AV56" s="198">
        <v>1</v>
      </c>
    </row>
    <row r="57" spans="20:50" x14ac:dyDescent="0.2">
      <c r="AP57" s="199" t="s">
        <v>366</v>
      </c>
      <c r="AQ57" s="85">
        <v>23</v>
      </c>
      <c r="AR57" s="198">
        <v>0.3</v>
      </c>
      <c r="AS57" s="198">
        <v>0.6</v>
      </c>
      <c r="AT57" s="198">
        <v>0.7</v>
      </c>
      <c r="AU57" s="198">
        <v>0.9</v>
      </c>
      <c r="AV57" s="198">
        <v>1</v>
      </c>
    </row>
    <row r="58" spans="20:50" x14ac:dyDescent="0.2">
      <c r="AP58" s="199" t="s">
        <v>367</v>
      </c>
      <c r="AQ58" s="85">
        <v>33</v>
      </c>
      <c r="AR58" s="198">
        <v>0</v>
      </c>
      <c r="AS58" s="198">
        <v>0.3</v>
      </c>
      <c r="AT58" s="198">
        <v>0.6</v>
      </c>
      <c r="AU58" s="198">
        <v>0.9</v>
      </c>
      <c r="AV58" s="198">
        <v>1</v>
      </c>
      <c r="AW58" s="85"/>
    </row>
    <row r="60" spans="20:50" x14ac:dyDescent="0.2">
      <c r="AQ60" s="85"/>
      <c r="AW60" s="85"/>
      <c r="AX60" s="85"/>
    </row>
    <row r="61" spans="20:50" x14ac:dyDescent="0.2">
      <c r="AP61" s="200"/>
      <c r="AQ61" s="85"/>
      <c r="AW61" s="85"/>
      <c r="AX61" s="85"/>
    </row>
    <row r="62" spans="20:50" x14ac:dyDescent="0.2">
      <c r="AP62" s="85"/>
      <c r="AQ62" s="85"/>
      <c r="AW62" s="85"/>
      <c r="AX62" s="85"/>
    </row>
    <row r="63" spans="20:50" x14ac:dyDescent="0.2">
      <c r="AP63" s="85"/>
      <c r="AQ63" s="85"/>
      <c r="AW63" s="85"/>
    </row>
    <row r="64" spans="20:50" x14ac:dyDescent="0.2">
      <c r="AP64" s="85"/>
      <c r="AQ64" s="85"/>
      <c r="AW64" s="85"/>
    </row>
    <row r="65" spans="42:43" x14ac:dyDescent="0.2">
      <c r="AP65" s="85"/>
      <c r="AQ65" s="85"/>
    </row>
    <row r="66" spans="42:43" x14ac:dyDescent="0.2">
      <c r="AP66" s="85"/>
      <c r="AQ66" s="85"/>
    </row>
  </sheetData>
  <sheetProtection algorithmName="SHA-512" hashValue="eLm2V3t+LSE8CDW6+SoJ0nIGzuvTY8bNCWYUuS8yHAmtnHVySIUir8LLuMkyWu/Tq1rkstHhY10VEkPWFJmQBw==" saltValue="3zFZLmgmhRt0Gjhnsu5mGA==" spinCount="100000" sheet="1" objects="1" scenarios="1"/>
  <mergeCells count="76">
    <mergeCell ref="B3:G3"/>
    <mergeCell ref="H3:N3"/>
    <mergeCell ref="O3:P3"/>
    <mergeCell ref="Q3:R3"/>
    <mergeCell ref="BP3:BU4"/>
    <mergeCell ref="BL4:BN6"/>
    <mergeCell ref="B5:E5"/>
    <mergeCell ref="F5:G5"/>
    <mergeCell ref="H5:L5"/>
    <mergeCell ref="M5:N5"/>
    <mergeCell ref="O5:P5"/>
    <mergeCell ref="Q5:R5"/>
    <mergeCell ref="B6:E6"/>
    <mergeCell ref="F6:G6"/>
    <mergeCell ref="H6:L6"/>
    <mergeCell ref="B4:G4"/>
    <mergeCell ref="H4:N4"/>
    <mergeCell ref="O4:P4"/>
    <mergeCell ref="Q4:R4"/>
    <mergeCell ref="BH4:BK6"/>
    <mergeCell ref="C17:F17"/>
    <mergeCell ref="M6:N6"/>
    <mergeCell ref="O6:P6"/>
    <mergeCell ref="Q6:R6"/>
    <mergeCell ref="B7:F7"/>
    <mergeCell ref="L7:R7"/>
    <mergeCell ref="C8:F8"/>
    <mergeCell ref="L8:R39"/>
    <mergeCell ref="C9:F9"/>
    <mergeCell ref="C10:F10"/>
    <mergeCell ref="C11:F11"/>
    <mergeCell ref="C12:F12"/>
    <mergeCell ref="C32:F32"/>
    <mergeCell ref="C33:F33"/>
    <mergeCell ref="C34:F34"/>
    <mergeCell ref="C13:F13"/>
    <mergeCell ref="C14:F14"/>
    <mergeCell ref="C15:F15"/>
    <mergeCell ref="C16:F16"/>
    <mergeCell ref="C31:F31"/>
    <mergeCell ref="C18:F18"/>
    <mergeCell ref="C19:F19"/>
    <mergeCell ref="C30:F30"/>
    <mergeCell ref="BQ19:BU19"/>
    <mergeCell ref="C20:F20"/>
    <mergeCell ref="C21:F21"/>
    <mergeCell ref="BO21:BO29"/>
    <mergeCell ref="C22:F22"/>
    <mergeCell ref="C23:F23"/>
    <mergeCell ref="C24:F24"/>
    <mergeCell ref="C25:F25"/>
    <mergeCell ref="C26:F26"/>
    <mergeCell ref="C27:F27"/>
    <mergeCell ref="C28:F28"/>
    <mergeCell ref="C29:F29"/>
    <mergeCell ref="BO34:BU37"/>
    <mergeCell ref="C35:F35"/>
    <mergeCell ref="C36:F36"/>
    <mergeCell ref="C37:F37"/>
    <mergeCell ref="C38:F38"/>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s>
  <conditionalFormatting sqref="B8:F39">
    <cfRule type="expression" dxfId="102" priority="8" stopIfTrue="1">
      <formula>IF($Z8=1,TRUE,FALSE)</formula>
    </cfRule>
    <cfRule type="expression" dxfId="101" priority="9">
      <formula>IF($Z8=2,TRUE,FALSE)</formula>
    </cfRule>
  </conditionalFormatting>
  <conditionalFormatting sqref="C8:F39">
    <cfRule type="expression" dxfId="100" priority="1" stopIfTrue="1">
      <formula>IF($AF8=FALSE,TRUE,FALSE)</formula>
    </cfRule>
  </conditionalFormatting>
  <conditionalFormatting sqref="F5:G6 M5:P6">
    <cfRule type="expression" dxfId="99" priority="4" stopIfTrue="1">
      <formula>NOT($AU$4)</formula>
    </cfRule>
  </conditionalFormatting>
  <conditionalFormatting sqref="F6:G6">
    <cfRule type="cellIs" dxfId="98" priority="3" operator="equal">
      <formula>""</formula>
    </cfRule>
  </conditionalFormatting>
  <conditionalFormatting sqref="G8:K39">
    <cfRule type="expression" dxfId="97" priority="6" stopIfTrue="1">
      <formula>IF($Z8=1,TRUE,FALSE)</formula>
    </cfRule>
    <cfRule type="expression" dxfId="96" priority="7" stopIfTrue="1">
      <formula>IF($Z8=2,TRUE,FALSE)</formula>
    </cfRule>
  </conditionalFormatting>
  <conditionalFormatting sqref="H8:H39">
    <cfRule type="expression" dxfId="95" priority="10" stopIfTrue="1">
      <formula>IF($AB8=0,TRUE,FALSE)</formula>
    </cfRule>
  </conditionalFormatting>
  <conditionalFormatting sqref="H40:I41">
    <cfRule type="expression" dxfId="94" priority="2" stopIfTrue="1">
      <formula>IF($H$41="N/A",TRUE,FALSE)</formula>
    </cfRule>
  </conditionalFormatting>
  <conditionalFormatting sqref="H6:P6 O4:R4 B6 L8 L41 O41:R41">
    <cfRule type="containsBlanks" dxfId="93" priority="5">
      <formula>LEN(TRIM(B4))=0</formula>
    </cfRule>
  </conditionalFormatting>
  <conditionalFormatting sqref="J8:J39">
    <cfRule type="expression" dxfId="92" priority="14">
      <formula>IF($Z8=1,FALSE,OR($BE8,$BD8))</formula>
    </cfRule>
  </conditionalFormatting>
  <conditionalFormatting sqref="J8:K39 C8:F39">
    <cfRule type="expression" dxfId="91" priority="13">
      <formula>IF($Z8=1,FALSE,OR($AW8,$AX8,$AY8,$AZ8))</formula>
    </cfRule>
  </conditionalFormatting>
  <conditionalFormatting sqref="J8:K39">
    <cfRule type="expression" dxfId="90" priority="11" stopIfTrue="1">
      <formula>IF(ISNA($Z8),TRUE,FALSE)</formula>
    </cfRule>
  </conditionalFormatting>
  <conditionalFormatting sqref="K8:K39">
    <cfRule type="expression" dxfId="89" priority="12">
      <formula>IF(OR($Z8=1,$Z8=2),FALSE,OR($BC8,$BE8,$BF8))</formula>
    </cfRule>
  </conditionalFormatting>
  <dataValidations count="6">
    <dataValidation type="list" allowBlank="1" showInputMessage="1" showErrorMessage="1" sqref="F6:G6" xr:uid="{EAE29AA2-C98A-43F3-8D50-939C9B97430F}">
      <formula1>"No,Yes"</formula1>
    </dataValidation>
    <dataValidation type="list" allowBlank="1" showInputMessage="1" showErrorMessage="1" sqref="J8:J39" xr:uid="{AE223B1D-3C49-471A-B365-B9C4D2D63AE9}">
      <formula1>"NA,0,1,2,3,4,5,6,7,8,9,10,11,12,13,14,15"</formula1>
    </dataValidation>
    <dataValidation type="list" allowBlank="1" showInputMessage="1" showErrorMessage="1" sqref="K8:K39" xr:uid="{CB31EAB3-7FF4-4B70-86C5-A9DFFBC09644}">
      <formula1>"D,0,1,2,3,4"</formula1>
    </dataValidation>
    <dataValidation showInputMessage="1" showErrorMessage="1" sqref="O41:R41" xr:uid="{4CE27FBB-506A-4388-9539-82AD65EA280B}"/>
    <dataValidation type="decimal" allowBlank="1" showInputMessage="1" showErrorMessage="1" sqref="O6:P6" xr:uid="{5E6B18CC-5367-4EAF-BDA1-C83B40E74646}">
      <formula1>0</formula1>
      <formula2>10</formula2>
    </dataValidation>
    <dataValidation type="date" allowBlank="1" showInputMessage="1" showErrorMessage="1" sqref="Q4:R4" xr:uid="{558AFA77-0B96-4396-A841-41861F8F7D54}">
      <formula1>41151</formula1>
      <formula2>77433</formula2>
    </dataValidation>
  </dataValidations>
  <hyperlinks>
    <hyperlink ref="BP3" location="PF!A1" display="PF phase Summary Page" xr:uid="{E472BC7E-99C5-4CEC-9FBA-CC0D394DB907}"/>
    <hyperlink ref="BP3:BU4" location="TF!A1" display="TF Summary Page" xr:uid="{5E39A099-FBF6-44DB-8FBA-CB9614BD721D}"/>
  </hyperlinks>
  <pageMargins left="0.5" right="0.5" top="0.75" bottom="0.5" header="0.5" footer="0.5"/>
  <pageSetup orientation="landscape" verticalDpi="599" r:id="rId1"/>
  <headerFooter alignWithMargins="0"/>
  <drawing r:id="rId2"/>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435A4-3C43-4784-B855-78481D1F15BC}">
  <sheetPr>
    <tabColor rgb="FFFFFF00"/>
    <pageSetUpPr autoPageBreaks="0"/>
  </sheetPr>
  <dimension ref="A1:AVW67"/>
  <sheetViews>
    <sheetView showGridLines="0" showRowColHeaders="0" topLeftCell="A3" zoomScaleNormal="100" workbookViewId="0">
      <selection activeCell="L9" sqref="L9:R40"/>
    </sheetView>
  </sheetViews>
  <sheetFormatPr defaultColWidth="9.140625" defaultRowHeight="15" x14ac:dyDescent="0.25"/>
  <cols>
    <col min="1" max="1" width="1.5703125" style="714" customWidth="1"/>
    <col min="2" max="2" width="3.5703125" style="714" customWidth="1"/>
    <col min="3" max="3" width="5.5703125" style="715" customWidth="1"/>
    <col min="4" max="4" width="9.140625" style="715"/>
    <col min="5" max="5" width="14" style="715" customWidth="1"/>
    <col min="6" max="6" width="7.85546875" style="715" customWidth="1"/>
    <col min="7" max="11" width="5.140625" style="715" customWidth="1"/>
    <col min="12" max="12" width="21.5703125" style="715" customWidth="1"/>
    <col min="13" max="13" width="6.5703125" style="715" customWidth="1"/>
    <col min="14" max="14" width="12.5703125" style="715" customWidth="1"/>
    <col min="15" max="15" width="7.85546875" style="715" customWidth="1"/>
    <col min="16" max="16" width="2.7109375" style="715" customWidth="1"/>
    <col min="17" max="17" width="4.85546875" style="715" customWidth="1"/>
    <col min="18" max="18" width="7.28515625" style="715" customWidth="1"/>
    <col min="19" max="19" width="1.7109375" style="715" customWidth="1"/>
    <col min="20" max="20" width="19.140625" style="716" hidden="1" customWidth="1"/>
    <col min="21" max="21" width="31.140625" style="716" hidden="1" customWidth="1"/>
    <col min="22" max="22" width="5.140625" style="716" hidden="1" customWidth="1"/>
    <col min="23" max="24" width="6.28515625" style="716" hidden="1" customWidth="1"/>
    <col min="25" max="25" width="8.42578125" style="716" hidden="1" customWidth="1"/>
    <col min="26" max="26" width="7.85546875" style="716" hidden="1" customWidth="1"/>
    <col min="27" max="27" width="10.7109375" style="716" hidden="1" customWidth="1"/>
    <col min="28" max="28" width="8" style="716" hidden="1" customWidth="1"/>
    <col min="29" max="31" width="5.140625" style="716" hidden="1" customWidth="1"/>
    <col min="32" max="34" width="5.85546875" style="716" hidden="1" customWidth="1"/>
    <col min="35" max="35" width="8.5703125" style="717" hidden="1" customWidth="1"/>
    <col min="36" max="36" width="7" style="716" hidden="1" customWidth="1"/>
    <col min="37" max="38" width="5.28515625" style="716" hidden="1" customWidth="1"/>
    <col min="39" max="40" width="7" style="716" hidden="1" customWidth="1"/>
    <col min="41" max="41" width="5.140625" style="716" hidden="1" customWidth="1"/>
    <col min="42" max="42" width="11.28515625" style="716" hidden="1" customWidth="1"/>
    <col min="43" max="43" width="6.42578125" style="716" hidden="1" customWidth="1"/>
    <col min="44" max="44" width="8.28515625" style="716" hidden="1" customWidth="1"/>
    <col min="45" max="45" width="8.85546875" style="716" hidden="1" customWidth="1"/>
    <col min="46" max="46" width="10.7109375" style="716" hidden="1" customWidth="1"/>
    <col min="47" max="47" width="8.85546875" style="716" hidden="1" customWidth="1"/>
    <col min="48" max="48" width="6.28515625" style="716" hidden="1" customWidth="1"/>
    <col min="49" max="49" width="10" style="716" hidden="1" customWidth="1"/>
    <col min="50" max="50" width="7.5703125" style="716" hidden="1" customWidth="1"/>
    <col min="51" max="51" width="7" style="716" hidden="1" customWidth="1"/>
    <col min="52" max="52" width="8.140625" style="716" hidden="1" customWidth="1"/>
    <col min="53" max="53" width="12.5703125" style="716" hidden="1" customWidth="1"/>
    <col min="54" max="54" width="7.7109375" style="716" hidden="1" customWidth="1"/>
    <col min="55" max="55" width="12.7109375" style="716" hidden="1" customWidth="1"/>
    <col min="56" max="56" width="7" style="716" hidden="1" customWidth="1"/>
    <col min="57" max="57" width="15.5703125" style="718" hidden="1" customWidth="1"/>
    <col min="58" max="58" width="9.140625" style="718" hidden="1" customWidth="1"/>
    <col min="59" max="59" width="10" style="716" hidden="1" customWidth="1"/>
    <col min="60" max="60" width="5.28515625" style="718" hidden="1" customWidth="1"/>
    <col min="61" max="61" width="4" style="718" hidden="1" customWidth="1"/>
    <col min="62" max="62" width="4.7109375" style="718" hidden="1" customWidth="1"/>
    <col min="63" max="63" width="5.5703125" style="718" hidden="1" customWidth="1"/>
    <col min="64" max="64" width="5.28515625" style="718" hidden="1" customWidth="1"/>
    <col min="65" max="65" width="4" style="718" hidden="1" customWidth="1"/>
    <col min="66" max="66" width="5.5703125" style="718" hidden="1" customWidth="1"/>
    <col min="67" max="67" width="5.140625" style="719" customWidth="1"/>
    <col min="68" max="73" width="5.140625" style="715" customWidth="1"/>
    <col min="74" max="16384" width="9.140625" style="715"/>
  </cols>
  <sheetData>
    <row r="1" spans="2:73" s="711" customFormat="1" ht="12" hidden="1" x14ac:dyDescent="0.2">
      <c r="T1" s="712"/>
      <c r="U1" s="712"/>
      <c r="V1" s="712"/>
      <c r="W1" s="712"/>
      <c r="X1" s="712"/>
      <c r="Y1" s="712"/>
      <c r="Z1" s="712"/>
      <c r="AA1" s="712"/>
      <c r="AB1" s="712"/>
      <c r="AC1" s="712"/>
      <c r="AD1" s="712"/>
      <c r="AE1" s="712"/>
      <c r="AF1" s="712"/>
      <c r="AG1" s="712"/>
      <c r="AH1" s="712"/>
      <c r="AI1" s="713"/>
      <c r="AJ1" s="712"/>
      <c r="AK1" s="712"/>
      <c r="AL1" s="712"/>
      <c r="AM1" s="712"/>
      <c r="AN1" s="712"/>
      <c r="AO1" s="712"/>
      <c r="AP1" s="712"/>
      <c r="AQ1" s="712"/>
      <c r="AR1" s="712"/>
      <c r="AS1" s="712"/>
      <c r="AT1" s="712"/>
      <c r="AU1" s="712"/>
      <c r="AV1" s="712"/>
      <c r="AW1" s="712"/>
      <c r="AX1" s="712"/>
      <c r="AY1" s="712"/>
      <c r="AZ1" s="712"/>
      <c r="BA1" s="712"/>
      <c r="BB1" s="712"/>
      <c r="BC1" s="712"/>
      <c r="BD1" s="712"/>
      <c r="BE1" s="712"/>
      <c r="BF1" s="712"/>
      <c r="BG1" s="712"/>
      <c r="BH1" s="712"/>
      <c r="BI1" s="712"/>
      <c r="BJ1" s="712"/>
      <c r="BK1" s="712"/>
      <c r="BL1" s="712"/>
      <c r="BM1" s="712"/>
      <c r="BN1" s="712"/>
    </row>
    <row r="2" spans="2:73" s="711" customFormat="1" ht="12" hidden="1" x14ac:dyDescent="0.2">
      <c r="T2" s="712"/>
      <c r="U2" s="712"/>
      <c r="V2" s="712"/>
      <c r="W2" s="712"/>
      <c r="X2" s="712"/>
      <c r="Y2" s="712"/>
      <c r="Z2" s="712"/>
      <c r="AA2" s="712"/>
      <c r="AB2" s="712"/>
      <c r="AC2" s="712"/>
      <c r="AD2" s="712"/>
      <c r="AE2" s="712"/>
      <c r="AF2" s="712"/>
      <c r="AG2" s="712"/>
      <c r="AH2" s="712"/>
      <c r="AI2" s="713"/>
      <c r="AJ2" s="712"/>
      <c r="AK2" s="712"/>
      <c r="AL2" s="712"/>
      <c r="AM2" s="712"/>
      <c r="AN2" s="712"/>
      <c r="AO2" s="712"/>
      <c r="AP2" s="712"/>
      <c r="AQ2" s="712"/>
      <c r="AR2" s="712"/>
      <c r="AS2" s="712"/>
      <c r="AT2" s="712"/>
      <c r="AU2" s="712"/>
      <c r="AV2" s="712"/>
      <c r="AW2" s="712"/>
      <c r="AX2" s="712"/>
      <c r="AY2" s="712"/>
      <c r="AZ2" s="712"/>
      <c r="BA2" s="712"/>
      <c r="BB2" s="712"/>
      <c r="BC2" s="712"/>
      <c r="BD2" s="712"/>
      <c r="BE2" s="712"/>
      <c r="BF2" s="712"/>
      <c r="BG2" s="712"/>
      <c r="BH2" s="712"/>
      <c r="BI2" s="712"/>
      <c r="BJ2" s="712"/>
      <c r="BK2" s="712"/>
      <c r="BL2" s="712"/>
      <c r="BM2" s="712"/>
      <c r="BN2" s="712"/>
    </row>
    <row r="3" spans="2:73" ht="15.75" thickBot="1" x14ac:dyDescent="0.3">
      <c r="BE3" s="716"/>
      <c r="BF3" s="716"/>
      <c r="BG3" s="718"/>
    </row>
    <row r="4" spans="2:73" ht="13.5" customHeight="1" thickTop="1" x14ac:dyDescent="0.25">
      <c r="B4" s="1078" t="s">
        <v>267</v>
      </c>
      <c r="C4" s="1079"/>
      <c r="D4" s="1079"/>
      <c r="E4" s="1079"/>
      <c r="F4" s="1079"/>
      <c r="G4" s="1080"/>
      <c r="H4" s="1081" t="s">
        <v>993</v>
      </c>
      <c r="I4" s="1082"/>
      <c r="J4" s="1082"/>
      <c r="K4" s="1082"/>
      <c r="L4" s="1082"/>
      <c r="M4" s="1082"/>
      <c r="N4" s="1083"/>
      <c r="O4" s="1084" t="s">
        <v>269</v>
      </c>
      <c r="P4" s="1085"/>
      <c r="Q4" s="1084" t="s">
        <v>270</v>
      </c>
      <c r="R4" s="1086"/>
      <c r="S4" s="720"/>
      <c r="T4" s="721"/>
      <c r="U4" s="721"/>
      <c r="V4" s="721"/>
      <c r="W4" s="721"/>
      <c r="X4" s="721"/>
      <c r="Y4" s="721"/>
      <c r="Z4" s="721"/>
      <c r="AA4" s="721"/>
      <c r="AB4" s="721"/>
      <c r="AC4" s="721"/>
      <c r="AD4" s="721"/>
      <c r="AE4" s="721"/>
      <c r="AF4" s="721"/>
      <c r="AG4" s="721"/>
      <c r="AH4" s="721"/>
      <c r="AI4" s="722"/>
      <c r="AJ4" s="721"/>
      <c r="AK4" s="721"/>
      <c r="AL4" s="721"/>
      <c r="AM4" s="721"/>
      <c r="AN4" s="721"/>
      <c r="AO4" s="721"/>
      <c r="AP4" s="721"/>
      <c r="AQ4" s="712"/>
      <c r="AR4" s="712"/>
      <c r="AW4" s="716" t="s">
        <v>271</v>
      </c>
      <c r="AX4" s="716" t="s">
        <v>272</v>
      </c>
      <c r="AY4" s="716" t="s">
        <v>273</v>
      </c>
      <c r="AZ4" s="716" t="s">
        <v>274</v>
      </c>
      <c r="BA4" s="716" t="s">
        <v>275</v>
      </c>
      <c r="BB4" s="716" t="s">
        <v>276</v>
      </c>
      <c r="BE4" s="716"/>
      <c r="BF4" s="716"/>
      <c r="BG4" s="718"/>
      <c r="BP4" s="976" t="s">
        <v>845</v>
      </c>
      <c r="BQ4" s="976"/>
      <c r="BR4" s="976"/>
      <c r="BS4" s="976"/>
      <c r="BT4" s="976"/>
      <c r="BU4" s="976"/>
    </row>
    <row r="5" spans="2:73" s="731" customFormat="1" ht="15.75" customHeight="1" x14ac:dyDescent="0.2">
      <c r="B5" s="1087" t="s">
        <v>618</v>
      </c>
      <c r="C5" s="1088"/>
      <c r="D5" s="1088"/>
      <c r="E5" s="1088"/>
      <c r="F5" s="1088"/>
      <c r="G5" s="1089"/>
      <c r="H5" s="1090" t="s">
        <v>620</v>
      </c>
      <c r="I5" s="1091"/>
      <c r="J5" s="1091"/>
      <c r="K5" s="1091"/>
      <c r="L5" s="1091"/>
      <c r="M5" s="1091"/>
      <c r="N5" s="1092"/>
      <c r="O5" s="1093"/>
      <c r="P5" s="1094"/>
      <c r="Q5" s="1095"/>
      <c r="R5" s="1096"/>
      <c r="S5" s="723"/>
      <c r="T5" s="724"/>
      <c r="U5" s="724"/>
      <c r="V5" s="724"/>
      <c r="W5" s="724"/>
      <c r="X5" s="724"/>
      <c r="Y5" s="724"/>
      <c r="Z5" s="724"/>
      <c r="AA5" s="724"/>
      <c r="AB5" s="724"/>
      <c r="AC5" s="724"/>
      <c r="AD5" s="724"/>
      <c r="AE5" s="724"/>
      <c r="AF5" s="724"/>
      <c r="AG5" s="724"/>
      <c r="AH5" s="724"/>
      <c r="AI5" s="725"/>
      <c r="AJ5" s="724"/>
      <c r="AK5" s="724"/>
      <c r="AL5" s="724"/>
      <c r="AM5" s="724"/>
      <c r="AN5" s="724"/>
      <c r="AO5" s="724"/>
      <c r="AP5" s="724"/>
      <c r="AQ5" s="726"/>
      <c r="AR5" s="726"/>
      <c r="AS5" s="727"/>
      <c r="AT5" s="728" t="s">
        <v>278</v>
      </c>
      <c r="AU5" s="729" t="b">
        <v>0</v>
      </c>
      <c r="AV5" s="727">
        <v>0</v>
      </c>
      <c r="AW5" s="727" t="b">
        <f>IF(ISERR(OR(AW9:AW40)),"UNK",IF(AND(graded_aca_events&gt;=1,input_test),FALSE,OR(AW9:AW40)))</f>
        <v>0</v>
      </c>
      <c r="AX5" s="727" t="b">
        <f>IF(ISERR(OR(AX9:AX40)),"UNK",IF(AND(graded_aca_events&gt;=1,input_test),FALSE,OR(AX9:AX40)))</f>
        <v>1</v>
      </c>
      <c r="AY5" s="727" t="b">
        <f>IF(ISERR(OR(AY9:AY40)),"UNK",OR(AY9:AY40))</f>
        <v>0</v>
      </c>
      <c r="AZ5" s="727" t="b">
        <f>IF(ISERR(OR(AZ9:AZ40)),"UNK",OR(AZ9:AZ40))</f>
        <v>0</v>
      </c>
      <c r="BA5" s="727" t="b">
        <f>IF(ISERR(OR(BA9:BA40)),"UNK",OR(BA9:BA40))</f>
        <v>0</v>
      </c>
      <c r="BB5" s="727" t="b">
        <f>IF(ISERR(OR(BB9:BB40)),"UNK",OR(BB9:BB40))</f>
        <v>0</v>
      </c>
      <c r="BC5" s="730" t="b">
        <f>OR(BC9:BC40)</f>
        <v>0</v>
      </c>
      <c r="BD5" s="730" t="b">
        <f>OR(BD9:BD40)</f>
        <v>0</v>
      </c>
      <c r="BE5" s="730" t="b">
        <f>OR(BE9:BE40)</f>
        <v>0</v>
      </c>
      <c r="BF5" s="730"/>
      <c r="BG5" s="727"/>
      <c r="BH5" s="1097" t="s">
        <v>279</v>
      </c>
      <c r="BI5" s="1097"/>
      <c r="BJ5" s="1097"/>
      <c r="BK5" s="1097"/>
      <c r="BL5" s="1098" t="s">
        <v>280</v>
      </c>
      <c r="BM5" s="1098"/>
      <c r="BN5" s="1098"/>
      <c r="BO5" s="719"/>
      <c r="BP5" s="976"/>
      <c r="BQ5" s="976"/>
      <c r="BR5" s="976"/>
      <c r="BS5" s="976"/>
      <c r="BT5" s="976"/>
      <c r="BU5" s="976"/>
    </row>
    <row r="6" spans="2:73" s="720" customFormat="1" ht="7.5" customHeight="1" x14ac:dyDescent="0.25">
      <c r="B6" s="1099" t="s">
        <v>281</v>
      </c>
      <c r="C6" s="1100"/>
      <c r="D6" s="1100"/>
      <c r="E6" s="1101"/>
      <c r="F6" s="1102" t="s">
        <v>282</v>
      </c>
      <c r="G6" s="1101"/>
      <c r="H6" s="1102" t="s">
        <v>283</v>
      </c>
      <c r="I6" s="1100"/>
      <c r="J6" s="1100"/>
      <c r="K6" s="1100"/>
      <c r="L6" s="1101"/>
      <c r="M6" s="1103" t="s">
        <v>284</v>
      </c>
      <c r="N6" s="1104"/>
      <c r="O6" s="1105" t="s">
        <v>285</v>
      </c>
      <c r="P6" s="1106"/>
      <c r="Q6" s="1102" t="str">
        <f>IF(AU42=0,"GRADE","GRADE (inc. bonus)")</f>
        <v>GRADE</v>
      </c>
      <c r="R6" s="1107"/>
      <c r="T6" s="721"/>
      <c r="U6" s="721"/>
      <c r="V6" s="721"/>
      <c r="W6" s="721"/>
      <c r="X6" s="721"/>
      <c r="Y6" s="721"/>
      <c r="Z6" s="721"/>
      <c r="AA6" s="721"/>
      <c r="AB6" s="721"/>
      <c r="AC6" s="721"/>
      <c r="AD6" s="721"/>
      <c r="AE6" s="721"/>
      <c r="AF6" s="721"/>
      <c r="AG6" s="721"/>
      <c r="AH6" s="721"/>
      <c r="AI6" s="722"/>
      <c r="AJ6" s="721"/>
      <c r="AK6" s="721"/>
      <c r="AL6" s="721"/>
      <c r="AM6" s="721"/>
      <c r="AN6" s="721"/>
      <c r="AO6" s="721"/>
      <c r="AP6" s="721"/>
      <c r="AQ6" s="721"/>
      <c r="AR6" s="721"/>
      <c r="AS6" s="721"/>
      <c r="AT6" s="721"/>
      <c r="AU6" s="721"/>
      <c r="AV6" s="721"/>
      <c r="AW6" s="721"/>
      <c r="AX6" s="721"/>
      <c r="AY6" s="721"/>
      <c r="AZ6" s="721"/>
      <c r="BA6" s="721"/>
      <c r="BB6" s="721"/>
      <c r="BC6" s="721"/>
      <c r="BD6" s="721"/>
      <c r="BE6" s="721"/>
      <c r="BF6" s="721"/>
      <c r="BG6" s="721"/>
      <c r="BH6" s="1097"/>
      <c r="BI6" s="1097"/>
      <c r="BJ6" s="1097"/>
      <c r="BK6" s="1097"/>
      <c r="BL6" s="1098"/>
      <c r="BM6" s="1098"/>
      <c r="BN6" s="1098"/>
      <c r="BO6" s="732"/>
    </row>
    <row r="7" spans="2:73" s="731" customFormat="1" ht="15.75" customHeight="1" thickBot="1" x14ac:dyDescent="0.25">
      <c r="B7" s="1108"/>
      <c r="C7" s="1109"/>
      <c r="D7" s="1109"/>
      <c r="E7" s="1110"/>
      <c r="F7" s="1111" t="s">
        <v>457</v>
      </c>
      <c r="G7" s="1112"/>
      <c r="H7" s="1113"/>
      <c r="I7" s="1114"/>
      <c r="J7" s="1114"/>
      <c r="K7" s="1114"/>
      <c r="L7" s="1115"/>
      <c r="M7" s="1118"/>
      <c r="N7" s="1119"/>
      <c r="O7" s="1120"/>
      <c r="P7" s="1121"/>
      <c r="Q7" s="1122" t="str">
        <f>IF((graded_aca_events+graded_amn_events)&lt;1,"---",IF(ISERROR(AR47),"",IF(F42&lt;&gt;"COMPLETE","INCOMPLETE",AR47)))</f>
        <v>---</v>
      </c>
      <c r="R7" s="1123"/>
      <c r="S7" s="715"/>
      <c r="T7" s="727"/>
      <c r="U7" s="727">
        <v>2</v>
      </c>
      <c r="V7" s="727">
        <v>3</v>
      </c>
      <c r="W7" s="727">
        <v>6</v>
      </c>
      <c r="X7" s="727">
        <v>7</v>
      </c>
      <c r="Y7" s="727">
        <v>11</v>
      </c>
      <c r="Z7" s="727">
        <v>8</v>
      </c>
      <c r="AA7" s="733">
        <v>9</v>
      </c>
      <c r="AB7" s="733">
        <v>10</v>
      </c>
      <c r="AC7" s="733">
        <v>5</v>
      </c>
      <c r="AD7" s="733">
        <v>4</v>
      </c>
      <c r="AE7" s="733">
        <v>12</v>
      </c>
      <c r="AF7" s="733">
        <v>13</v>
      </c>
      <c r="AG7" s="733"/>
      <c r="AH7" s="733"/>
      <c r="AI7" s="734"/>
      <c r="AJ7" s="735"/>
      <c r="AK7" s="735"/>
      <c r="AL7" s="735"/>
      <c r="AM7" s="735" t="b">
        <f>IF(COUNT(AM9:AM40)&gt;0,TRUE,FALSE)</f>
        <v>0</v>
      </c>
      <c r="AN7" s="735" t="b">
        <f>IF(COUNT(AN9:AN40)&gt;0,TRUE,FALSE)</f>
        <v>0</v>
      </c>
      <c r="AO7" s="727"/>
      <c r="AP7" s="727"/>
      <c r="AQ7" s="726"/>
      <c r="AR7" s="726"/>
      <c r="AS7" s="727"/>
      <c r="AT7" s="736">
        <v>0.2</v>
      </c>
      <c r="AU7" s="727"/>
      <c r="AV7" s="737">
        <f>0.01*input_maxb</f>
        <v>0</v>
      </c>
      <c r="AW7" s="738" t="s">
        <v>287</v>
      </c>
      <c r="AX7" s="739"/>
      <c r="AY7" s="738" t="s">
        <v>288</v>
      </c>
      <c r="AZ7" s="739"/>
      <c r="BA7" s="740" t="s">
        <v>289</v>
      </c>
      <c r="BB7" s="740"/>
      <c r="BC7" s="738" t="s">
        <v>290</v>
      </c>
      <c r="BD7" s="740"/>
      <c r="BE7" s="741"/>
      <c r="BF7" s="742"/>
      <c r="BG7" s="727" t="s">
        <v>291</v>
      </c>
      <c r="BH7" s="1097"/>
      <c r="BI7" s="1097"/>
      <c r="BJ7" s="1097"/>
      <c r="BK7" s="1097"/>
      <c r="BL7" s="1098"/>
      <c r="BM7" s="1098"/>
      <c r="BN7" s="1098"/>
      <c r="BO7" s="719"/>
    </row>
    <row r="8" spans="2:73" ht="27" customHeight="1" thickBot="1" x14ac:dyDescent="0.3">
      <c r="B8" s="1124" t="s">
        <v>292</v>
      </c>
      <c r="C8" s="1125"/>
      <c r="D8" s="1125"/>
      <c r="E8" s="1125"/>
      <c r="F8" s="1126"/>
      <c r="G8" s="743" t="s">
        <v>293</v>
      </c>
      <c r="H8" s="744" t="s">
        <v>294</v>
      </c>
      <c r="I8" s="745" t="s">
        <v>295</v>
      </c>
      <c r="J8" s="746" t="s">
        <v>296</v>
      </c>
      <c r="K8" s="747" t="s">
        <v>297</v>
      </c>
      <c r="L8" s="1127" t="s">
        <v>298</v>
      </c>
      <c r="M8" s="1125"/>
      <c r="N8" s="1125"/>
      <c r="O8" s="1125"/>
      <c r="P8" s="1125"/>
      <c r="Q8" s="1125"/>
      <c r="R8" s="1128"/>
      <c r="S8" s="714"/>
      <c r="T8" s="748" t="s">
        <v>299</v>
      </c>
      <c r="U8" s="748"/>
      <c r="V8" s="748" t="s">
        <v>300</v>
      </c>
      <c r="W8" s="748" t="s">
        <v>301</v>
      </c>
      <c r="X8" s="748" t="s">
        <v>302</v>
      </c>
      <c r="Y8" s="748" t="s">
        <v>303</v>
      </c>
      <c r="Z8" s="748" t="s">
        <v>304</v>
      </c>
      <c r="AA8" s="748" t="s">
        <v>305</v>
      </c>
      <c r="AB8" s="748" t="s">
        <v>306</v>
      </c>
      <c r="AC8" s="748" t="s">
        <v>307</v>
      </c>
      <c r="AD8" s="748" t="s">
        <v>308</v>
      </c>
      <c r="AE8" s="748" t="s">
        <v>309</v>
      </c>
      <c r="AF8" s="748" t="s">
        <v>310</v>
      </c>
      <c r="AG8" s="748" t="s">
        <v>311</v>
      </c>
      <c r="AH8" s="748" t="s">
        <v>312</v>
      </c>
      <c r="AI8" s="749" t="s">
        <v>313</v>
      </c>
      <c r="AJ8" s="750" t="s">
        <v>314</v>
      </c>
      <c r="AK8" s="751" t="s">
        <v>315</v>
      </c>
      <c r="AL8" s="751" t="s">
        <v>316</v>
      </c>
      <c r="AM8" s="751" t="s">
        <v>317</v>
      </c>
      <c r="AN8" s="751" t="s">
        <v>318</v>
      </c>
      <c r="AO8" s="750" t="s">
        <v>319</v>
      </c>
      <c r="AP8" s="750" t="s">
        <v>320</v>
      </c>
      <c r="AQ8" s="752" t="s">
        <v>321</v>
      </c>
      <c r="AR8" s="753" t="s">
        <v>1</v>
      </c>
      <c r="AS8" s="752" t="s">
        <v>322</v>
      </c>
      <c r="AT8" s="753" t="s">
        <v>1</v>
      </c>
      <c r="AU8" s="752" t="s">
        <v>323</v>
      </c>
      <c r="AV8" s="754" t="s">
        <v>324</v>
      </c>
      <c r="AW8" s="755" t="s">
        <v>325</v>
      </c>
      <c r="AX8" s="756" t="s">
        <v>326</v>
      </c>
      <c r="AY8" s="755" t="s">
        <v>327</v>
      </c>
      <c r="AZ8" s="756" t="s">
        <v>328</v>
      </c>
      <c r="BA8" s="757" t="s">
        <v>329</v>
      </c>
      <c r="BB8" s="757" t="s">
        <v>330</v>
      </c>
      <c r="BC8" s="758" t="s">
        <v>331</v>
      </c>
      <c r="BD8" s="759" t="s">
        <v>332</v>
      </c>
      <c r="BE8" s="760" t="s">
        <v>333</v>
      </c>
      <c r="BF8" s="761" t="s">
        <v>334</v>
      </c>
      <c r="BG8" s="718"/>
      <c r="BH8" s="718" t="s">
        <v>335</v>
      </c>
      <c r="BI8" s="718" t="s">
        <v>336</v>
      </c>
      <c r="BJ8" s="748" t="s">
        <v>337</v>
      </c>
      <c r="BK8" s="718" t="s">
        <v>338</v>
      </c>
      <c r="BL8" s="718" t="s">
        <v>335</v>
      </c>
      <c r="BM8" s="718" t="s">
        <v>336</v>
      </c>
      <c r="BN8" s="718" t="s">
        <v>338</v>
      </c>
    </row>
    <row r="9" spans="2:73" ht="12.95" customHeight="1" x14ac:dyDescent="0.25">
      <c r="B9" s="762" t="str">
        <f>IF(ISNA(Z9),"",IF(OR(Z9=1,Z9=2),"",1))</f>
        <v/>
      </c>
      <c r="C9" s="1129" t="str">
        <f t="shared" ref="C9:C37" si="0">IF(ISNA(Z9),"",CONCATENATE($U9,IF(ISNUMBER(AI9),TEXT(ROUND($AI9,3)," (0.0%)"),""),IF(AU9&gt;0," Bonus","")))</f>
        <v>Structure &amp; Logic (30.0%)</v>
      </c>
      <c r="D9" s="1129"/>
      <c r="E9" s="1129"/>
      <c r="F9" s="1130"/>
      <c r="G9" s="763" t="str">
        <f t="shared" ref="G9:G40" si="1">BH9</f>
        <v/>
      </c>
      <c r="H9" s="764" t="str">
        <f t="shared" ref="H9:I40" si="2">BJ9</f>
        <v/>
      </c>
      <c r="I9" s="765" t="str">
        <f t="shared" si="2"/>
        <v/>
      </c>
      <c r="J9" s="766"/>
      <c r="K9" s="767"/>
      <c r="L9" s="1131"/>
      <c r="M9" s="1132"/>
      <c r="N9" s="1132"/>
      <c r="O9" s="1132"/>
      <c r="P9" s="1132"/>
      <c r="Q9" s="1132"/>
      <c r="R9" s="1133"/>
      <c r="T9" s="716">
        <v>1</v>
      </c>
      <c r="U9" s="716" t="s">
        <v>967</v>
      </c>
      <c r="V9" s="768" t="s">
        <v>340</v>
      </c>
      <c r="W9" s="768" t="s">
        <v>340</v>
      </c>
      <c r="X9" s="768" t="s">
        <v>340</v>
      </c>
      <c r="Y9" s="768" t="s">
        <v>340</v>
      </c>
      <c r="Z9" s="768">
        <v>2</v>
      </c>
      <c r="AA9" s="768">
        <v>1</v>
      </c>
      <c r="AB9" s="768">
        <v>1</v>
      </c>
      <c r="AC9" s="768" t="s">
        <v>340</v>
      </c>
      <c r="AD9" s="768" t="s">
        <v>340</v>
      </c>
      <c r="AE9" s="768" t="s">
        <v>340</v>
      </c>
      <c r="AF9" s="768" t="s">
        <v>340</v>
      </c>
      <c r="AG9" s="768" t="str">
        <f t="shared" ref="AG9:AG40" si="3">IF(CrewSoloQual="Yes",$AC9,$AD9)</f>
        <v/>
      </c>
      <c r="AH9" s="768" t="str">
        <f t="shared" ref="AH9:AH40" si="4">IF(ISNUMBER(AC9),IF(CrewSoloQual="Yes",$AC9-1,$AD9-1),"")</f>
        <v/>
      </c>
      <c r="AI9" s="769">
        <f>IF(NOT(OR(Z9=1,Z9=2)),IF(AQ9&gt;0,$AR$45*AQ9/SUMIF($AQ$9:$AQ$40,"&gt;0"),IF(AU9&gt;0,$AV$45*AU9/SUMIF($AU$9:$AU$40,"&gt;0"),IF(AS9&gt;0,$AT$45*AS9/SUMIF($AS$9:$AS$40,"&gt;0"),""))),IF(SUMIF(AJ10:$AJ$40,"=" &amp; AJ9,AI10:$AI$40)=0,"",SUMIF(AJ10:$AJ$40,"=" &amp; AJ9,AI10:$AI$40)))</f>
        <v>0.29999997947999935</v>
      </c>
      <c r="AJ9" s="770">
        <f>0</f>
        <v>0</v>
      </c>
      <c r="AK9" s="768" t="str">
        <f>BI9</f>
        <v/>
      </c>
      <c r="AL9" s="768" t="str">
        <f>IF(ISBLANK(K9),"",K9)</f>
        <v/>
      </c>
      <c r="AM9" s="768" t="str">
        <f>IF(ISNUMBER(AK9),IF(ISNUMBER(AL9),1,""),"")</f>
        <v/>
      </c>
      <c r="AN9" s="768" t="str">
        <f t="shared" ref="AN9:AN37" si="5">IF(ISNUMBER(AH9),IF(AND(AB9=0,ISNUMBER(AC9),ISNUMBER(AL9)),1,""),"")</f>
        <v/>
      </c>
      <c r="AO9" s="768" t="str">
        <f t="shared" ref="AO9:AO40" si="6">IF(AB9=0,IF(CrewSoloQual="No",BI9,BK9),"")</f>
        <v/>
      </c>
      <c r="AP9" s="768" t="str">
        <f t="shared" ref="AP9:AP40" si="7">IF(ISNA(Z9),"",IF(AND(ISNUMBER(B9),G9&gt;=1,H9&lt;&gt;"NG"),IF(K9&lt;BK9,TRUE,FALSE),IF(AND(G9&gt;=1,J9="NA"),TRUE,IF(AND(AM9=1,G9=0,AL9&lt;BI9),TRUE,""))))</f>
        <v/>
      </c>
      <c r="AQ9" s="771">
        <f>IF(ISNA(Z9),0,IF(OR(J9="NA",W9="",AB9=0),0,W9))</f>
        <v>0</v>
      </c>
      <c r="AR9" s="772" t="str">
        <f t="shared" ref="AR9:AR40" si="8">IF(ISNA(Z9),"",IF(AND(NOT(OR(Z9=1,Z9=2,AK9="NG",AB9=0)),IF(ISNUMBER(AL9),AL9&gt;=0,FALSE)),VLOOKUP((10*AD9+AC9),$AQ$51:$AV$59,2+AL9,FALSE),IF(AND(input_test=TRUE,ISNUMBER(AD9),V9&lt;&gt;0),VLOOKUP((10*AD9+AC9),$AQ$51:$AV$59,2,FALSE),"")))</f>
        <v/>
      </c>
      <c r="AS9" s="773">
        <f>IF(ISNA(Z9),0,IF(OR(J9="NA",X9="",AB9=1),0,X9))</f>
        <v>0</v>
      </c>
      <c r="AT9" s="772" t="str">
        <f t="shared" ref="AT9:AT40" si="9">IF(ISNA(Z9),"",IF(AND(NOT(OR(Z9=1,Z9=2,AK9="NG",AB9=1)),IF(ISNUMBER(AL9),AL9&gt;=0,FALSE)),VLOOKUP((10*AH9+AG9),$AQ$51:$AV$59,2+AL9,FALSE),IF(AND(input_test=TRUE,ISNUMBER(AD9),V9&lt;&gt;0),VLOOKUP((10*AH9+AG9),$AQ$51:$AV$59,2,FALSE),"")))</f>
        <v/>
      </c>
      <c r="AU9" s="774">
        <f t="shared" ref="AU9:AU40" si="10">IF(ISNA(Z9),0,IF(OR(J9="NA",Y9=""),0,Y9))</f>
        <v>0</v>
      </c>
      <c r="AV9" s="775" t="str">
        <f t="shared" ref="AV9:AV40" si="11">AR9</f>
        <v/>
      </c>
      <c r="AW9" s="774" t="b">
        <f t="shared" ref="AW9:AW40" si="12">IF(ISNA(Z9),FALSE,IF(OR(AB9=1,G9=0,Z9=1,Z9=2),FALSE,IF(OR(J9="NA",J9&gt;=G9),FALSE,TRUE)))</f>
        <v>0</v>
      </c>
      <c r="AX9" s="776" t="b">
        <f t="shared" ref="AX9:AX40" si="13">IF(ISNA(Z9),FALSE,IF(OR(AB9=0,G9=0,Z9=1,Z9=2,J9="NA"),FALSE,IF(AK9="NG",IF(NOT(ISBLANK(K9)),FALSE,TRUE),IF(J9&gt;=G9,FALSE,TRUE))))</f>
        <v>0</v>
      </c>
      <c r="AY9" s="774" t="b">
        <f t="shared" ref="AY9:AY40" si="14">IF(ISNA(Z9),FALSE,IF(OR(AB9=1,G9&lt;1,Z9=1,Z9=2,AE9=0,ISBLANK(K9)),FALSE,IF(OR(J9="NA",K9&gt;=BI9),FALSE,TRUE)))</f>
        <v>0</v>
      </c>
      <c r="AZ9" s="776" t="b">
        <f t="shared" ref="AZ9:AZ40" si="15">IF(ISNA(Z9),FALSE,IF(OR(AB9=0,G9=0,Z9=1,Z9=2,AE9=0,BI9="NG",K9="",ISBLANK(K9)),FALSE,IF(OR(J9="NA",K9&gt;=AK9),FALSE,TRUE)))</f>
        <v>0</v>
      </c>
      <c r="BA9" s="768" t="b">
        <f t="shared" ref="BA9:BA40" si="16">IF(ISNA(Z9),FALSE,IF(OR(AB9=1,G9&lt;1,Z9=1,Z9=2,AE9=0),FALSE,IF(J9="NA",TRUE,FALSE)))</f>
        <v>0</v>
      </c>
      <c r="BB9" s="768" t="b">
        <f t="shared" ref="BB9:BB40" si="17">IF(ISNA(Z9),FALSE,IF(OR(AB9=0,G9=0,Z9=1,Z9=2),FALSE,IF(J9="NA",TRUE,FALSE)))</f>
        <v>0</v>
      </c>
      <c r="BC9" s="774" t="b">
        <f t="shared" ref="BC9:BC40" si="18">IF(OR(ISNA($Z9),ISNUMBER($Z9),NOT(ISNUMBER($J9)),K9="D"),FALSE,IF(AND(NOT(ISNUMBER($K9)),J9&gt;0),TRUE,FALSE))</f>
        <v>0</v>
      </c>
      <c r="BD9" s="777" t="b">
        <f>IF(OR(ISNA($Z9),ISNUMBER($Z9),NOT(ISNUMBER(K9))),FALSE,OR(NOT(ISNUMBER(J9)),J9=0,AND(J9=0,K9&lt;&gt;0)))</f>
        <v>0</v>
      </c>
      <c r="BE9" s="776" t="b">
        <f t="shared" ref="BE9:BE22" si="19">IF(OR(ISNA($Z9),K9&lt;&gt;"D"),FALSE,IF(OR(AND(H9="NG",J9=0),AND(H9&lt;&gt;"NG",NOT(OR(J9="NA",J9=0)))),TRUE,FALSE))</f>
        <v>0</v>
      </c>
      <c r="BF9" s="778" t="b">
        <f t="shared" ref="BF9:BF31" si="20">IF(OR(ISNA($Z9),H9&lt;&gt;"NG"),FALSE,IF(AND(J9="NA",K9&lt;&gt;""),TRUE,FALSE))</f>
        <v>0</v>
      </c>
      <c r="BG9" s="779" t="b">
        <f t="shared" ref="BG9:BG22" si="21">IF(ISNA($Z9),"NA",IF(OR(AZ9,AY9,AX9,AW9,AP9,BA9,BB9),TRUE,FALSE))</f>
        <v>0</v>
      </c>
      <c r="BH9" s="780" t="str">
        <f>IF(ISNA($Z9),"",IF(OR($Z9=1,$Z9=2),"",$V9))</f>
        <v/>
      </c>
      <c r="BI9" s="779" t="str">
        <f t="shared" ref="BI9:BI40" si="22">IF(ISNA($Z9),"",IF(OR($Z9=1,$Z9=2,$G9=""),"",IF(AB9=0,AH9,$AD9)))</f>
        <v/>
      </c>
      <c r="BJ9" s="779" t="str">
        <f t="shared" ref="BJ9:BJ40" si="23">IF(ISNA(AE9),"",IF(OR(Z9=1,Z9=2),"",IF(OR(AE9=0,AD9="NG"),TEXT(BI9,"0"),CONCATENATE(TEXT(BI9,"0"),"*"))))</f>
        <v/>
      </c>
      <c r="BK9" s="779" t="str">
        <f t="shared" ref="BK9:BK40" si="24">IF(ISNA($Z9),"",IF(OR($Z9=1,$Z9=2,$G9=""),"",IF(AB9=0,AG9,$AC9)))</f>
        <v/>
      </c>
      <c r="BL9" s="780" t="str">
        <f>IF(ISBLANK(BH9),"",IF(BH9=0,"",BH9))</f>
        <v/>
      </c>
      <c r="BM9" s="779" t="str">
        <f t="shared" ref="BM9:BM40" si="25">IF($BH9=0,"",IF($BI9="NG","D",$BI9))</f>
        <v/>
      </c>
      <c r="BN9" s="779" t="str">
        <f t="shared" ref="BN9:BN40" si="26">IF(ISNA(U9),"",IF($BH9=0,"",IF($BI9="NG","D",BK9)))</f>
        <v/>
      </c>
      <c r="BO9" s="781" t="s">
        <v>341</v>
      </c>
      <c r="BP9" s="782"/>
    </row>
    <row r="10" spans="2:73" s="731" customFormat="1" ht="12.95" customHeight="1" x14ac:dyDescent="0.25">
      <c r="B10" s="783">
        <f>IF(ISNA(Z10),"",IF(OR(Z10=1,Z10=2),"    ",MAX($B$9:B9)+1))</f>
        <v>1</v>
      </c>
      <c r="C10" s="1116" t="str">
        <f t="shared" si="0"/>
        <v xml:space="preserve">      - Executive Summary (8.0%)</v>
      </c>
      <c r="D10" s="1116"/>
      <c r="E10" s="1116"/>
      <c r="F10" s="1117"/>
      <c r="G10" s="763">
        <f t="shared" si="1"/>
        <v>1</v>
      </c>
      <c r="H10" s="764" t="str">
        <f t="shared" si="2"/>
        <v>2*</v>
      </c>
      <c r="I10" s="784">
        <f t="shared" si="2"/>
        <v>3</v>
      </c>
      <c r="J10" s="785"/>
      <c r="K10" s="786"/>
      <c r="L10" s="1134"/>
      <c r="M10" s="1135"/>
      <c r="N10" s="1135"/>
      <c r="O10" s="1135"/>
      <c r="P10" s="1135"/>
      <c r="Q10" s="1135"/>
      <c r="R10" s="1136"/>
      <c r="T10" s="727">
        <v>2</v>
      </c>
      <c r="U10" s="716" t="s">
        <v>601</v>
      </c>
      <c r="V10" s="768">
        <v>1</v>
      </c>
      <c r="W10" s="768">
        <v>2.6666660000000002</v>
      </c>
      <c r="X10" s="768" t="s">
        <v>340</v>
      </c>
      <c r="Y10" s="768" t="s">
        <v>340</v>
      </c>
      <c r="Z10" s="777" t="s">
        <v>340</v>
      </c>
      <c r="AA10" s="777">
        <v>2</v>
      </c>
      <c r="AB10" s="777">
        <v>1</v>
      </c>
      <c r="AC10" s="768">
        <v>3</v>
      </c>
      <c r="AD10" s="768">
        <v>2</v>
      </c>
      <c r="AE10" s="768">
        <v>1</v>
      </c>
      <c r="AF10" s="768" t="b">
        <v>1</v>
      </c>
      <c r="AG10" s="768">
        <f t="shared" si="3"/>
        <v>2</v>
      </c>
      <c r="AH10" s="768">
        <f t="shared" si="4"/>
        <v>1</v>
      </c>
      <c r="AI10" s="769">
        <f>IF(NOT(OR(Z10=1,Z10=2)),IF(AQ10&gt;0,$AR$45*AQ10/SUMIF($AQ$9:$AQ$40,"&gt;0"),IF(AU10&gt;0,$AV$45*AU10/SUMIF($AU$9:$AU$40,"&gt;0"),IF(AS10&gt;0,$AT$45*AS10/SUMIF($AS$9:$AS$40,"&gt;0"),""))),IF(SUMIF(AJ11:$AJ$40,"=" &amp; AJ10,AI11:$AI$40)=0,"",SUMIF(AJ11:$AJ$40,"=" &amp; AJ10,AI11:$AI$40)))</f>
        <v>7.9999982527999447E-2</v>
      </c>
      <c r="AJ10" s="770">
        <f>IF(OR(Z10=1,Z10=2,AA10&lt;AA9),AJ9+1,AJ9)</f>
        <v>0</v>
      </c>
      <c r="AK10" s="768">
        <f t="shared" ref="AK10:AK40" si="27">BI10</f>
        <v>2</v>
      </c>
      <c r="AL10" s="777" t="str">
        <f t="shared" ref="AL10:AL40" si="28">IF(ISBLANK(K10),"",K10)</f>
        <v/>
      </c>
      <c r="AM10" s="777" t="str">
        <f>IF(ISNUMBER(AK10),IF(ISNUMBER(AL10),1,""),"")</f>
        <v/>
      </c>
      <c r="AN10" s="777" t="str">
        <f t="shared" si="5"/>
        <v/>
      </c>
      <c r="AO10" s="777" t="str">
        <f t="shared" si="6"/>
        <v/>
      </c>
      <c r="AP10" s="768" t="b">
        <f>IF(ISNA(Z10),"",IF(AND(ISNUMBER(B10),G10&gt;=1,H10&lt;&gt;"NG"),IF(K10&lt;BK10,TRUE,FALSE),IF(AND(G10&gt;=1,J10="NA"),TRUE,IF(AND(AM10=1,G10=0,AL10&lt;BI10),TRUE,""))))</f>
        <v>1</v>
      </c>
      <c r="AQ10" s="771">
        <f t="shared" ref="AQ10:AQ40" si="29">IF(ISNA(Z10),0,IF(OR(J10="NA",W10="",AB10=0),0,W10))</f>
        <v>2.6666660000000002</v>
      </c>
      <c r="AR10" s="772" t="str">
        <f>IF(ISNA(Z10),"",IF(AND(NOT(OR(Z10=1,Z10=2,AK10="NG",AB10=0)),IF(ISNUMBER(AL10),AL10&gt;=0,FALSE)),VLOOKUP((10*AD10+AC10),$AQ$51:$AV$59,2+AL10,FALSE),IF(AND(input_test=TRUE,ISNUMBER(AD10),V10&lt;&gt;0),VLOOKUP((10*AD10+AC10),$AQ$51:$AV$59,2,FALSE),"")))</f>
        <v/>
      </c>
      <c r="AS10" s="773">
        <f t="shared" ref="AS10:AS40" si="30">IF(ISNA(Z10),0,IF(OR(J10="NA",X10="",AB10=1),0,X10))</f>
        <v>0</v>
      </c>
      <c r="AT10" s="772" t="str">
        <f>IF(ISNA(Z10),"",IF(AND(NOT(OR(Z10=1,Z10=2,AK10="NG",AB10=1)),IF(ISNUMBER(AL10),AL10&gt;=0,FALSE)),VLOOKUP((10*AH10+AG10),$AQ$51:$AV$59,2+AL10,FALSE),IF(AND(input_test=TRUE,ISNUMBER(AD10),V10&lt;&gt;0),VLOOKUP((10*AH10+AG10),$AQ$51:$AV$59,2,FALSE),"")))</f>
        <v/>
      </c>
      <c r="AU10" s="774">
        <f t="shared" si="10"/>
        <v>0</v>
      </c>
      <c r="AV10" s="775" t="str">
        <f t="shared" si="11"/>
        <v/>
      </c>
      <c r="AW10" s="774" t="b">
        <f t="shared" si="12"/>
        <v>0</v>
      </c>
      <c r="AX10" s="776" t="b">
        <f t="shared" si="13"/>
        <v>1</v>
      </c>
      <c r="AY10" s="774" t="b">
        <f t="shared" si="14"/>
        <v>0</v>
      </c>
      <c r="AZ10" s="776" t="b">
        <f t="shared" si="15"/>
        <v>0</v>
      </c>
      <c r="BA10" s="768" t="b">
        <f t="shared" si="16"/>
        <v>0</v>
      </c>
      <c r="BB10" s="768" t="b">
        <f t="shared" si="17"/>
        <v>0</v>
      </c>
      <c r="BC10" s="774" t="b">
        <f t="shared" si="18"/>
        <v>0</v>
      </c>
      <c r="BD10" s="777" t="b">
        <f t="shared" ref="BD10:BD40" si="31">IF(OR(ISNA($Z10),ISNUMBER($Z10),NOT(ISNUMBER(K10))),FALSE,OR(NOT(ISNUMBER(J10)),J10=0,AND(J10=0,K10&lt;&gt;0)))</f>
        <v>0</v>
      </c>
      <c r="BE10" s="776" t="b">
        <f t="shared" si="19"/>
        <v>0</v>
      </c>
      <c r="BF10" s="778" t="b">
        <f t="shared" si="20"/>
        <v>0</v>
      </c>
      <c r="BG10" s="779" t="b">
        <f t="shared" si="21"/>
        <v>1</v>
      </c>
      <c r="BH10" s="779">
        <f t="shared" ref="BH10:BH40" si="32">IF(ISNA($Z10),"",IF(OR($Z10=1,$Z10=2),"",$V10))</f>
        <v>1</v>
      </c>
      <c r="BI10" s="779">
        <f t="shared" si="22"/>
        <v>2</v>
      </c>
      <c r="BJ10" s="779" t="str">
        <f t="shared" si="23"/>
        <v>2*</v>
      </c>
      <c r="BK10" s="779">
        <f t="shared" si="24"/>
        <v>3</v>
      </c>
      <c r="BL10" s="780">
        <f t="shared" ref="BL10:BL40" si="33">IF(ISBLANK(BH10),"",IF(BH10=0,"",BH10))</f>
        <v>1</v>
      </c>
      <c r="BM10" s="779">
        <f t="shared" si="25"/>
        <v>2</v>
      </c>
      <c r="BN10" s="779">
        <f t="shared" si="26"/>
        <v>3</v>
      </c>
      <c r="BO10" s="787" t="s">
        <v>343</v>
      </c>
      <c r="BP10" s="788" t="s">
        <v>265</v>
      </c>
    </row>
    <row r="11" spans="2:73" s="731" customFormat="1" ht="12.95" customHeight="1" x14ac:dyDescent="0.25">
      <c r="B11" s="783">
        <f>IF(ISNA(Z11),"",IF(OR(Z11=1,Z11=2),"    ",MAX($B$9:B10)+1))</f>
        <v>2</v>
      </c>
      <c r="C11" s="1116" t="str">
        <f t="shared" si="0"/>
        <v xml:space="preserve">      - Report Org. &amp; Structure (10.0%)</v>
      </c>
      <c r="D11" s="1116"/>
      <c r="E11" s="1116"/>
      <c r="F11" s="1117"/>
      <c r="G11" s="763">
        <f t="shared" si="1"/>
        <v>1</v>
      </c>
      <c r="H11" s="764" t="str">
        <f t="shared" si="2"/>
        <v>2*</v>
      </c>
      <c r="I11" s="784">
        <f t="shared" si="2"/>
        <v>3</v>
      </c>
      <c r="J11" s="789"/>
      <c r="K11" s="786"/>
      <c r="L11" s="1134"/>
      <c r="M11" s="1135"/>
      <c r="N11" s="1135"/>
      <c r="O11" s="1135"/>
      <c r="P11" s="1135"/>
      <c r="Q11" s="1135"/>
      <c r="R11" s="1136"/>
      <c r="T11" s="727">
        <v>3</v>
      </c>
      <c r="U11" s="716" t="s">
        <v>994</v>
      </c>
      <c r="V11" s="768">
        <v>1</v>
      </c>
      <c r="W11" s="768">
        <v>3.3333330000000001</v>
      </c>
      <c r="X11" s="768" t="s">
        <v>340</v>
      </c>
      <c r="Y11" s="768" t="s">
        <v>340</v>
      </c>
      <c r="Z11" s="777" t="s">
        <v>340</v>
      </c>
      <c r="AA11" s="777">
        <v>2</v>
      </c>
      <c r="AB11" s="777">
        <v>1</v>
      </c>
      <c r="AC11" s="768">
        <v>3</v>
      </c>
      <c r="AD11" s="768">
        <v>2</v>
      </c>
      <c r="AE11" s="768">
        <v>1</v>
      </c>
      <c r="AF11" s="768" t="b">
        <v>1</v>
      </c>
      <c r="AG11" s="768">
        <f t="shared" si="3"/>
        <v>2</v>
      </c>
      <c r="AH11" s="768">
        <f t="shared" si="4"/>
        <v>1</v>
      </c>
      <c r="AI11" s="769">
        <f>IF(NOT(OR(Z11=1,Z11=2)),IF(AQ11&gt;0,$AR$45*AQ11/SUMIF($AQ$9:$AQ$40,"&gt;0"),IF(AU11&gt;0,$AV$45*AU11/SUMIF($AU$9:$AU$40,"&gt;0"),IF(AS11&gt;0,$AT$45*AS11/SUMIF($AS$9:$AS$40,"&gt;0"),""))),IF(SUMIF(AJ12:$AJ$40,"=" &amp; AJ11,AI12:$AI$40)=0,"",SUMIF(AJ12:$AJ$40,"=" &amp; AJ11,AI12:$AI$40)))</f>
        <v>9.9999993159999787E-2</v>
      </c>
      <c r="AJ11" s="770">
        <f t="shared" ref="AJ11:AJ40" si="34">IF(OR(Z11=1,Z11=2,AA11&lt;AA10),AJ10+1,AJ10)</f>
        <v>0</v>
      </c>
      <c r="AK11" s="768">
        <f t="shared" si="27"/>
        <v>2</v>
      </c>
      <c r="AL11" s="777" t="str">
        <f t="shared" si="28"/>
        <v/>
      </c>
      <c r="AM11" s="777" t="str">
        <f t="shared" ref="AM11:AM40" si="35">IF(ISNUMBER(AK11),IF(ISNUMBER(AL11),1,""),"")</f>
        <v/>
      </c>
      <c r="AN11" s="777" t="str">
        <f t="shared" si="5"/>
        <v/>
      </c>
      <c r="AO11" s="777" t="str">
        <f t="shared" si="6"/>
        <v/>
      </c>
      <c r="AP11" s="768" t="b">
        <f t="shared" si="7"/>
        <v>1</v>
      </c>
      <c r="AQ11" s="771">
        <f t="shared" si="29"/>
        <v>3.3333330000000001</v>
      </c>
      <c r="AR11" s="772" t="str">
        <f t="shared" si="8"/>
        <v/>
      </c>
      <c r="AS11" s="773">
        <f t="shared" si="30"/>
        <v>0</v>
      </c>
      <c r="AT11" s="772" t="str">
        <f t="shared" si="9"/>
        <v/>
      </c>
      <c r="AU11" s="774">
        <f t="shared" si="10"/>
        <v>0</v>
      </c>
      <c r="AV11" s="775" t="str">
        <f t="shared" si="11"/>
        <v/>
      </c>
      <c r="AW11" s="774" t="b">
        <f t="shared" si="12"/>
        <v>0</v>
      </c>
      <c r="AX11" s="776" t="b">
        <f t="shared" si="13"/>
        <v>1</v>
      </c>
      <c r="AY11" s="774" t="b">
        <f t="shared" si="14"/>
        <v>0</v>
      </c>
      <c r="AZ11" s="776" t="b">
        <f t="shared" si="15"/>
        <v>0</v>
      </c>
      <c r="BA11" s="768" t="b">
        <f t="shared" si="16"/>
        <v>0</v>
      </c>
      <c r="BB11" s="768" t="b">
        <f t="shared" si="17"/>
        <v>0</v>
      </c>
      <c r="BC11" s="774" t="b">
        <f t="shared" si="18"/>
        <v>0</v>
      </c>
      <c r="BD11" s="777" t="b">
        <f t="shared" si="31"/>
        <v>0</v>
      </c>
      <c r="BE11" s="776" t="b">
        <f t="shared" si="19"/>
        <v>0</v>
      </c>
      <c r="BF11" s="778" t="b">
        <f t="shared" si="20"/>
        <v>0</v>
      </c>
      <c r="BG11" s="779" t="b">
        <f t="shared" si="21"/>
        <v>1</v>
      </c>
      <c r="BH11" s="779">
        <f t="shared" si="32"/>
        <v>1</v>
      </c>
      <c r="BI11" s="779">
        <f t="shared" si="22"/>
        <v>2</v>
      </c>
      <c r="BJ11" s="779" t="str">
        <f t="shared" si="23"/>
        <v>2*</v>
      </c>
      <c r="BK11" s="779">
        <f t="shared" si="24"/>
        <v>3</v>
      </c>
      <c r="BL11" s="780">
        <f t="shared" si="33"/>
        <v>1</v>
      </c>
      <c r="BM11" s="779">
        <f t="shared" si="25"/>
        <v>2</v>
      </c>
      <c r="BN11" s="779">
        <f t="shared" si="26"/>
        <v>3</v>
      </c>
      <c r="BO11" s="787">
        <v>0</v>
      </c>
      <c r="BP11" s="788" t="s">
        <v>465</v>
      </c>
    </row>
    <row r="12" spans="2:73" s="731" customFormat="1" ht="12.95" customHeight="1" x14ac:dyDescent="0.25">
      <c r="B12" s="783">
        <f>IF(ISNA(Z12),"",IF(OR(Z12=1,Z12=2),"    ",MAX($B$9:B11)+1))</f>
        <v>3</v>
      </c>
      <c r="C12" s="1116" t="str">
        <f t="shared" si="0"/>
        <v xml:space="preserve">      - Logical Chain of Reasoning (12.0%)</v>
      </c>
      <c r="D12" s="1116"/>
      <c r="E12" s="1116"/>
      <c r="F12" s="1117"/>
      <c r="G12" s="763">
        <f t="shared" si="1"/>
        <v>1</v>
      </c>
      <c r="H12" s="764" t="str">
        <f t="shared" si="2"/>
        <v>2*</v>
      </c>
      <c r="I12" s="784">
        <f t="shared" si="2"/>
        <v>3</v>
      </c>
      <c r="J12" s="789"/>
      <c r="K12" s="786"/>
      <c r="L12" s="1134"/>
      <c r="M12" s="1135"/>
      <c r="N12" s="1135"/>
      <c r="O12" s="1135"/>
      <c r="P12" s="1135"/>
      <c r="Q12" s="1135"/>
      <c r="R12" s="1136"/>
      <c r="T12" s="727">
        <v>4</v>
      </c>
      <c r="U12" s="716" t="s">
        <v>969</v>
      </c>
      <c r="V12" s="768">
        <v>1</v>
      </c>
      <c r="W12" s="768">
        <v>4</v>
      </c>
      <c r="X12" s="768" t="s">
        <v>340</v>
      </c>
      <c r="Y12" s="768" t="s">
        <v>340</v>
      </c>
      <c r="Z12" s="777" t="s">
        <v>340</v>
      </c>
      <c r="AA12" s="777">
        <v>2</v>
      </c>
      <c r="AB12" s="777">
        <v>1</v>
      </c>
      <c r="AC12" s="768">
        <v>3</v>
      </c>
      <c r="AD12" s="768">
        <v>2</v>
      </c>
      <c r="AE12" s="768">
        <v>1</v>
      </c>
      <c r="AF12" s="768" t="b">
        <v>1</v>
      </c>
      <c r="AG12" s="768">
        <f t="shared" si="3"/>
        <v>2</v>
      </c>
      <c r="AH12" s="768">
        <f t="shared" si="4"/>
        <v>1</v>
      </c>
      <c r="AI12" s="769">
        <f>IF(NOT(OR(Z12=1,Z12=2)),IF(AQ12&gt;0,$AR$45*AQ12/SUMIF($AQ$9:$AQ$40,"&gt;0"),IF(AU12&gt;0,$AV$45*AU12/SUMIF($AU$9:$AU$40,"&gt;0"),IF(AS12&gt;0,$AT$45*AS12/SUMIF($AS$9:$AS$40,"&gt;0"),""))),IF(SUMIF(AJ13:$AJ$40,"=" &amp; AJ12,AI13:$AI$40)=0,"",SUMIF(AJ13:$AJ$40,"=" &amp; AJ12,AI13:$AI$40)))</f>
        <v>0.12000000379200011</v>
      </c>
      <c r="AJ12" s="770">
        <f t="shared" si="34"/>
        <v>0</v>
      </c>
      <c r="AK12" s="768">
        <f t="shared" si="27"/>
        <v>2</v>
      </c>
      <c r="AL12" s="777" t="str">
        <f t="shared" si="28"/>
        <v/>
      </c>
      <c r="AM12" s="777" t="str">
        <f t="shared" si="35"/>
        <v/>
      </c>
      <c r="AN12" s="777" t="str">
        <f t="shared" si="5"/>
        <v/>
      </c>
      <c r="AO12" s="777" t="str">
        <f t="shared" si="6"/>
        <v/>
      </c>
      <c r="AP12" s="768" t="b">
        <f t="shared" si="7"/>
        <v>1</v>
      </c>
      <c r="AQ12" s="771">
        <f t="shared" si="29"/>
        <v>4</v>
      </c>
      <c r="AR12" s="772" t="str">
        <f t="shared" si="8"/>
        <v/>
      </c>
      <c r="AS12" s="773">
        <f t="shared" si="30"/>
        <v>0</v>
      </c>
      <c r="AT12" s="772" t="str">
        <f t="shared" si="9"/>
        <v/>
      </c>
      <c r="AU12" s="774">
        <f t="shared" si="10"/>
        <v>0</v>
      </c>
      <c r="AV12" s="775" t="str">
        <f t="shared" si="11"/>
        <v/>
      </c>
      <c r="AW12" s="774" t="b">
        <f t="shared" si="12"/>
        <v>0</v>
      </c>
      <c r="AX12" s="776" t="b">
        <f t="shared" si="13"/>
        <v>1</v>
      </c>
      <c r="AY12" s="774" t="b">
        <f t="shared" si="14"/>
        <v>0</v>
      </c>
      <c r="AZ12" s="776" t="b">
        <f t="shared" si="15"/>
        <v>0</v>
      </c>
      <c r="BA12" s="768" t="b">
        <f t="shared" si="16"/>
        <v>0</v>
      </c>
      <c r="BB12" s="768" t="b">
        <f t="shared" si="17"/>
        <v>0</v>
      </c>
      <c r="BC12" s="774" t="b">
        <f t="shared" si="18"/>
        <v>0</v>
      </c>
      <c r="BD12" s="777" t="b">
        <f t="shared" si="31"/>
        <v>0</v>
      </c>
      <c r="BE12" s="776" t="b">
        <f t="shared" si="19"/>
        <v>0</v>
      </c>
      <c r="BF12" s="778" t="b">
        <f t="shared" si="20"/>
        <v>0</v>
      </c>
      <c r="BG12" s="779" t="b">
        <f t="shared" si="21"/>
        <v>1</v>
      </c>
      <c r="BH12" s="779">
        <f t="shared" si="32"/>
        <v>1</v>
      </c>
      <c r="BI12" s="779">
        <f t="shared" si="22"/>
        <v>2</v>
      </c>
      <c r="BJ12" s="779" t="str">
        <f t="shared" si="23"/>
        <v>2*</v>
      </c>
      <c r="BK12" s="779">
        <f t="shared" si="24"/>
        <v>3</v>
      </c>
      <c r="BL12" s="780">
        <f t="shared" si="33"/>
        <v>1</v>
      </c>
      <c r="BM12" s="779">
        <f t="shared" si="25"/>
        <v>2</v>
      </c>
      <c r="BN12" s="779">
        <f t="shared" si="26"/>
        <v>3</v>
      </c>
      <c r="BO12" s="787">
        <v>1</v>
      </c>
      <c r="BP12" s="788" t="s">
        <v>467</v>
      </c>
    </row>
    <row r="13" spans="2:73" s="731" customFormat="1" ht="12.95" customHeight="1" x14ac:dyDescent="0.25">
      <c r="B13" s="783" t="str">
        <f>IF(ISNA(Z13),"",IF(OR(Z13=1,Z13=2),"    ",MAX($B$9:B12)+1))</f>
        <v xml:space="preserve">    </v>
      </c>
      <c r="C13" s="1116" t="str">
        <f t="shared" si="0"/>
        <v>Take-Off Ground Roll (20.0%)</v>
      </c>
      <c r="D13" s="1116"/>
      <c r="E13" s="1116"/>
      <c r="F13" s="1117"/>
      <c r="G13" s="763" t="str">
        <f t="shared" si="1"/>
        <v/>
      </c>
      <c r="H13" s="764" t="str">
        <f t="shared" si="2"/>
        <v/>
      </c>
      <c r="I13" s="784" t="str">
        <f t="shared" si="2"/>
        <v/>
      </c>
      <c r="J13" s="793"/>
      <c r="K13" s="794"/>
      <c r="L13" s="1134"/>
      <c r="M13" s="1135"/>
      <c r="N13" s="1135"/>
      <c r="O13" s="1135"/>
      <c r="P13" s="1135"/>
      <c r="Q13" s="1135"/>
      <c r="R13" s="1136"/>
      <c r="T13" s="727">
        <v>5</v>
      </c>
      <c r="U13" s="716" t="s">
        <v>995</v>
      </c>
      <c r="V13" s="768" t="s">
        <v>340</v>
      </c>
      <c r="W13" s="768" t="s">
        <v>340</v>
      </c>
      <c r="X13" s="768" t="s">
        <v>340</v>
      </c>
      <c r="Y13" s="768" t="s">
        <v>340</v>
      </c>
      <c r="Z13" s="777">
        <v>2</v>
      </c>
      <c r="AA13" s="777">
        <v>1</v>
      </c>
      <c r="AB13" s="777">
        <v>1</v>
      </c>
      <c r="AC13" s="768" t="s">
        <v>340</v>
      </c>
      <c r="AD13" s="768" t="s">
        <v>340</v>
      </c>
      <c r="AE13" s="768" t="s">
        <v>340</v>
      </c>
      <c r="AF13" s="768" t="s">
        <v>340</v>
      </c>
      <c r="AG13" s="768" t="str">
        <f t="shared" si="3"/>
        <v/>
      </c>
      <c r="AH13" s="768" t="str">
        <f t="shared" si="4"/>
        <v/>
      </c>
      <c r="AI13" s="769">
        <f>IF(NOT(OR(Z13=1,Z13=2)),IF(AQ13&gt;0,$AR$45*AQ13/SUMIF($AQ$9:$AQ$40,"&gt;0"),IF(AU13&gt;0,$AV$45*AU13/SUMIF($AU$9:$AU$40,"&gt;0"),IF(AS13&gt;0,$AT$45*AS13/SUMIF($AS$9:$AS$40,"&gt;0"),""))),IF(SUMIF(AJ14:$AJ$40,"=" &amp; AJ13,AI14:$AI$40)=0,"",SUMIF(AJ14:$AJ$40,"=" &amp; AJ13,AI14:$AI$40)))</f>
        <v>0.20000000612000018</v>
      </c>
      <c r="AJ13" s="770">
        <f t="shared" si="34"/>
        <v>1</v>
      </c>
      <c r="AK13" s="768" t="str">
        <f t="shared" si="27"/>
        <v/>
      </c>
      <c r="AL13" s="777" t="str">
        <f t="shared" si="28"/>
        <v/>
      </c>
      <c r="AM13" s="777" t="str">
        <f t="shared" si="35"/>
        <v/>
      </c>
      <c r="AN13" s="777" t="str">
        <f t="shared" si="5"/>
        <v/>
      </c>
      <c r="AO13" s="777" t="str">
        <f t="shared" si="6"/>
        <v/>
      </c>
      <c r="AP13" s="768" t="str">
        <f t="shared" si="7"/>
        <v/>
      </c>
      <c r="AQ13" s="771">
        <f t="shared" si="29"/>
        <v>0</v>
      </c>
      <c r="AR13" s="772" t="str">
        <f t="shared" si="8"/>
        <v/>
      </c>
      <c r="AS13" s="773">
        <f t="shared" si="30"/>
        <v>0</v>
      </c>
      <c r="AT13" s="772" t="str">
        <f t="shared" si="9"/>
        <v/>
      </c>
      <c r="AU13" s="774">
        <f t="shared" si="10"/>
        <v>0</v>
      </c>
      <c r="AV13" s="775" t="str">
        <f t="shared" si="11"/>
        <v/>
      </c>
      <c r="AW13" s="774" t="b">
        <f t="shared" si="12"/>
        <v>0</v>
      </c>
      <c r="AX13" s="776" t="b">
        <f t="shared" si="13"/>
        <v>0</v>
      </c>
      <c r="AY13" s="774" t="b">
        <f t="shared" si="14"/>
        <v>0</v>
      </c>
      <c r="AZ13" s="776" t="b">
        <f t="shared" si="15"/>
        <v>0</v>
      </c>
      <c r="BA13" s="768" t="b">
        <f t="shared" si="16"/>
        <v>0</v>
      </c>
      <c r="BB13" s="768" t="b">
        <f t="shared" si="17"/>
        <v>0</v>
      </c>
      <c r="BC13" s="774" t="b">
        <f t="shared" si="18"/>
        <v>0</v>
      </c>
      <c r="BD13" s="777" t="b">
        <f t="shared" si="31"/>
        <v>0</v>
      </c>
      <c r="BE13" s="776" t="b">
        <f t="shared" si="19"/>
        <v>0</v>
      </c>
      <c r="BF13" s="778" t="b">
        <f t="shared" si="20"/>
        <v>0</v>
      </c>
      <c r="BG13" s="779" t="b">
        <f t="shared" si="21"/>
        <v>0</v>
      </c>
      <c r="BH13" s="779" t="str">
        <f t="shared" si="32"/>
        <v/>
      </c>
      <c r="BI13" s="779" t="str">
        <f t="shared" si="22"/>
        <v/>
      </c>
      <c r="BJ13" s="779" t="str">
        <f t="shared" si="23"/>
        <v/>
      </c>
      <c r="BK13" s="779" t="str">
        <f t="shared" si="24"/>
        <v/>
      </c>
      <c r="BL13" s="780" t="str">
        <f t="shared" si="33"/>
        <v/>
      </c>
      <c r="BM13" s="779" t="str">
        <f t="shared" si="25"/>
        <v/>
      </c>
      <c r="BN13" s="779" t="str">
        <f t="shared" si="26"/>
        <v/>
      </c>
      <c r="BO13" s="787">
        <v>2</v>
      </c>
      <c r="BP13" s="788" t="s">
        <v>350</v>
      </c>
    </row>
    <row r="14" spans="2:73" s="731" customFormat="1" ht="12.95" customHeight="1" x14ac:dyDescent="0.25">
      <c r="B14" s="783">
        <f>IF(ISNA(Z14),"",IF(OR(Z14=1,Z14=2),"    ",MAX($B$9:B13)+1))</f>
        <v>4</v>
      </c>
      <c r="C14" s="1116" t="str">
        <f t="shared" si="0"/>
        <v xml:space="preserve">      - Test Methods and Conditions (3.0%)</v>
      </c>
      <c r="D14" s="1116"/>
      <c r="E14" s="1116"/>
      <c r="F14" s="1117"/>
      <c r="G14" s="763">
        <f t="shared" si="1"/>
        <v>1</v>
      </c>
      <c r="H14" s="764" t="str">
        <f t="shared" si="2"/>
        <v>2*</v>
      </c>
      <c r="I14" s="784">
        <f t="shared" si="2"/>
        <v>3</v>
      </c>
      <c r="J14" s="789"/>
      <c r="K14" s="786"/>
      <c r="L14" s="1134"/>
      <c r="M14" s="1135"/>
      <c r="N14" s="1135"/>
      <c r="O14" s="1135"/>
      <c r="P14" s="1135"/>
      <c r="Q14" s="1135"/>
      <c r="R14" s="1136"/>
      <c r="T14" s="727">
        <v>6</v>
      </c>
      <c r="U14" s="716" t="s">
        <v>984</v>
      </c>
      <c r="V14" s="768">
        <v>1</v>
      </c>
      <c r="W14" s="768">
        <v>1</v>
      </c>
      <c r="X14" s="768" t="s">
        <v>340</v>
      </c>
      <c r="Y14" s="768" t="s">
        <v>340</v>
      </c>
      <c r="Z14" s="777" t="s">
        <v>340</v>
      </c>
      <c r="AA14" s="777">
        <v>2</v>
      </c>
      <c r="AB14" s="777">
        <v>1</v>
      </c>
      <c r="AC14" s="768">
        <v>3</v>
      </c>
      <c r="AD14" s="768">
        <v>2</v>
      </c>
      <c r="AE14" s="768">
        <v>1</v>
      </c>
      <c r="AF14" s="768" t="b">
        <v>1</v>
      </c>
      <c r="AG14" s="768">
        <f t="shared" si="3"/>
        <v>2</v>
      </c>
      <c r="AH14" s="768">
        <f t="shared" si="4"/>
        <v>1</v>
      </c>
      <c r="AI14" s="769">
        <f>IF(NOT(OR(Z14=1,Z14=2)),IF(AQ14&gt;0,$AR$45*AQ14/SUMIF($AQ$9:$AQ$40,"&gt;0"),IF(AU14&gt;0,$AV$45*AU14/SUMIF($AU$9:$AU$40,"&gt;0"),IF(AS14&gt;0,$AT$45*AS14/SUMIF($AS$9:$AS$40,"&gt;0"),""))),IF(SUMIF(AJ15:$AJ$40,"=" &amp; AJ14,AI15:$AI$40)=0,"",SUMIF(AJ15:$AJ$40,"=" &amp; AJ14,AI15:$AI$40)))</f>
        <v>3.0000000948000028E-2</v>
      </c>
      <c r="AJ14" s="770">
        <f t="shared" si="34"/>
        <v>1</v>
      </c>
      <c r="AK14" s="768">
        <f t="shared" si="27"/>
        <v>2</v>
      </c>
      <c r="AL14" s="777" t="str">
        <f t="shared" si="28"/>
        <v/>
      </c>
      <c r="AM14" s="777" t="str">
        <f t="shared" si="35"/>
        <v/>
      </c>
      <c r="AN14" s="777" t="str">
        <f t="shared" si="5"/>
        <v/>
      </c>
      <c r="AO14" s="777" t="str">
        <f t="shared" si="6"/>
        <v/>
      </c>
      <c r="AP14" s="768" t="b">
        <f t="shared" si="7"/>
        <v>1</v>
      </c>
      <c r="AQ14" s="771">
        <f t="shared" si="29"/>
        <v>1</v>
      </c>
      <c r="AR14" s="772" t="str">
        <f t="shared" si="8"/>
        <v/>
      </c>
      <c r="AS14" s="773">
        <f t="shared" si="30"/>
        <v>0</v>
      </c>
      <c r="AT14" s="772" t="str">
        <f t="shared" si="9"/>
        <v/>
      </c>
      <c r="AU14" s="774">
        <f t="shared" si="10"/>
        <v>0</v>
      </c>
      <c r="AV14" s="775" t="str">
        <f t="shared" si="11"/>
        <v/>
      </c>
      <c r="AW14" s="774" t="b">
        <f t="shared" si="12"/>
        <v>0</v>
      </c>
      <c r="AX14" s="776" t="b">
        <f t="shared" si="13"/>
        <v>1</v>
      </c>
      <c r="AY14" s="774" t="b">
        <f t="shared" si="14"/>
        <v>0</v>
      </c>
      <c r="AZ14" s="776" t="b">
        <f t="shared" si="15"/>
        <v>0</v>
      </c>
      <c r="BA14" s="768" t="b">
        <f t="shared" si="16"/>
        <v>0</v>
      </c>
      <c r="BB14" s="768" t="b">
        <f t="shared" si="17"/>
        <v>0</v>
      </c>
      <c r="BC14" s="774" t="b">
        <f t="shared" si="18"/>
        <v>0</v>
      </c>
      <c r="BD14" s="777" t="b">
        <f t="shared" si="31"/>
        <v>0</v>
      </c>
      <c r="BE14" s="776" t="b">
        <f t="shared" si="19"/>
        <v>0</v>
      </c>
      <c r="BF14" s="778" t="b">
        <f t="shared" si="20"/>
        <v>0</v>
      </c>
      <c r="BG14" s="779" t="b">
        <f t="shared" si="21"/>
        <v>1</v>
      </c>
      <c r="BH14" s="779">
        <f t="shared" si="32"/>
        <v>1</v>
      </c>
      <c r="BI14" s="779">
        <f t="shared" si="22"/>
        <v>2</v>
      </c>
      <c r="BJ14" s="779" t="str">
        <f t="shared" si="23"/>
        <v>2*</v>
      </c>
      <c r="BK14" s="779">
        <f t="shared" si="24"/>
        <v>3</v>
      </c>
      <c r="BL14" s="780">
        <f t="shared" si="33"/>
        <v>1</v>
      </c>
      <c r="BM14" s="779">
        <f t="shared" si="25"/>
        <v>2</v>
      </c>
      <c r="BN14" s="779">
        <f t="shared" si="26"/>
        <v>3</v>
      </c>
      <c r="BO14" s="787">
        <v>3</v>
      </c>
      <c r="BP14" s="788" t="s">
        <v>352</v>
      </c>
    </row>
    <row r="15" spans="2:73" s="731" customFormat="1" ht="12.95" customHeight="1" x14ac:dyDescent="0.25">
      <c r="B15" s="783">
        <f>IF(ISNA(Z15),"",IF(OR(Z15=1,Z15=2),"    ",MAX($B$9:B14)+1))</f>
        <v>5</v>
      </c>
      <c r="C15" s="1116" t="str">
        <f t="shared" si="0"/>
        <v xml:space="preserve">      - Objective Results (6.0%)</v>
      </c>
      <c r="D15" s="1116"/>
      <c r="E15" s="1116"/>
      <c r="F15" s="1117"/>
      <c r="G15" s="763">
        <f t="shared" si="1"/>
        <v>1</v>
      </c>
      <c r="H15" s="764" t="str">
        <f t="shared" si="2"/>
        <v>2*</v>
      </c>
      <c r="I15" s="784">
        <f t="shared" si="2"/>
        <v>3</v>
      </c>
      <c r="J15" s="789"/>
      <c r="K15" s="786"/>
      <c r="L15" s="1134"/>
      <c r="M15" s="1135"/>
      <c r="N15" s="1135"/>
      <c r="O15" s="1135"/>
      <c r="P15" s="1135"/>
      <c r="Q15" s="1135"/>
      <c r="R15" s="1136"/>
      <c r="T15" s="727">
        <v>7</v>
      </c>
      <c r="U15" s="716" t="s">
        <v>985</v>
      </c>
      <c r="V15" s="768">
        <v>1</v>
      </c>
      <c r="W15" s="768">
        <v>2</v>
      </c>
      <c r="X15" s="768" t="s">
        <v>340</v>
      </c>
      <c r="Y15" s="768" t="s">
        <v>340</v>
      </c>
      <c r="Z15" s="777" t="s">
        <v>340</v>
      </c>
      <c r="AA15" s="777">
        <v>2</v>
      </c>
      <c r="AB15" s="777">
        <v>1</v>
      </c>
      <c r="AC15" s="768">
        <v>3</v>
      </c>
      <c r="AD15" s="768">
        <v>2</v>
      </c>
      <c r="AE15" s="768">
        <v>1</v>
      </c>
      <c r="AF15" s="768" t="b">
        <v>1</v>
      </c>
      <c r="AG15" s="768">
        <f t="shared" si="3"/>
        <v>2</v>
      </c>
      <c r="AH15" s="768">
        <f t="shared" si="4"/>
        <v>1</v>
      </c>
      <c r="AI15" s="769">
        <f>IF(NOT(OR(Z15=1,Z15=2)),IF(AQ15&gt;0,$AR$45*AQ15/SUMIF($AQ$9:$AQ$40,"&gt;0"),IF(AU15&gt;0,$AV$45*AU15/SUMIF($AU$9:$AU$40,"&gt;0"),IF(AS15&gt;0,$AT$45*AS15/SUMIF($AS$9:$AS$40,"&gt;0"),""))),IF(SUMIF(AJ16:$AJ$40,"=" &amp; AJ15,AI16:$AI$40)=0,"",SUMIF(AJ16:$AJ$40,"=" &amp; AJ15,AI16:$AI$40)))</f>
        <v>6.0000001896000056E-2</v>
      </c>
      <c r="AJ15" s="770">
        <f t="shared" si="34"/>
        <v>1</v>
      </c>
      <c r="AK15" s="768">
        <f t="shared" si="27"/>
        <v>2</v>
      </c>
      <c r="AL15" s="777" t="str">
        <f t="shared" si="28"/>
        <v/>
      </c>
      <c r="AM15" s="777" t="str">
        <f t="shared" si="35"/>
        <v/>
      </c>
      <c r="AN15" s="777" t="str">
        <f t="shared" si="5"/>
        <v/>
      </c>
      <c r="AO15" s="777" t="str">
        <f t="shared" si="6"/>
        <v/>
      </c>
      <c r="AP15" s="768" t="b">
        <f t="shared" si="7"/>
        <v>1</v>
      </c>
      <c r="AQ15" s="771">
        <f t="shared" si="29"/>
        <v>2</v>
      </c>
      <c r="AR15" s="772" t="str">
        <f t="shared" si="8"/>
        <v/>
      </c>
      <c r="AS15" s="773">
        <f t="shared" si="30"/>
        <v>0</v>
      </c>
      <c r="AT15" s="772" t="str">
        <f t="shared" si="9"/>
        <v/>
      </c>
      <c r="AU15" s="774">
        <f t="shared" si="10"/>
        <v>0</v>
      </c>
      <c r="AV15" s="775" t="str">
        <f t="shared" si="11"/>
        <v/>
      </c>
      <c r="AW15" s="774" t="b">
        <f t="shared" si="12"/>
        <v>0</v>
      </c>
      <c r="AX15" s="776" t="b">
        <f t="shared" si="13"/>
        <v>1</v>
      </c>
      <c r="AY15" s="774" t="b">
        <f t="shared" si="14"/>
        <v>0</v>
      </c>
      <c r="AZ15" s="776" t="b">
        <f t="shared" si="15"/>
        <v>0</v>
      </c>
      <c r="BA15" s="768" t="b">
        <f t="shared" si="16"/>
        <v>0</v>
      </c>
      <c r="BB15" s="768" t="b">
        <f t="shared" si="17"/>
        <v>0</v>
      </c>
      <c r="BC15" s="774" t="b">
        <f t="shared" si="18"/>
        <v>0</v>
      </c>
      <c r="BD15" s="777" t="b">
        <f t="shared" si="31"/>
        <v>0</v>
      </c>
      <c r="BE15" s="776" t="b">
        <f t="shared" si="19"/>
        <v>0</v>
      </c>
      <c r="BF15" s="778" t="b">
        <f t="shared" si="20"/>
        <v>0</v>
      </c>
      <c r="BG15" s="779" t="b">
        <f t="shared" si="21"/>
        <v>1</v>
      </c>
      <c r="BH15" s="779">
        <f t="shared" si="32"/>
        <v>1</v>
      </c>
      <c r="BI15" s="779">
        <f t="shared" si="22"/>
        <v>2</v>
      </c>
      <c r="BJ15" s="779" t="str">
        <f t="shared" si="23"/>
        <v>2*</v>
      </c>
      <c r="BK15" s="779">
        <f t="shared" si="24"/>
        <v>3</v>
      </c>
      <c r="BL15" s="780">
        <f t="shared" si="33"/>
        <v>1</v>
      </c>
      <c r="BM15" s="779">
        <f t="shared" si="25"/>
        <v>2</v>
      </c>
      <c r="BN15" s="779">
        <f t="shared" si="26"/>
        <v>3</v>
      </c>
      <c r="BO15" s="787">
        <v>4</v>
      </c>
      <c r="BP15" s="788" t="s">
        <v>354</v>
      </c>
    </row>
    <row r="16" spans="2:73" s="731" customFormat="1" ht="12.95" customHeight="1" x14ac:dyDescent="0.25">
      <c r="B16" s="783">
        <f>IF(ISNA(Z16),"",IF(OR(Z16=1,Z16=2),"    ",MAX($B$9:B15)+1))</f>
        <v>6</v>
      </c>
      <c r="C16" s="1116" t="str">
        <f t="shared" si="0"/>
        <v xml:space="preserve">      - Eng Analysis &amp; Oper. Impact (6.0%)</v>
      </c>
      <c r="D16" s="1116"/>
      <c r="E16" s="1116"/>
      <c r="F16" s="1117"/>
      <c r="G16" s="763">
        <f t="shared" si="1"/>
        <v>1</v>
      </c>
      <c r="H16" s="764" t="str">
        <f t="shared" si="2"/>
        <v>2*</v>
      </c>
      <c r="I16" s="784">
        <f t="shared" si="2"/>
        <v>3</v>
      </c>
      <c r="J16" s="789"/>
      <c r="K16" s="786"/>
      <c r="L16" s="1134"/>
      <c r="M16" s="1135"/>
      <c r="N16" s="1135"/>
      <c r="O16" s="1135"/>
      <c r="P16" s="1135"/>
      <c r="Q16" s="1135"/>
      <c r="R16" s="1136"/>
      <c r="T16" s="727">
        <v>8</v>
      </c>
      <c r="U16" s="716" t="s">
        <v>986</v>
      </c>
      <c r="V16" s="768">
        <v>1</v>
      </c>
      <c r="W16" s="768">
        <v>2</v>
      </c>
      <c r="X16" s="768" t="s">
        <v>340</v>
      </c>
      <c r="Y16" s="768" t="s">
        <v>340</v>
      </c>
      <c r="Z16" s="777" t="s">
        <v>340</v>
      </c>
      <c r="AA16" s="777">
        <v>2</v>
      </c>
      <c r="AB16" s="777">
        <v>1</v>
      </c>
      <c r="AC16" s="768">
        <v>3</v>
      </c>
      <c r="AD16" s="768">
        <v>2</v>
      </c>
      <c r="AE16" s="768">
        <v>1</v>
      </c>
      <c r="AF16" s="768" t="b">
        <v>1</v>
      </c>
      <c r="AG16" s="768">
        <f t="shared" si="3"/>
        <v>2</v>
      </c>
      <c r="AH16" s="768">
        <f t="shared" si="4"/>
        <v>1</v>
      </c>
      <c r="AI16" s="769">
        <f>IF(NOT(OR(Z16=1,Z16=2)),IF(AQ16&gt;0,$AR$45*AQ16/SUMIF($AQ$9:$AQ$40,"&gt;0"),IF(AU16&gt;0,$AV$45*AU16/SUMIF($AU$9:$AU$40,"&gt;0"),IF(AS16&gt;0,$AT$45*AS16/SUMIF($AS$9:$AS$40,"&gt;0"),""))),IF(SUMIF(AJ17:$AJ$40,"=" &amp; AJ16,AI17:$AI$40)=0,"",SUMIF(AJ17:$AJ$40,"=" &amp; AJ16,AI17:$AI$40)))</f>
        <v>6.0000001896000056E-2</v>
      </c>
      <c r="AJ16" s="770">
        <f t="shared" si="34"/>
        <v>1</v>
      </c>
      <c r="AK16" s="768">
        <f t="shared" si="27"/>
        <v>2</v>
      </c>
      <c r="AL16" s="777" t="str">
        <f t="shared" si="28"/>
        <v/>
      </c>
      <c r="AM16" s="777" t="str">
        <f t="shared" si="35"/>
        <v/>
      </c>
      <c r="AN16" s="777" t="str">
        <f t="shared" si="5"/>
        <v/>
      </c>
      <c r="AO16" s="777" t="str">
        <f t="shared" si="6"/>
        <v/>
      </c>
      <c r="AP16" s="768" t="b">
        <f t="shared" si="7"/>
        <v>1</v>
      </c>
      <c r="AQ16" s="771">
        <f t="shared" si="29"/>
        <v>2</v>
      </c>
      <c r="AR16" s="772" t="str">
        <f t="shared" si="8"/>
        <v/>
      </c>
      <c r="AS16" s="773">
        <f t="shared" si="30"/>
        <v>0</v>
      </c>
      <c r="AT16" s="772" t="str">
        <f t="shared" si="9"/>
        <v/>
      </c>
      <c r="AU16" s="774">
        <f t="shared" si="10"/>
        <v>0</v>
      </c>
      <c r="AV16" s="775" t="str">
        <f t="shared" si="11"/>
        <v/>
      </c>
      <c r="AW16" s="774" t="b">
        <f t="shared" si="12"/>
        <v>0</v>
      </c>
      <c r="AX16" s="776" t="b">
        <f t="shared" si="13"/>
        <v>1</v>
      </c>
      <c r="AY16" s="774" t="b">
        <f t="shared" si="14"/>
        <v>0</v>
      </c>
      <c r="AZ16" s="776" t="b">
        <f t="shared" si="15"/>
        <v>0</v>
      </c>
      <c r="BA16" s="768" t="b">
        <f t="shared" si="16"/>
        <v>0</v>
      </c>
      <c r="BB16" s="768" t="b">
        <f t="shared" si="17"/>
        <v>0</v>
      </c>
      <c r="BC16" s="774" t="b">
        <f t="shared" si="18"/>
        <v>0</v>
      </c>
      <c r="BD16" s="777" t="b">
        <f t="shared" si="31"/>
        <v>0</v>
      </c>
      <c r="BE16" s="776" t="b">
        <f t="shared" si="19"/>
        <v>0</v>
      </c>
      <c r="BF16" s="778" t="b">
        <f t="shared" si="20"/>
        <v>0</v>
      </c>
      <c r="BG16" s="779" t="b">
        <f t="shared" si="21"/>
        <v>1</v>
      </c>
      <c r="BH16" s="779">
        <f t="shared" si="32"/>
        <v>1</v>
      </c>
      <c r="BI16" s="779">
        <f t="shared" si="22"/>
        <v>2</v>
      </c>
      <c r="BJ16" s="779" t="str">
        <f t="shared" si="23"/>
        <v>2*</v>
      </c>
      <c r="BK16" s="779">
        <f t="shared" si="24"/>
        <v>3</v>
      </c>
      <c r="BL16" s="780">
        <f t="shared" si="33"/>
        <v>1</v>
      </c>
      <c r="BM16" s="779">
        <f t="shared" si="25"/>
        <v>2</v>
      </c>
      <c r="BN16" s="779">
        <f t="shared" si="26"/>
        <v>3</v>
      </c>
      <c r="BO16" s="719"/>
    </row>
    <row r="17" spans="2:75" s="731" customFormat="1" ht="12.95" customHeight="1" x14ac:dyDescent="0.25">
      <c r="B17" s="783">
        <f>IF(ISNA(Z17),"",IF(OR(Z17=1,Z17=2),"    ",MAX($B$9:B16)+1))</f>
        <v>7</v>
      </c>
      <c r="C17" s="1116" t="str">
        <f t="shared" si="0"/>
        <v xml:space="preserve">      - Conclusions &amp; Recomm. (5.0%)</v>
      </c>
      <c r="D17" s="1116"/>
      <c r="E17" s="1116"/>
      <c r="F17" s="1117"/>
      <c r="G17" s="763">
        <f t="shared" si="1"/>
        <v>1</v>
      </c>
      <c r="H17" s="764" t="str">
        <f t="shared" si="2"/>
        <v>2*</v>
      </c>
      <c r="I17" s="784">
        <f t="shared" si="2"/>
        <v>3</v>
      </c>
      <c r="J17" s="789"/>
      <c r="K17" s="786"/>
      <c r="L17" s="1134"/>
      <c r="M17" s="1135"/>
      <c r="N17" s="1135"/>
      <c r="O17" s="1135"/>
      <c r="P17" s="1135"/>
      <c r="Q17" s="1135"/>
      <c r="R17" s="1136"/>
      <c r="T17" s="727">
        <v>9</v>
      </c>
      <c r="U17" s="716" t="s">
        <v>987</v>
      </c>
      <c r="V17" s="768">
        <v>1</v>
      </c>
      <c r="W17" s="768">
        <v>1.66666666</v>
      </c>
      <c r="X17" s="768" t="s">
        <v>340</v>
      </c>
      <c r="Y17" s="768" t="s">
        <v>340</v>
      </c>
      <c r="Z17" s="777" t="s">
        <v>340</v>
      </c>
      <c r="AA17" s="777">
        <v>2</v>
      </c>
      <c r="AB17" s="777">
        <v>1</v>
      </c>
      <c r="AC17" s="768">
        <v>3</v>
      </c>
      <c r="AD17" s="768">
        <v>2</v>
      </c>
      <c r="AE17" s="768">
        <v>1</v>
      </c>
      <c r="AF17" s="768" t="b">
        <v>1</v>
      </c>
      <c r="AG17" s="768">
        <f t="shared" si="3"/>
        <v>2</v>
      </c>
      <c r="AH17" s="768">
        <f t="shared" si="4"/>
        <v>1</v>
      </c>
      <c r="AI17" s="769">
        <f>IF(NOT(OR(Z17=1,Z17=2)),IF(AQ17&gt;0,$AR$45*AQ17/SUMIF($AQ$9:$AQ$40,"&gt;0"),IF(AU17&gt;0,$AV$45*AU17/SUMIF($AU$9:$AU$40,"&gt;0"),IF(AS17&gt;0,$AT$45*AS17/SUMIF($AS$9:$AS$40,"&gt;0"),""))),IF(SUMIF(AJ18:$AJ$40,"=" &amp; AJ17,AI18:$AI$40)=0,"",SUMIF(AJ18:$AJ$40,"=" &amp; AJ17,AI18:$AI$40)))</f>
        <v>5.0000001380000041E-2</v>
      </c>
      <c r="AJ17" s="770">
        <f t="shared" si="34"/>
        <v>1</v>
      </c>
      <c r="AK17" s="768">
        <f t="shared" si="27"/>
        <v>2</v>
      </c>
      <c r="AL17" s="777" t="str">
        <f t="shared" si="28"/>
        <v/>
      </c>
      <c r="AM17" s="777" t="str">
        <f t="shared" si="35"/>
        <v/>
      </c>
      <c r="AN17" s="777" t="str">
        <f t="shared" si="5"/>
        <v/>
      </c>
      <c r="AO17" s="777" t="str">
        <f t="shared" si="6"/>
        <v/>
      </c>
      <c r="AP17" s="768" t="b">
        <f t="shared" si="7"/>
        <v>1</v>
      </c>
      <c r="AQ17" s="771">
        <f t="shared" si="29"/>
        <v>1.66666666</v>
      </c>
      <c r="AR17" s="772" t="str">
        <f t="shared" si="8"/>
        <v/>
      </c>
      <c r="AS17" s="773">
        <f t="shared" si="30"/>
        <v>0</v>
      </c>
      <c r="AT17" s="772" t="str">
        <f t="shared" si="9"/>
        <v/>
      </c>
      <c r="AU17" s="774">
        <f t="shared" si="10"/>
        <v>0</v>
      </c>
      <c r="AV17" s="775" t="str">
        <f t="shared" si="11"/>
        <v/>
      </c>
      <c r="AW17" s="774" t="b">
        <f t="shared" si="12"/>
        <v>0</v>
      </c>
      <c r="AX17" s="776" t="b">
        <f t="shared" si="13"/>
        <v>1</v>
      </c>
      <c r="AY17" s="774" t="b">
        <f t="shared" si="14"/>
        <v>0</v>
      </c>
      <c r="AZ17" s="776" t="b">
        <f t="shared" si="15"/>
        <v>0</v>
      </c>
      <c r="BA17" s="768" t="b">
        <f t="shared" si="16"/>
        <v>0</v>
      </c>
      <c r="BB17" s="768" t="b">
        <f t="shared" si="17"/>
        <v>0</v>
      </c>
      <c r="BC17" s="774" t="b">
        <f t="shared" si="18"/>
        <v>0</v>
      </c>
      <c r="BD17" s="777" t="b">
        <f t="shared" si="31"/>
        <v>0</v>
      </c>
      <c r="BE17" s="776" t="b">
        <f t="shared" si="19"/>
        <v>0</v>
      </c>
      <c r="BF17" s="778" t="b">
        <f t="shared" si="20"/>
        <v>0</v>
      </c>
      <c r="BG17" s="779" t="b">
        <f t="shared" si="21"/>
        <v>1</v>
      </c>
      <c r="BH17" s="779">
        <f t="shared" si="32"/>
        <v>1</v>
      </c>
      <c r="BI17" s="779">
        <f t="shared" si="22"/>
        <v>2</v>
      </c>
      <c r="BJ17" s="779" t="str">
        <f t="shared" si="23"/>
        <v>2*</v>
      </c>
      <c r="BK17" s="779">
        <f t="shared" si="24"/>
        <v>3</v>
      </c>
      <c r="BL17" s="780">
        <f t="shared" si="33"/>
        <v>1</v>
      </c>
      <c r="BM17" s="779">
        <f t="shared" si="25"/>
        <v>2</v>
      </c>
      <c r="BN17" s="779">
        <f t="shared" si="26"/>
        <v>3</v>
      </c>
      <c r="BO17" s="787"/>
      <c r="BP17" s="790"/>
    </row>
    <row r="18" spans="2:75" s="731" customFormat="1" ht="12.95" customHeight="1" x14ac:dyDescent="0.25">
      <c r="B18" s="783" t="str">
        <f>IF(ISNA(Z18),"",IF(OR(Z18=1,Z18=2),"    ",MAX($B$9:B17)+1))</f>
        <v xml:space="preserve">    </v>
      </c>
      <c r="C18" s="1116" t="str">
        <f t="shared" si="0"/>
        <v>Time/Fuel/Dist to Climb (20.0%)</v>
      </c>
      <c r="D18" s="1116"/>
      <c r="E18" s="1116"/>
      <c r="F18" s="1117"/>
      <c r="G18" s="763" t="str">
        <f t="shared" si="1"/>
        <v/>
      </c>
      <c r="H18" s="764" t="str">
        <f t="shared" si="2"/>
        <v/>
      </c>
      <c r="I18" s="784" t="str">
        <f t="shared" si="2"/>
        <v/>
      </c>
      <c r="J18" s="793"/>
      <c r="K18" s="794"/>
      <c r="L18" s="1134"/>
      <c r="M18" s="1135"/>
      <c r="N18" s="1135"/>
      <c r="O18" s="1135"/>
      <c r="P18" s="1135"/>
      <c r="Q18" s="1135"/>
      <c r="R18" s="1136"/>
      <c r="T18" s="727">
        <v>10</v>
      </c>
      <c r="U18" s="716" t="s">
        <v>996</v>
      </c>
      <c r="V18" s="768" t="s">
        <v>340</v>
      </c>
      <c r="W18" s="768" t="s">
        <v>340</v>
      </c>
      <c r="X18" s="768" t="s">
        <v>340</v>
      </c>
      <c r="Y18" s="768" t="s">
        <v>340</v>
      </c>
      <c r="Z18" s="777">
        <v>2</v>
      </c>
      <c r="AA18" s="777">
        <v>1</v>
      </c>
      <c r="AB18" s="777">
        <v>1</v>
      </c>
      <c r="AC18" s="768" t="s">
        <v>340</v>
      </c>
      <c r="AD18" s="768" t="s">
        <v>340</v>
      </c>
      <c r="AE18" s="768" t="s">
        <v>340</v>
      </c>
      <c r="AF18" s="768" t="s">
        <v>340</v>
      </c>
      <c r="AG18" s="768" t="str">
        <f t="shared" si="3"/>
        <v/>
      </c>
      <c r="AH18" s="768" t="str">
        <f t="shared" si="4"/>
        <v/>
      </c>
      <c r="AI18" s="769">
        <f>IF(NOT(OR(Z18=1,Z18=2)),IF(AQ18&gt;0,$AR$45*AQ18/SUMIF($AQ$9:$AQ$40,"&gt;0"),IF(AU18&gt;0,$AV$45*AU18/SUMIF($AU$9:$AU$40,"&gt;0"),IF(AS18&gt;0,$AT$45*AS18/SUMIF($AS$9:$AS$40,"&gt;0"),""))),IF(SUMIF(AJ19:$AJ$40,"=" &amp; AJ18,AI19:$AI$40)=0,"",SUMIF(AJ19:$AJ$40,"=" &amp; AJ18,AI19:$AI$40)))</f>
        <v>0.20000000612000018</v>
      </c>
      <c r="AJ18" s="770">
        <f t="shared" si="34"/>
        <v>2</v>
      </c>
      <c r="AK18" s="768" t="str">
        <f t="shared" si="27"/>
        <v/>
      </c>
      <c r="AL18" s="777" t="str">
        <f t="shared" si="28"/>
        <v/>
      </c>
      <c r="AM18" s="777" t="str">
        <f t="shared" si="35"/>
        <v/>
      </c>
      <c r="AN18" s="777" t="str">
        <f t="shared" si="5"/>
        <v/>
      </c>
      <c r="AO18" s="777" t="str">
        <f t="shared" si="6"/>
        <v/>
      </c>
      <c r="AP18" s="768" t="str">
        <f t="shared" si="7"/>
        <v/>
      </c>
      <c r="AQ18" s="771">
        <f t="shared" si="29"/>
        <v>0</v>
      </c>
      <c r="AR18" s="772" t="str">
        <f t="shared" si="8"/>
        <v/>
      </c>
      <c r="AS18" s="773">
        <f t="shared" si="30"/>
        <v>0</v>
      </c>
      <c r="AT18" s="772" t="str">
        <f t="shared" si="9"/>
        <v/>
      </c>
      <c r="AU18" s="774">
        <f t="shared" si="10"/>
        <v>0</v>
      </c>
      <c r="AV18" s="775" t="str">
        <f t="shared" si="11"/>
        <v/>
      </c>
      <c r="AW18" s="774" t="b">
        <f t="shared" si="12"/>
        <v>0</v>
      </c>
      <c r="AX18" s="776" t="b">
        <f t="shared" si="13"/>
        <v>0</v>
      </c>
      <c r="AY18" s="774" t="b">
        <f t="shared" si="14"/>
        <v>0</v>
      </c>
      <c r="AZ18" s="776" t="b">
        <f t="shared" si="15"/>
        <v>0</v>
      </c>
      <c r="BA18" s="768" t="b">
        <f t="shared" si="16"/>
        <v>0</v>
      </c>
      <c r="BB18" s="768" t="b">
        <f t="shared" si="17"/>
        <v>0</v>
      </c>
      <c r="BC18" s="774" t="b">
        <f t="shared" si="18"/>
        <v>0</v>
      </c>
      <c r="BD18" s="777" t="b">
        <f t="shared" si="31"/>
        <v>0</v>
      </c>
      <c r="BE18" s="776" t="b">
        <f t="shared" si="19"/>
        <v>0</v>
      </c>
      <c r="BF18" s="778" t="b">
        <f t="shared" si="20"/>
        <v>0</v>
      </c>
      <c r="BG18" s="779" t="b">
        <f t="shared" si="21"/>
        <v>0</v>
      </c>
      <c r="BH18" s="779" t="str">
        <f t="shared" si="32"/>
        <v/>
      </c>
      <c r="BI18" s="779" t="str">
        <f t="shared" si="22"/>
        <v/>
      </c>
      <c r="BJ18" s="779" t="str">
        <f t="shared" si="23"/>
        <v/>
      </c>
      <c r="BK18" s="779" t="str">
        <f t="shared" si="24"/>
        <v/>
      </c>
      <c r="BL18" s="780" t="str">
        <f t="shared" si="33"/>
        <v/>
      </c>
      <c r="BM18" s="779" t="str">
        <f t="shared" si="25"/>
        <v/>
      </c>
      <c r="BN18" s="779" t="str">
        <f t="shared" si="26"/>
        <v/>
      </c>
      <c r="BO18" s="719"/>
    </row>
    <row r="19" spans="2:75" s="731" customFormat="1" ht="12.95" customHeight="1" x14ac:dyDescent="0.25">
      <c r="B19" s="783">
        <f>IF(ISNA(Z19),"",IF(OR(Z19=1,Z19=2),"    ",MAX($B$9:B18)+1))</f>
        <v>8</v>
      </c>
      <c r="C19" s="1116" t="str">
        <f t="shared" si="0"/>
        <v xml:space="preserve">      - Test Methods and Conditions (3.0%)</v>
      </c>
      <c r="D19" s="1116"/>
      <c r="E19" s="1116"/>
      <c r="F19" s="1117"/>
      <c r="G19" s="763">
        <f t="shared" si="1"/>
        <v>1</v>
      </c>
      <c r="H19" s="764" t="str">
        <f t="shared" si="2"/>
        <v>2*</v>
      </c>
      <c r="I19" s="784">
        <f t="shared" si="2"/>
        <v>3</v>
      </c>
      <c r="J19" s="789"/>
      <c r="K19" s="786"/>
      <c r="L19" s="1134"/>
      <c r="M19" s="1135"/>
      <c r="N19" s="1135"/>
      <c r="O19" s="1135"/>
      <c r="P19" s="1135"/>
      <c r="Q19" s="1135"/>
      <c r="R19" s="1136"/>
      <c r="T19" s="727">
        <v>11</v>
      </c>
      <c r="U19" s="716" t="s">
        <v>984</v>
      </c>
      <c r="V19" s="768">
        <v>1</v>
      </c>
      <c r="W19" s="768">
        <v>1</v>
      </c>
      <c r="X19" s="768" t="s">
        <v>340</v>
      </c>
      <c r="Y19" s="768" t="s">
        <v>340</v>
      </c>
      <c r="Z19" s="777" t="s">
        <v>340</v>
      </c>
      <c r="AA19" s="777">
        <v>2</v>
      </c>
      <c r="AB19" s="777">
        <v>1</v>
      </c>
      <c r="AC19" s="768">
        <v>3</v>
      </c>
      <c r="AD19" s="768">
        <v>2</v>
      </c>
      <c r="AE19" s="768">
        <v>1</v>
      </c>
      <c r="AF19" s="768" t="b">
        <v>1</v>
      </c>
      <c r="AG19" s="768">
        <f t="shared" si="3"/>
        <v>2</v>
      </c>
      <c r="AH19" s="768">
        <f t="shared" si="4"/>
        <v>1</v>
      </c>
      <c r="AI19" s="769">
        <f>IF(NOT(OR(Z19=1,Z19=2)),IF(AQ19&gt;0,$AR$45*AQ19/SUMIF($AQ$9:$AQ$40,"&gt;0"),IF(AU19&gt;0,$AV$45*AU19/SUMIF($AU$9:$AU$40,"&gt;0"),IF(AS19&gt;0,$AT$45*AS19/SUMIF($AS$9:$AS$40,"&gt;0"),""))),IF(SUMIF(AJ20:$AJ$40,"=" &amp; AJ19,AI20:$AI$40)=0,"",SUMIF(AJ20:$AJ$40,"=" &amp; AJ19,AI20:$AI$40)))</f>
        <v>3.0000000948000028E-2</v>
      </c>
      <c r="AJ19" s="770">
        <f t="shared" si="34"/>
        <v>2</v>
      </c>
      <c r="AK19" s="768">
        <f t="shared" si="27"/>
        <v>2</v>
      </c>
      <c r="AL19" s="777" t="str">
        <f t="shared" si="28"/>
        <v/>
      </c>
      <c r="AM19" s="777" t="str">
        <f t="shared" si="35"/>
        <v/>
      </c>
      <c r="AN19" s="777" t="str">
        <f t="shared" si="5"/>
        <v/>
      </c>
      <c r="AO19" s="777" t="str">
        <f t="shared" si="6"/>
        <v/>
      </c>
      <c r="AP19" s="768" t="b">
        <f t="shared" si="7"/>
        <v>1</v>
      </c>
      <c r="AQ19" s="771">
        <f t="shared" si="29"/>
        <v>1</v>
      </c>
      <c r="AR19" s="772" t="str">
        <f t="shared" si="8"/>
        <v/>
      </c>
      <c r="AS19" s="773">
        <f t="shared" si="30"/>
        <v>0</v>
      </c>
      <c r="AT19" s="772" t="str">
        <f t="shared" si="9"/>
        <v/>
      </c>
      <c r="AU19" s="774">
        <f t="shared" si="10"/>
        <v>0</v>
      </c>
      <c r="AV19" s="775" t="str">
        <f t="shared" si="11"/>
        <v/>
      </c>
      <c r="AW19" s="774" t="b">
        <f t="shared" si="12"/>
        <v>0</v>
      </c>
      <c r="AX19" s="776" t="b">
        <f t="shared" si="13"/>
        <v>1</v>
      </c>
      <c r="AY19" s="774" t="b">
        <f t="shared" si="14"/>
        <v>0</v>
      </c>
      <c r="AZ19" s="776" t="b">
        <f t="shared" si="15"/>
        <v>0</v>
      </c>
      <c r="BA19" s="768" t="b">
        <f t="shared" si="16"/>
        <v>0</v>
      </c>
      <c r="BB19" s="768" t="b">
        <f t="shared" si="17"/>
        <v>0</v>
      </c>
      <c r="BC19" s="774" t="b">
        <f t="shared" si="18"/>
        <v>0</v>
      </c>
      <c r="BD19" s="777" t="b">
        <f t="shared" si="31"/>
        <v>0</v>
      </c>
      <c r="BE19" s="776" t="b">
        <f t="shared" si="19"/>
        <v>0</v>
      </c>
      <c r="BF19" s="778" t="b">
        <f t="shared" si="20"/>
        <v>0</v>
      </c>
      <c r="BG19" s="779" t="b">
        <f t="shared" si="21"/>
        <v>1</v>
      </c>
      <c r="BH19" s="779">
        <f t="shared" si="32"/>
        <v>1</v>
      </c>
      <c r="BI19" s="779">
        <f t="shared" si="22"/>
        <v>2</v>
      </c>
      <c r="BJ19" s="779" t="str">
        <f t="shared" si="23"/>
        <v>2*</v>
      </c>
      <c r="BK19" s="779">
        <f t="shared" si="24"/>
        <v>3</v>
      </c>
      <c r="BL19" s="780">
        <f t="shared" si="33"/>
        <v>1</v>
      </c>
      <c r="BM19" s="779">
        <f t="shared" si="25"/>
        <v>2</v>
      </c>
      <c r="BN19" s="779">
        <f t="shared" si="26"/>
        <v>3</v>
      </c>
      <c r="BO19" s="791"/>
      <c r="BP19" s="790" t="s">
        <v>355</v>
      </c>
      <c r="BQ19" s="792"/>
      <c r="BR19" s="792"/>
      <c r="BS19" s="792"/>
      <c r="BT19" s="792"/>
      <c r="BU19" s="792"/>
    </row>
    <row r="20" spans="2:75" s="731" customFormat="1" ht="12.95" customHeight="1" x14ac:dyDescent="0.25">
      <c r="B20" s="783">
        <f>IF(ISNA(Z20),"",IF(OR(Z20=1,Z20=2),"    ",MAX($B$9:B19)+1))</f>
        <v>9</v>
      </c>
      <c r="C20" s="1116" t="str">
        <f t="shared" si="0"/>
        <v xml:space="preserve">      - Objective Results (6.0%)</v>
      </c>
      <c r="D20" s="1116"/>
      <c r="E20" s="1116"/>
      <c r="F20" s="1117"/>
      <c r="G20" s="763">
        <f t="shared" si="1"/>
        <v>1</v>
      </c>
      <c r="H20" s="764" t="str">
        <f t="shared" si="2"/>
        <v>2*</v>
      </c>
      <c r="I20" s="784">
        <f t="shared" si="2"/>
        <v>3</v>
      </c>
      <c r="J20" s="789"/>
      <c r="K20" s="786"/>
      <c r="L20" s="1134"/>
      <c r="M20" s="1135"/>
      <c r="N20" s="1135"/>
      <c r="O20" s="1135"/>
      <c r="P20" s="1135"/>
      <c r="Q20" s="1135"/>
      <c r="R20" s="1136"/>
      <c r="T20" s="727">
        <v>12</v>
      </c>
      <c r="U20" s="716" t="s">
        <v>985</v>
      </c>
      <c r="V20" s="768">
        <v>1</v>
      </c>
      <c r="W20" s="768">
        <v>2</v>
      </c>
      <c r="X20" s="768" t="s">
        <v>340</v>
      </c>
      <c r="Y20" s="768" t="s">
        <v>340</v>
      </c>
      <c r="Z20" s="777" t="s">
        <v>340</v>
      </c>
      <c r="AA20" s="777">
        <v>2</v>
      </c>
      <c r="AB20" s="777">
        <v>1</v>
      </c>
      <c r="AC20" s="768">
        <v>3</v>
      </c>
      <c r="AD20" s="768">
        <v>2</v>
      </c>
      <c r="AE20" s="768">
        <v>1</v>
      </c>
      <c r="AF20" s="768" t="b">
        <v>1</v>
      </c>
      <c r="AG20" s="768">
        <f t="shared" si="3"/>
        <v>2</v>
      </c>
      <c r="AH20" s="768">
        <f t="shared" si="4"/>
        <v>1</v>
      </c>
      <c r="AI20" s="769">
        <f>IF(NOT(OR(Z20=1,Z20=2)),IF(AQ20&gt;0,$AR$45*AQ20/SUMIF($AQ$9:$AQ$40,"&gt;0"),IF(AU20&gt;0,$AV$45*AU20/SUMIF($AU$9:$AU$40,"&gt;0"),IF(AS20&gt;0,$AT$45*AS20/SUMIF($AS$9:$AS$40,"&gt;0"),""))),IF(SUMIF(AJ21:$AJ$40,"=" &amp; AJ20,AI21:$AI$40)=0,"",SUMIF(AJ21:$AJ$40,"=" &amp; AJ20,AI21:$AI$40)))</f>
        <v>6.0000001896000056E-2</v>
      </c>
      <c r="AJ20" s="770">
        <f t="shared" si="34"/>
        <v>2</v>
      </c>
      <c r="AK20" s="768">
        <f t="shared" si="27"/>
        <v>2</v>
      </c>
      <c r="AL20" s="777" t="str">
        <f t="shared" si="28"/>
        <v/>
      </c>
      <c r="AM20" s="777" t="str">
        <f t="shared" si="35"/>
        <v/>
      </c>
      <c r="AN20" s="777" t="str">
        <f t="shared" si="5"/>
        <v/>
      </c>
      <c r="AO20" s="777" t="str">
        <f t="shared" si="6"/>
        <v/>
      </c>
      <c r="AP20" s="768" t="b">
        <f t="shared" si="7"/>
        <v>1</v>
      </c>
      <c r="AQ20" s="771">
        <f t="shared" si="29"/>
        <v>2</v>
      </c>
      <c r="AR20" s="772" t="str">
        <f t="shared" si="8"/>
        <v/>
      </c>
      <c r="AS20" s="773">
        <f t="shared" si="30"/>
        <v>0</v>
      </c>
      <c r="AT20" s="772" t="str">
        <f t="shared" si="9"/>
        <v/>
      </c>
      <c r="AU20" s="774">
        <f t="shared" si="10"/>
        <v>0</v>
      </c>
      <c r="AV20" s="775" t="str">
        <f t="shared" si="11"/>
        <v/>
      </c>
      <c r="AW20" s="774" t="b">
        <f t="shared" si="12"/>
        <v>0</v>
      </c>
      <c r="AX20" s="776" t="b">
        <f t="shared" si="13"/>
        <v>1</v>
      </c>
      <c r="AY20" s="774" t="b">
        <f t="shared" si="14"/>
        <v>0</v>
      </c>
      <c r="AZ20" s="776" t="b">
        <f t="shared" si="15"/>
        <v>0</v>
      </c>
      <c r="BA20" s="768" t="b">
        <f t="shared" si="16"/>
        <v>0</v>
      </c>
      <c r="BB20" s="768" t="b">
        <f t="shared" si="17"/>
        <v>0</v>
      </c>
      <c r="BC20" s="774" t="b">
        <f t="shared" si="18"/>
        <v>0</v>
      </c>
      <c r="BD20" s="777" t="b">
        <f t="shared" si="31"/>
        <v>0</v>
      </c>
      <c r="BE20" s="776" t="b">
        <f t="shared" si="19"/>
        <v>0</v>
      </c>
      <c r="BF20" s="778" t="b">
        <f t="shared" si="20"/>
        <v>0</v>
      </c>
      <c r="BG20" s="779" t="b">
        <f t="shared" si="21"/>
        <v>1</v>
      </c>
      <c r="BH20" s="779">
        <f t="shared" si="32"/>
        <v>1</v>
      </c>
      <c r="BI20" s="779">
        <f t="shared" si="22"/>
        <v>2</v>
      </c>
      <c r="BJ20" s="779" t="str">
        <f t="shared" si="23"/>
        <v>2*</v>
      </c>
      <c r="BK20" s="779">
        <f t="shared" si="24"/>
        <v>3</v>
      </c>
      <c r="BL20" s="780">
        <f t="shared" si="33"/>
        <v>1</v>
      </c>
      <c r="BM20" s="779">
        <f t="shared" si="25"/>
        <v>2</v>
      </c>
      <c r="BN20" s="779">
        <f t="shared" si="26"/>
        <v>3</v>
      </c>
      <c r="BO20" s="791"/>
      <c r="BP20" s="782"/>
      <c r="BQ20" s="1140" t="s">
        <v>356</v>
      </c>
      <c r="BR20" s="1140"/>
      <c r="BS20" s="1140"/>
      <c r="BT20" s="1140"/>
      <c r="BU20" s="1140"/>
    </row>
    <row r="21" spans="2:75" s="731" customFormat="1" ht="12.95" customHeight="1" x14ac:dyDescent="0.25">
      <c r="B21" s="783">
        <f>IF(ISNA(Z21),"",IF(OR(Z21=1,Z21=2),"    ",MAX($B$9:B20)+1))</f>
        <v>10</v>
      </c>
      <c r="C21" s="1116" t="str">
        <f t="shared" si="0"/>
        <v xml:space="preserve">      - Eng Analysis &amp; Oper. Impact (6.0%)</v>
      </c>
      <c r="D21" s="1116"/>
      <c r="E21" s="1116"/>
      <c r="F21" s="1117"/>
      <c r="G21" s="763">
        <f t="shared" si="1"/>
        <v>1</v>
      </c>
      <c r="H21" s="764" t="str">
        <f t="shared" si="2"/>
        <v>2*</v>
      </c>
      <c r="I21" s="784">
        <f t="shared" si="2"/>
        <v>3</v>
      </c>
      <c r="J21" s="789"/>
      <c r="K21" s="786"/>
      <c r="L21" s="1134"/>
      <c r="M21" s="1135"/>
      <c r="N21" s="1135"/>
      <c r="O21" s="1135"/>
      <c r="P21" s="1135"/>
      <c r="Q21" s="1135"/>
      <c r="R21" s="1136"/>
      <c r="T21" s="727">
        <v>13</v>
      </c>
      <c r="U21" s="716" t="s">
        <v>986</v>
      </c>
      <c r="V21" s="768">
        <v>1</v>
      </c>
      <c r="W21" s="768">
        <v>2</v>
      </c>
      <c r="X21" s="768" t="s">
        <v>340</v>
      </c>
      <c r="Y21" s="768" t="s">
        <v>340</v>
      </c>
      <c r="Z21" s="777" t="s">
        <v>340</v>
      </c>
      <c r="AA21" s="777">
        <v>2</v>
      </c>
      <c r="AB21" s="777">
        <v>1</v>
      </c>
      <c r="AC21" s="768">
        <v>3</v>
      </c>
      <c r="AD21" s="768">
        <v>2</v>
      </c>
      <c r="AE21" s="768">
        <v>1</v>
      </c>
      <c r="AF21" s="768" t="b">
        <v>1</v>
      </c>
      <c r="AG21" s="768">
        <f t="shared" si="3"/>
        <v>2</v>
      </c>
      <c r="AH21" s="768">
        <f t="shared" si="4"/>
        <v>1</v>
      </c>
      <c r="AI21" s="769">
        <f>IF(NOT(OR(Z21=1,Z21=2)),IF(AQ21&gt;0,$AR$45*AQ21/SUMIF($AQ$9:$AQ$40,"&gt;0"),IF(AU21&gt;0,$AV$45*AU21/SUMIF($AU$9:$AU$40,"&gt;0"),IF(AS21&gt;0,$AT$45*AS21/SUMIF($AS$9:$AS$40,"&gt;0"),""))),IF(SUMIF(AJ22:$AJ$40,"=" &amp; AJ21,AI22:$AI$40)=0,"",SUMIF(AJ22:$AJ$40,"=" &amp; AJ21,AI22:$AI$40)))</f>
        <v>6.0000001896000056E-2</v>
      </c>
      <c r="AJ21" s="770">
        <f t="shared" si="34"/>
        <v>2</v>
      </c>
      <c r="AK21" s="768">
        <f t="shared" si="27"/>
        <v>2</v>
      </c>
      <c r="AL21" s="777" t="str">
        <f t="shared" si="28"/>
        <v/>
      </c>
      <c r="AM21" s="777" t="str">
        <f t="shared" si="35"/>
        <v/>
      </c>
      <c r="AN21" s="777" t="str">
        <f t="shared" si="5"/>
        <v/>
      </c>
      <c r="AO21" s="777" t="str">
        <f t="shared" si="6"/>
        <v/>
      </c>
      <c r="AP21" s="768" t="b">
        <f t="shared" si="7"/>
        <v>1</v>
      </c>
      <c r="AQ21" s="771">
        <f t="shared" si="29"/>
        <v>2</v>
      </c>
      <c r="AR21" s="772" t="str">
        <f t="shared" si="8"/>
        <v/>
      </c>
      <c r="AS21" s="773">
        <f t="shared" si="30"/>
        <v>0</v>
      </c>
      <c r="AT21" s="772" t="str">
        <f t="shared" si="9"/>
        <v/>
      </c>
      <c r="AU21" s="774">
        <f t="shared" si="10"/>
        <v>0</v>
      </c>
      <c r="AV21" s="775" t="str">
        <f t="shared" si="11"/>
        <v/>
      </c>
      <c r="AW21" s="774" t="b">
        <f t="shared" si="12"/>
        <v>0</v>
      </c>
      <c r="AX21" s="776" t="b">
        <f t="shared" si="13"/>
        <v>1</v>
      </c>
      <c r="AY21" s="774" t="b">
        <f t="shared" si="14"/>
        <v>0</v>
      </c>
      <c r="AZ21" s="776" t="b">
        <f t="shared" si="15"/>
        <v>0</v>
      </c>
      <c r="BA21" s="768" t="b">
        <f t="shared" si="16"/>
        <v>0</v>
      </c>
      <c r="BB21" s="768" t="b">
        <f t="shared" si="17"/>
        <v>0</v>
      </c>
      <c r="BC21" s="774" t="b">
        <f t="shared" si="18"/>
        <v>0</v>
      </c>
      <c r="BD21" s="777" t="b">
        <f t="shared" si="31"/>
        <v>0</v>
      </c>
      <c r="BE21" s="776" t="b">
        <f t="shared" si="19"/>
        <v>0</v>
      </c>
      <c r="BF21" s="778" t="b">
        <f t="shared" si="20"/>
        <v>0</v>
      </c>
      <c r="BG21" s="779" t="b">
        <f t="shared" si="21"/>
        <v>1</v>
      </c>
      <c r="BH21" s="779">
        <f t="shared" si="32"/>
        <v>1</v>
      </c>
      <c r="BI21" s="779">
        <f t="shared" si="22"/>
        <v>2</v>
      </c>
      <c r="BJ21" s="779" t="str">
        <f t="shared" si="23"/>
        <v>2*</v>
      </c>
      <c r="BK21" s="779">
        <f t="shared" si="24"/>
        <v>3</v>
      </c>
      <c r="BL21" s="780">
        <f t="shared" si="33"/>
        <v>1</v>
      </c>
      <c r="BM21" s="779">
        <f t="shared" si="25"/>
        <v>2</v>
      </c>
      <c r="BN21" s="779">
        <f t="shared" si="26"/>
        <v>3</v>
      </c>
      <c r="BO21" s="791"/>
      <c r="BP21" s="791"/>
      <c r="BQ21" s="791">
        <v>0</v>
      </c>
      <c r="BR21" s="791">
        <v>1</v>
      </c>
      <c r="BS21" s="791">
        <v>2</v>
      </c>
      <c r="BT21" s="791">
        <v>3</v>
      </c>
      <c r="BU21" s="791">
        <v>4</v>
      </c>
    </row>
    <row r="22" spans="2:75" s="731" customFormat="1" ht="12.95" customHeight="1" x14ac:dyDescent="0.25">
      <c r="B22" s="783">
        <f>IF(ISNA(Z22),"",IF(OR(Z22=1,Z22=2),"    ",MAX($B$9:B21)+1))</f>
        <v>11</v>
      </c>
      <c r="C22" s="1116" t="str">
        <f t="shared" si="0"/>
        <v xml:space="preserve">      - Conclusions &amp; Recomm. (5.0%)</v>
      </c>
      <c r="D22" s="1116"/>
      <c r="E22" s="1116"/>
      <c r="F22" s="1117"/>
      <c r="G22" s="763">
        <f t="shared" si="1"/>
        <v>1</v>
      </c>
      <c r="H22" s="764" t="str">
        <f t="shared" si="2"/>
        <v>2*</v>
      </c>
      <c r="I22" s="784">
        <f t="shared" si="2"/>
        <v>3</v>
      </c>
      <c r="J22" s="789"/>
      <c r="K22" s="786"/>
      <c r="L22" s="1134"/>
      <c r="M22" s="1135"/>
      <c r="N22" s="1135"/>
      <c r="O22" s="1135"/>
      <c r="P22" s="1135"/>
      <c r="Q22" s="1135"/>
      <c r="R22" s="1136"/>
      <c r="T22" s="727">
        <v>14</v>
      </c>
      <c r="U22" s="716" t="s">
        <v>987</v>
      </c>
      <c r="V22" s="768">
        <v>1</v>
      </c>
      <c r="W22" s="768">
        <v>1.66666666</v>
      </c>
      <c r="X22" s="768" t="s">
        <v>340</v>
      </c>
      <c r="Y22" s="768" t="s">
        <v>340</v>
      </c>
      <c r="Z22" s="777" t="s">
        <v>340</v>
      </c>
      <c r="AA22" s="777">
        <v>2</v>
      </c>
      <c r="AB22" s="777">
        <v>1</v>
      </c>
      <c r="AC22" s="768">
        <v>3</v>
      </c>
      <c r="AD22" s="768">
        <v>2</v>
      </c>
      <c r="AE22" s="768">
        <v>1</v>
      </c>
      <c r="AF22" s="768" t="b">
        <v>1</v>
      </c>
      <c r="AG22" s="768">
        <f t="shared" si="3"/>
        <v>2</v>
      </c>
      <c r="AH22" s="768">
        <f t="shared" si="4"/>
        <v>1</v>
      </c>
      <c r="AI22" s="769">
        <f>IF(NOT(OR(Z22=1,Z22=2)),IF(AQ22&gt;0,$AR$45*AQ22/SUMIF($AQ$9:$AQ$40,"&gt;0"),IF(AU22&gt;0,$AV$45*AU22/SUMIF($AU$9:$AU$40,"&gt;0"),IF(AS22&gt;0,$AT$45*AS22/SUMIF($AS$9:$AS$40,"&gt;0"),""))),IF(SUMIF(AJ23:$AJ$40,"=" &amp; AJ22,AI23:$AI$40)=0,"",SUMIF(AJ23:$AJ$40,"=" &amp; AJ22,AI23:$AI$40)))</f>
        <v>5.0000001380000041E-2</v>
      </c>
      <c r="AJ22" s="770">
        <f t="shared" si="34"/>
        <v>2</v>
      </c>
      <c r="AK22" s="768">
        <f t="shared" si="27"/>
        <v>2</v>
      </c>
      <c r="AL22" s="777" t="str">
        <f t="shared" si="28"/>
        <v/>
      </c>
      <c r="AM22" s="777" t="str">
        <f t="shared" si="35"/>
        <v/>
      </c>
      <c r="AN22" s="777" t="str">
        <f t="shared" si="5"/>
        <v/>
      </c>
      <c r="AO22" s="777" t="str">
        <f t="shared" si="6"/>
        <v/>
      </c>
      <c r="AP22" s="768" t="b">
        <f t="shared" si="7"/>
        <v>1</v>
      </c>
      <c r="AQ22" s="771">
        <f t="shared" si="29"/>
        <v>1.66666666</v>
      </c>
      <c r="AR22" s="772" t="str">
        <f t="shared" si="8"/>
        <v/>
      </c>
      <c r="AS22" s="773">
        <f t="shared" si="30"/>
        <v>0</v>
      </c>
      <c r="AT22" s="772" t="str">
        <f t="shared" si="9"/>
        <v/>
      </c>
      <c r="AU22" s="774">
        <f t="shared" si="10"/>
        <v>0</v>
      </c>
      <c r="AV22" s="775" t="str">
        <f t="shared" si="11"/>
        <v/>
      </c>
      <c r="AW22" s="774" t="b">
        <f t="shared" si="12"/>
        <v>0</v>
      </c>
      <c r="AX22" s="776" t="b">
        <f t="shared" si="13"/>
        <v>1</v>
      </c>
      <c r="AY22" s="774" t="b">
        <f t="shared" si="14"/>
        <v>0</v>
      </c>
      <c r="AZ22" s="776" t="b">
        <f t="shared" si="15"/>
        <v>0</v>
      </c>
      <c r="BA22" s="768" t="b">
        <f t="shared" si="16"/>
        <v>0</v>
      </c>
      <c r="BB22" s="768" t="b">
        <f t="shared" si="17"/>
        <v>0</v>
      </c>
      <c r="BC22" s="774" t="b">
        <f t="shared" si="18"/>
        <v>0</v>
      </c>
      <c r="BD22" s="777" t="b">
        <f t="shared" si="31"/>
        <v>0</v>
      </c>
      <c r="BE22" s="776" t="b">
        <f t="shared" si="19"/>
        <v>0</v>
      </c>
      <c r="BF22" s="778" t="b">
        <f t="shared" si="20"/>
        <v>0</v>
      </c>
      <c r="BG22" s="779" t="b">
        <f t="shared" si="21"/>
        <v>1</v>
      </c>
      <c r="BH22" s="779">
        <f t="shared" si="32"/>
        <v>1</v>
      </c>
      <c r="BI22" s="779">
        <f t="shared" si="22"/>
        <v>2</v>
      </c>
      <c r="BJ22" s="779" t="str">
        <f t="shared" si="23"/>
        <v>2*</v>
      </c>
      <c r="BK22" s="779">
        <f t="shared" si="24"/>
        <v>3</v>
      </c>
      <c r="BL22" s="780">
        <f t="shared" si="33"/>
        <v>1</v>
      </c>
      <c r="BM22" s="779">
        <f t="shared" si="25"/>
        <v>2</v>
      </c>
      <c r="BN22" s="779">
        <f t="shared" si="26"/>
        <v>3</v>
      </c>
      <c r="BO22" s="1141" t="s">
        <v>358</v>
      </c>
      <c r="BP22" s="791" t="s">
        <v>359</v>
      </c>
      <c r="BQ22" s="795">
        <f t="shared" ref="BQ22:BU30" si="36">AR51</f>
        <v>0.7</v>
      </c>
      <c r="BR22" s="796">
        <f t="shared" si="36"/>
        <v>0.9</v>
      </c>
      <c r="BS22" s="796">
        <f t="shared" si="36"/>
        <v>0.93330000000000002</v>
      </c>
      <c r="BT22" s="796">
        <f t="shared" si="36"/>
        <v>0.9667</v>
      </c>
      <c r="BU22" s="797">
        <f t="shared" si="36"/>
        <v>1</v>
      </c>
      <c r="BV22" s="798"/>
      <c r="BW22" s="711"/>
    </row>
    <row r="23" spans="2:75" s="731" customFormat="1" ht="12.95" customHeight="1" x14ac:dyDescent="0.25">
      <c r="B23" s="783" t="str">
        <f>IF(ISNA(Z23),"",IF(OR(Z23=1,Z23=2),"    ",MAX($B$9:B22)+1))</f>
        <v xml:space="preserve">    </v>
      </c>
      <c r="C23" s="1116" t="str">
        <f t="shared" si="0"/>
        <v>Clarity &amp; Precision (Mechanics) (10.0%)</v>
      </c>
      <c r="D23" s="1116"/>
      <c r="E23" s="1116"/>
      <c r="F23" s="1117"/>
      <c r="G23" s="763" t="str">
        <f t="shared" si="1"/>
        <v/>
      </c>
      <c r="H23" s="764" t="str">
        <f t="shared" si="2"/>
        <v/>
      </c>
      <c r="I23" s="784" t="str">
        <f t="shared" si="2"/>
        <v/>
      </c>
      <c r="J23" s="793"/>
      <c r="K23" s="794"/>
      <c r="L23" s="1134"/>
      <c r="M23" s="1135"/>
      <c r="N23" s="1135"/>
      <c r="O23" s="1135"/>
      <c r="P23" s="1135"/>
      <c r="Q23" s="1135"/>
      <c r="R23" s="1136"/>
      <c r="T23" s="727">
        <v>15</v>
      </c>
      <c r="U23" s="716" t="s">
        <v>970</v>
      </c>
      <c r="V23" s="768" t="s">
        <v>340</v>
      </c>
      <c r="W23" s="768" t="s">
        <v>340</v>
      </c>
      <c r="X23" s="768" t="s">
        <v>340</v>
      </c>
      <c r="Y23" s="768" t="s">
        <v>340</v>
      </c>
      <c r="Z23" s="777">
        <v>2</v>
      </c>
      <c r="AA23" s="777">
        <v>1</v>
      </c>
      <c r="AB23" s="777">
        <v>1</v>
      </c>
      <c r="AC23" s="768" t="s">
        <v>340</v>
      </c>
      <c r="AD23" s="768" t="s">
        <v>340</v>
      </c>
      <c r="AE23" s="768" t="s">
        <v>340</v>
      </c>
      <c r="AF23" s="768" t="s">
        <v>340</v>
      </c>
      <c r="AG23" s="768" t="str">
        <f t="shared" si="3"/>
        <v/>
      </c>
      <c r="AH23" s="768" t="str">
        <f t="shared" si="4"/>
        <v/>
      </c>
      <c r="AI23" s="769">
        <f>IF(NOT(OR(Z23=1,Z23=2)),IF(AQ23&gt;0,$AR$45*AQ23/SUMIF($AQ$9:$AQ$40,"&gt;0"),IF(AU23&gt;0,$AV$45*AU23/SUMIF($AU$9:$AU$40,"&gt;0"),IF(AS23&gt;0,$AT$45*AS23/SUMIF($AS$9:$AS$40,"&gt;0"),""))),IF(SUMIF(AJ24:$AJ$40,"=" &amp; AJ23,AI24:$AI$40)=0,"",SUMIF(AJ24:$AJ$40,"=" &amp; AJ23,AI24:$AI$40)))</f>
        <v>0.10000000216000006</v>
      </c>
      <c r="AJ23" s="770">
        <f t="shared" si="34"/>
        <v>3</v>
      </c>
      <c r="AK23" s="768" t="str">
        <f t="shared" si="27"/>
        <v/>
      </c>
      <c r="AL23" s="777" t="str">
        <f t="shared" si="28"/>
        <v/>
      </c>
      <c r="AM23" s="777" t="str">
        <f t="shared" si="35"/>
        <v/>
      </c>
      <c r="AN23" s="777" t="str">
        <f t="shared" si="5"/>
        <v/>
      </c>
      <c r="AO23" s="777" t="str">
        <f t="shared" si="6"/>
        <v/>
      </c>
      <c r="AP23" s="768" t="str">
        <f t="shared" si="7"/>
        <v/>
      </c>
      <c r="AQ23" s="771">
        <f t="shared" si="29"/>
        <v>0</v>
      </c>
      <c r="AR23" s="772" t="str">
        <f t="shared" si="8"/>
        <v/>
      </c>
      <c r="AS23" s="773">
        <f t="shared" si="30"/>
        <v>0</v>
      </c>
      <c r="AT23" s="772" t="str">
        <f t="shared" si="9"/>
        <v/>
      </c>
      <c r="AU23" s="774">
        <f t="shared" si="10"/>
        <v>0</v>
      </c>
      <c r="AV23" s="775" t="str">
        <f t="shared" si="11"/>
        <v/>
      </c>
      <c r="AW23" s="774" t="b">
        <f t="shared" si="12"/>
        <v>0</v>
      </c>
      <c r="AX23" s="776" t="b">
        <f t="shared" si="13"/>
        <v>0</v>
      </c>
      <c r="AY23" s="774" t="b">
        <f t="shared" si="14"/>
        <v>0</v>
      </c>
      <c r="AZ23" s="776" t="b">
        <f t="shared" si="15"/>
        <v>0</v>
      </c>
      <c r="BA23" s="768" t="b">
        <f t="shared" si="16"/>
        <v>0</v>
      </c>
      <c r="BB23" s="768" t="b">
        <f t="shared" si="17"/>
        <v>0</v>
      </c>
      <c r="BC23" s="774" t="b">
        <f t="shared" si="18"/>
        <v>0</v>
      </c>
      <c r="BD23" s="777" t="b">
        <f t="shared" si="31"/>
        <v>0</v>
      </c>
      <c r="BE23" s="776" t="b">
        <f>IF(OR(ISNA($Z23),K23&lt;&gt;"D"),FALSE,IF(OR(AND(H23="NG",J23=0),AND(H23&lt;&gt;"NG",NOT(OR(J23="NA",J23=0)))),TRUE,FALSE))</f>
        <v>0</v>
      </c>
      <c r="BF23" s="778" t="b">
        <f t="shared" si="20"/>
        <v>0</v>
      </c>
      <c r="BG23" s="779" t="b">
        <f>IF(ISNA($Z23),"NA",IF(OR(AZ23,AY23,AX23,AW23,AP23,BA23,BB23),TRUE,FALSE))</f>
        <v>0</v>
      </c>
      <c r="BH23" s="779" t="str">
        <f t="shared" si="32"/>
        <v/>
      </c>
      <c r="BI23" s="779" t="str">
        <f t="shared" si="22"/>
        <v/>
      </c>
      <c r="BJ23" s="779" t="str">
        <f t="shared" si="23"/>
        <v/>
      </c>
      <c r="BK23" s="779" t="str">
        <f t="shared" si="24"/>
        <v/>
      </c>
      <c r="BL23" s="780" t="str">
        <f t="shared" si="33"/>
        <v/>
      </c>
      <c r="BM23" s="779" t="str">
        <f t="shared" si="25"/>
        <v/>
      </c>
      <c r="BN23" s="779" t="str">
        <f t="shared" si="26"/>
        <v/>
      </c>
      <c r="BO23" s="1141"/>
      <c r="BP23" s="791" t="s">
        <v>360</v>
      </c>
      <c r="BQ23" s="799">
        <f t="shared" si="36"/>
        <v>0.7</v>
      </c>
      <c r="BR23" s="800">
        <f t="shared" si="36"/>
        <v>0.8</v>
      </c>
      <c r="BS23" s="800">
        <f t="shared" si="36"/>
        <v>0.9</v>
      </c>
      <c r="BT23" s="800">
        <f t="shared" si="36"/>
        <v>0.95</v>
      </c>
      <c r="BU23" s="801">
        <f t="shared" si="36"/>
        <v>1</v>
      </c>
      <c r="BV23" s="711"/>
      <c r="BW23" s="802"/>
    </row>
    <row r="24" spans="2:75" s="731" customFormat="1" ht="12.95" customHeight="1" x14ac:dyDescent="0.25">
      <c r="B24" s="783">
        <f>IF(ISNA(Z24),"",IF(OR(Z24=1,Z24=2),"    ",MAX($B$9:B23)+1))</f>
        <v>12</v>
      </c>
      <c r="C24" s="1116" t="str">
        <f t="shared" si="0"/>
        <v xml:space="preserve">      - Grammar &amp; Syntax (4.0%)</v>
      </c>
      <c r="D24" s="1116"/>
      <c r="E24" s="1116"/>
      <c r="F24" s="1117"/>
      <c r="G24" s="763">
        <f t="shared" si="1"/>
        <v>1</v>
      </c>
      <c r="H24" s="764" t="str">
        <f t="shared" si="2"/>
        <v>2*</v>
      </c>
      <c r="I24" s="784">
        <f t="shared" si="2"/>
        <v>3</v>
      </c>
      <c r="J24" s="789"/>
      <c r="K24" s="786"/>
      <c r="L24" s="1134"/>
      <c r="M24" s="1135"/>
      <c r="N24" s="1135"/>
      <c r="O24" s="1135"/>
      <c r="P24" s="1135"/>
      <c r="Q24" s="1135"/>
      <c r="R24" s="1136"/>
      <c r="T24" s="727">
        <v>16</v>
      </c>
      <c r="U24" s="716" t="s">
        <v>971</v>
      </c>
      <c r="V24" s="768">
        <v>1</v>
      </c>
      <c r="W24" s="768">
        <v>1.3333333000000001</v>
      </c>
      <c r="X24" s="768" t="s">
        <v>340</v>
      </c>
      <c r="Y24" s="768" t="s">
        <v>340</v>
      </c>
      <c r="Z24" s="777" t="s">
        <v>340</v>
      </c>
      <c r="AA24" s="777">
        <v>2</v>
      </c>
      <c r="AB24" s="777">
        <v>1</v>
      </c>
      <c r="AC24" s="768">
        <v>3</v>
      </c>
      <c r="AD24" s="768">
        <v>2</v>
      </c>
      <c r="AE24" s="768">
        <v>1</v>
      </c>
      <c r="AF24" s="768" t="b">
        <v>1</v>
      </c>
      <c r="AG24" s="768">
        <f t="shared" si="3"/>
        <v>2</v>
      </c>
      <c r="AH24" s="768">
        <f t="shared" si="4"/>
        <v>1</v>
      </c>
      <c r="AI24" s="769">
        <f>IF(NOT(OR(Z24=1,Z24=2)),IF(AQ24&gt;0,$AR$45*AQ24/SUMIF($AQ$9:$AQ$40,"&gt;0"),IF(AU24&gt;0,$AV$45*AU24/SUMIF($AU$9:$AU$40,"&gt;0"),IF(AS24&gt;0,$AT$45*AS24/SUMIF($AS$9:$AS$40,"&gt;0"),""))),IF(SUMIF(AJ25:$AJ$40,"=" &amp; AJ24,AI25:$AI$40)=0,"",SUMIF(AJ25:$AJ$40,"=" &amp; AJ24,AI25:$AI$40)))</f>
        <v>4.000000026400001E-2</v>
      </c>
      <c r="AJ24" s="770">
        <f t="shared" si="34"/>
        <v>3</v>
      </c>
      <c r="AK24" s="768">
        <f t="shared" si="27"/>
        <v>2</v>
      </c>
      <c r="AL24" s="777" t="str">
        <f t="shared" si="28"/>
        <v/>
      </c>
      <c r="AM24" s="777" t="str">
        <f t="shared" si="35"/>
        <v/>
      </c>
      <c r="AN24" s="777" t="str">
        <f t="shared" si="5"/>
        <v/>
      </c>
      <c r="AO24" s="777" t="str">
        <f t="shared" si="6"/>
        <v/>
      </c>
      <c r="AP24" s="768" t="b">
        <f t="shared" si="7"/>
        <v>1</v>
      </c>
      <c r="AQ24" s="771">
        <f t="shared" si="29"/>
        <v>1.3333333000000001</v>
      </c>
      <c r="AR24" s="772" t="str">
        <f t="shared" si="8"/>
        <v/>
      </c>
      <c r="AS24" s="773">
        <f t="shared" si="30"/>
        <v>0</v>
      </c>
      <c r="AT24" s="772" t="str">
        <f t="shared" si="9"/>
        <v/>
      </c>
      <c r="AU24" s="774">
        <f t="shared" si="10"/>
        <v>0</v>
      </c>
      <c r="AV24" s="775" t="str">
        <f t="shared" si="11"/>
        <v/>
      </c>
      <c r="AW24" s="774" t="b">
        <f t="shared" si="12"/>
        <v>0</v>
      </c>
      <c r="AX24" s="776" t="b">
        <f t="shared" si="13"/>
        <v>1</v>
      </c>
      <c r="AY24" s="774" t="b">
        <f t="shared" si="14"/>
        <v>0</v>
      </c>
      <c r="AZ24" s="776" t="b">
        <f t="shared" si="15"/>
        <v>0</v>
      </c>
      <c r="BA24" s="768" t="b">
        <f t="shared" si="16"/>
        <v>0</v>
      </c>
      <c r="BB24" s="768" t="b">
        <f t="shared" si="17"/>
        <v>0</v>
      </c>
      <c r="BC24" s="774" t="b">
        <f t="shared" si="18"/>
        <v>0</v>
      </c>
      <c r="BD24" s="777" t="b">
        <f t="shared" si="31"/>
        <v>0</v>
      </c>
      <c r="BE24" s="776" t="b">
        <f t="shared" ref="BE24:BE40" si="37">IF(OR(ISNA($Z24),K24&lt;&gt;"D"),FALSE,IF(OR(AND(H24="NG",J24=0),AND(H24&lt;&gt;"NG",NOT(OR(J24="NA",J24=0)))),TRUE,FALSE))</f>
        <v>0</v>
      </c>
      <c r="BF24" s="778" t="b">
        <f t="shared" si="20"/>
        <v>0</v>
      </c>
      <c r="BG24" s="779" t="b">
        <f t="shared" ref="BG24:BG40" si="38">IF(ISNA($Z24),"NA",IF(OR(AZ24,AY24,AX24,AW24,AP24,BA24,BB24),TRUE,FALSE))</f>
        <v>1</v>
      </c>
      <c r="BH24" s="779">
        <f t="shared" si="32"/>
        <v>1</v>
      </c>
      <c r="BI24" s="779">
        <f t="shared" si="22"/>
        <v>2</v>
      </c>
      <c r="BJ24" s="779" t="str">
        <f t="shared" si="23"/>
        <v>2*</v>
      </c>
      <c r="BK24" s="779">
        <f t="shared" si="24"/>
        <v>3</v>
      </c>
      <c r="BL24" s="780">
        <f t="shared" si="33"/>
        <v>1</v>
      </c>
      <c r="BM24" s="779">
        <f t="shared" si="25"/>
        <v>2</v>
      </c>
      <c r="BN24" s="779">
        <f t="shared" si="26"/>
        <v>3</v>
      </c>
      <c r="BO24" s="1141"/>
      <c r="BP24" s="791" t="s">
        <v>361</v>
      </c>
      <c r="BQ24" s="799">
        <f t="shared" si="36"/>
        <v>0.7</v>
      </c>
      <c r="BR24" s="800">
        <f t="shared" si="36"/>
        <v>0.76670000000000005</v>
      </c>
      <c r="BS24" s="800">
        <f t="shared" si="36"/>
        <v>0.83330000000000004</v>
      </c>
      <c r="BT24" s="800">
        <f t="shared" si="36"/>
        <v>0.9</v>
      </c>
      <c r="BU24" s="801">
        <f t="shared" si="36"/>
        <v>1</v>
      </c>
      <c r="BV24" s="711"/>
      <c r="BW24" s="802"/>
    </row>
    <row r="25" spans="2:75" s="731" customFormat="1" ht="12.95" customHeight="1" x14ac:dyDescent="0.25">
      <c r="B25" s="783">
        <f>IF(ISNA(Z25),"",IF(OR(Z25=1,Z25=2),"    ",MAX($B$9:B24)+1))</f>
        <v>13</v>
      </c>
      <c r="C25" s="1116" t="str">
        <f t="shared" si="0"/>
        <v xml:space="preserve">      - Punct. Acronyms &amp; Format (3.0%)</v>
      </c>
      <c r="D25" s="1116"/>
      <c r="E25" s="1116"/>
      <c r="F25" s="1117"/>
      <c r="G25" s="763">
        <f t="shared" si="1"/>
        <v>1</v>
      </c>
      <c r="H25" s="764" t="str">
        <f t="shared" si="2"/>
        <v>2*</v>
      </c>
      <c r="I25" s="784">
        <f t="shared" si="2"/>
        <v>3</v>
      </c>
      <c r="J25" s="789"/>
      <c r="K25" s="786"/>
      <c r="L25" s="1134"/>
      <c r="M25" s="1135"/>
      <c r="N25" s="1135"/>
      <c r="O25" s="1135"/>
      <c r="P25" s="1135"/>
      <c r="Q25" s="1135"/>
      <c r="R25" s="1136"/>
      <c r="T25" s="727">
        <v>17</v>
      </c>
      <c r="U25" s="716" t="s">
        <v>990</v>
      </c>
      <c r="V25" s="768">
        <v>1</v>
      </c>
      <c r="W25" s="768">
        <v>1</v>
      </c>
      <c r="X25" s="768" t="s">
        <v>340</v>
      </c>
      <c r="Y25" s="768" t="s">
        <v>340</v>
      </c>
      <c r="Z25" s="777" t="s">
        <v>340</v>
      </c>
      <c r="AA25" s="777">
        <v>2</v>
      </c>
      <c r="AB25" s="777">
        <v>1</v>
      </c>
      <c r="AC25" s="768">
        <v>3</v>
      </c>
      <c r="AD25" s="768">
        <v>2</v>
      </c>
      <c r="AE25" s="768">
        <v>1</v>
      </c>
      <c r="AF25" s="768" t="b">
        <v>1</v>
      </c>
      <c r="AG25" s="768">
        <f t="shared" si="3"/>
        <v>2</v>
      </c>
      <c r="AH25" s="768">
        <f t="shared" si="4"/>
        <v>1</v>
      </c>
      <c r="AI25" s="769">
        <f>IF(NOT(OR(Z25=1,Z25=2)),IF(AQ25&gt;0,$AR$45*AQ25/SUMIF($AQ$9:$AQ$40,"&gt;0"),IF(AU25&gt;0,$AV$45*AU25/SUMIF($AU$9:$AU$40,"&gt;0"),IF(AS25&gt;0,$AT$45*AS25/SUMIF($AS$9:$AS$40,"&gt;0"),""))),IF(SUMIF(AJ26:$AJ$40,"=" &amp; AJ25,AI26:$AI$40)=0,"",SUMIF(AJ26:$AJ$40,"=" &amp; AJ25,AI26:$AI$40)))</f>
        <v>3.0000000948000028E-2</v>
      </c>
      <c r="AJ25" s="770">
        <f t="shared" si="34"/>
        <v>3</v>
      </c>
      <c r="AK25" s="768">
        <f t="shared" si="27"/>
        <v>2</v>
      </c>
      <c r="AL25" s="777" t="str">
        <f t="shared" si="28"/>
        <v/>
      </c>
      <c r="AM25" s="777" t="str">
        <f t="shared" si="35"/>
        <v/>
      </c>
      <c r="AN25" s="777" t="str">
        <f t="shared" si="5"/>
        <v/>
      </c>
      <c r="AO25" s="777" t="str">
        <f t="shared" si="6"/>
        <v/>
      </c>
      <c r="AP25" s="768" t="b">
        <f t="shared" si="7"/>
        <v>1</v>
      </c>
      <c r="AQ25" s="771">
        <f t="shared" si="29"/>
        <v>1</v>
      </c>
      <c r="AR25" s="772" t="str">
        <f t="shared" si="8"/>
        <v/>
      </c>
      <c r="AS25" s="773">
        <f t="shared" si="30"/>
        <v>0</v>
      </c>
      <c r="AT25" s="772" t="str">
        <f t="shared" si="9"/>
        <v/>
      </c>
      <c r="AU25" s="774">
        <f t="shared" si="10"/>
        <v>0</v>
      </c>
      <c r="AV25" s="775" t="str">
        <f t="shared" si="11"/>
        <v/>
      </c>
      <c r="AW25" s="774" t="b">
        <f t="shared" si="12"/>
        <v>0</v>
      </c>
      <c r="AX25" s="776" t="b">
        <f t="shared" si="13"/>
        <v>1</v>
      </c>
      <c r="AY25" s="774" t="b">
        <f t="shared" si="14"/>
        <v>0</v>
      </c>
      <c r="AZ25" s="776" t="b">
        <f t="shared" si="15"/>
        <v>0</v>
      </c>
      <c r="BA25" s="768" t="b">
        <f t="shared" si="16"/>
        <v>0</v>
      </c>
      <c r="BB25" s="768" t="b">
        <f t="shared" si="17"/>
        <v>0</v>
      </c>
      <c r="BC25" s="774" t="b">
        <f t="shared" si="18"/>
        <v>0</v>
      </c>
      <c r="BD25" s="777" t="b">
        <f t="shared" si="31"/>
        <v>0</v>
      </c>
      <c r="BE25" s="776" t="b">
        <f t="shared" si="37"/>
        <v>0</v>
      </c>
      <c r="BF25" s="778" t="b">
        <f t="shared" si="20"/>
        <v>0</v>
      </c>
      <c r="BG25" s="779" t="b">
        <f t="shared" si="38"/>
        <v>1</v>
      </c>
      <c r="BH25" s="779">
        <f t="shared" si="32"/>
        <v>1</v>
      </c>
      <c r="BI25" s="779">
        <f t="shared" si="22"/>
        <v>2</v>
      </c>
      <c r="BJ25" s="779" t="str">
        <f t="shared" si="23"/>
        <v>2*</v>
      </c>
      <c r="BK25" s="779">
        <f t="shared" si="24"/>
        <v>3</v>
      </c>
      <c r="BL25" s="780">
        <f t="shared" si="33"/>
        <v>1</v>
      </c>
      <c r="BM25" s="779">
        <f t="shared" si="25"/>
        <v>2</v>
      </c>
      <c r="BN25" s="779">
        <f t="shared" si="26"/>
        <v>3</v>
      </c>
      <c r="BO25" s="1141"/>
      <c r="BP25" s="791" t="s">
        <v>362</v>
      </c>
      <c r="BQ25" s="799">
        <f t="shared" si="36"/>
        <v>0.6</v>
      </c>
      <c r="BR25" s="800">
        <f t="shared" si="36"/>
        <v>0.9</v>
      </c>
      <c r="BS25" s="800">
        <f t="shared" si="36"/>
        <v>0.93330000000000002</v>
      </c>
      <c r="BT25" s="800">
        <f t="shared" si="36"/>
        <v>0.9667</v>
      </c>
      <c r="BU25" s="801">
        <f t="shared" si="36"/>
        <v>1</v>
      </c>
      <c r="BV25" s="711"/>
      <c r="BW25" s="802"/>
    </row>
    <row r="26" spans="2:75" s="731" customFormat="1" ht="12.95" customHeight="1" x14ac:dyDescent="0.25">
      <c r="B26" s="783">
        <f>IF(ISNA(Z26),"",IF(OR(Z26=1,Z26=2),"    ",MAX($B$9:B25)+1))</f>
        <v>14</v>
      </c>
      <c r="C26" s="1116" t="str">
        <f t="shared" si="0"/>
        <v xml:space="preserve">      - Profess. Tone &amp; Word Choice (3.0%)</v>
      </c>
      <c r="D26" s="1116"/>
      <c r="E26" s="1116"/>
      <c r="F26" s="1117"/>
      <c r="G26" s="763">
        <f t="shared" si="1"/>
        <v>1</v>
      </c>
      <c r="H26" s="764" t="str">
        <f t="shared" si="2"/>
        <v>2*</v>
      </c>
      <c r="I26" s="784">
        <f t="shared" si="2"/>
        <v>3</v>
      </c>
      <c r="J26" s="789"/>
      <c r="K26" s="786"/>
      <c r="L26" s="1134"/>
      <c r="M26" s="1135"/>
      <c r="N26" s="1135"/>
      <c r="O26" s="1135"/>
      <c r="P26" s="1135"/>
      <c r="Q26" s="1135"/>
      <c r="R26" s="1136"/>
      <c r="T26" s="727">
        <v>18</v>
      </c>
      <c r="U26" s="716" t="s">
        <v>991</v>
      </c>
      <c r="V26" s="768">
        <v>1</v>
      </c>
      <c r="W26" s="768">
        <v>1</v>
      </c>
      <c r="X26" s="768" t="s">
        <v>340</v>
      </c>
      <c r="Y26" s="768" t="s">
        <v>340</v>
      </c>
      <c r="Z26" s="777" t="s">
        <v>340</v>
      </c>
      <c r="AA26" s="777">
        <v>2</v>
      </c>
      <c r="AB26" s="777">
        <v>1</v>
      </c>
      <c r="AC26" s="768">
        <v>3</v>
      </c>
      <c r="AD26" s="768">
        <v>2</v>
      </c>
      <c r="AE26" s="768">
        <v>1</v>
      </c>
      <c r="AF26" s="768" t="b">
        <v>1</v>
      </c>
      <c r="AG26" s="768">
        <f t="shared" si="3"/>
        <v>2</v>
      </c>
      <c r="AH26" s="768">
        <f t="shared" si="4"/>
        <v>1</v>
      </c>
      <c r="AI26" s="769">
        <f>IF(NOT(OR(Z26=1,Z26=2)),IF(AQ26&gt;0,$AR$45*AQ26/SUMIF($AQ$9:$AQ$40,"&gt;0"),IF(AU26&gt;0,$AV$45*AU26/SUMIF($AU$9:$AU$40,"&gt;0"),IF(AS26&gt;0,$AT$45*AS26/SUMIF($AS$9:$AS$40,"&gt;0"),""))),IF(SUMIF(AJ27:$AJ$40,"=" &amp; AJ26,AI27:$AI$40)=0,"",SUMIF(AJ27:$AJ$40,"=" &amp; AJ26,AI27:$AI$40)))</f>
        <v>3.0000000948000028E-2</v>
      </c>
      <c r="AJ26" s="770">
        <f t="shared" si="34"/>
        <v>3</v>
      </c>
      <c r="AK26" s="768">
        <f t="shared" si="27"/>
        <v>2</v>
      </c>
      <c r="AL26" s="777" t="str">
        <f t="shared" si="28"/>
        <v/>
      </c>
      <c r="AM26" s="777" t="str">
        <f t="shared" si="35"/>
        <v/>
      </c>
      <c r="AN26" s="777" t="str">
        <f t="shared" si="5"/>
        <v/>
      </c>
      <c r="AO26" s="777" t="str">
        <f t="shared" si="6"/>
        <v/>
      </c>
      <c r="AP26" s="768" t="b">
        <f t="shared" si="7"/>
        <v>1</v>
      </c>
      <c r="AQ26" s="771">
        <f t="shared" si="29"/>
        <v>1</v>
      </c>
      <c r="AR26" s="772" t="str">
        <f t="shared" si="8"/>
        <v/>
      </c>
      <c r="AS26" s="773">
        <f t="shared" si="30"/>
        <v>0</v>
      </c>
      <c r="AT26" s="772" t="str">
        <f t="shared" si="9"/>
        <v/>
      </c>
      <c r="AU26" s="774">
        <f t="shared" si="10"/>
        <v>0</v>
      </c>
      <c r="AV26" s="775" t="str">
        <f t="shared" si="11"/>
        <v/>
      </c>
      <c r="AW26" s="774" t="b">
        <f t="shared" si="12"/>
        <v>0</v>
      </c>
      <c r="AX26" s="776" t="b">
        <f t="shared" si="13"/>
        <v>1</v>
      </c>
      <c r="AY26" s="774" t="b">
        <f t="shared" si="14"/>
        <v>0</v>
      </c>
      <c r="AZ26" s="776" t="b">
        <f t="shared" si="15"/>
        <v>0</v>
      </c>
      <c r="BA26" s="768" t="b">
        <f t="shared" si="16"/>
        <v>0</v>
      </c>
      <c r="BB26" s="768" t="b">
        <f t="shared" si="17"/>
        <v>0</v>
      </c>
      <c r="BC26" s="774" t="b">
        <f t="shared" si="18"/>
        <v>0</v>
      </c>
      <c r="BD26" s="777" t="b">
        <f t="shared" si="31"/>
        <v>0</v>
      </c>
      <c r="BE26" s="776" t="b">
        <f t="shared" si="37"/>
        <v>0</v>
      </c>
      <c r="BF26" s="778" t="b">
        <f t="shared" si="20"/>
        <v>0</v>
      </c>
      <c r="BG26" s="779" t="b">
        <f t="shared" si="38"/>
        <v>1</v>
      </c>
      <c r="BH26" s="779">
        <f t="shared" si="32"/>
        <v>1</v>
      </c>
      <c r="BI26" s="779">
        <f t="shared" si="22"/>
        <v>2</v>
      </c>
      <c r="BJ26" s="779" t="str">
        <f t="shared" si="23"/>
        <v>2*</v>
      </c>
      <c r="BK26" s="779">
        <f t="shared" si="24"/>
        <v>3</v>
      </c>
      <c r="BL26" s="780">
        <f t="shared" si="33"/>
        <v>1</v>
      </c>
      <c r="BM26" s="779">
        <f t="shared" si="25"/>
        <v>2</v>
      </c>
      <c r="BN26" s="779">
        <f t="shared" si="26"/>
        <v>3</v>
      </c>
      <c r="BO26" s="1141"/>
      <c r="BP26" s="791" t="s">
        <v>363</v>
      </c>
      <c r="BQ26" s="799">
        <f t="shared" si="36"/>
        <v>0.6</v>
      </c>
      <c r="BR26" s="800">
        <f t="shared" si="36"/>
        <v>0.7</v>
      </c>
      <c r="BS26" s="800">
        <f t="shared" si="36"/>
        <v>0.9</v>
      </c>
      <c r="BT26" s="800">
        <f t="shared" si="36"/>
        <v>0.95</v>
      </c>
      <c r="BU26" s="801">
        <f t="shared" si="36"/>
        <v>1</v>
      </c>
      <c r="BV26" s="711"/>
      <c r="BW26" s="802"/>
    </row>
    <row r="27" spans="2:75" s="731" customFormat="1" ht="12.95" customHeight="1" x14ac:dyDescent="0.25">
      <c r="B27" s="783" t="str">
        <f>IF(ISNA(Z27),"",IF(OR(Z27=1,Z27=2),"    ",MAX($B$9:B26)+1))</f>
        <v xml:space="preserve">    </v>
      </c>
      <c r="C27" s="1116" t="str">
        <f t="shared" si="0"/>
        <v>Visual Eng &amp; Data Presentation (20.0%)</v>
      </c>
      <c r="D27" s="1116"/>
      <c r="E27" s="1116"/>
      <c r="F27" s="1117"/>
      <c r="G27" s="763" t="str">
        <f t="shared" si="1"/>
        <v/>
      </c>
      <c r="H27" s="764" t="str">
        <f t="shared" si="2"/>
        <v/>
      </c>
      <c r="I27" s="784" t="str">
        <f t="shared" si="2"/>
        <v/>
      </c>
      <c r="J27" s="793"/>
      <c r="K27" s="794"/>
      <c r="L27" s="1134"/>
      <c r="M27" s="1135"/>
      <c r="N27" s="1135"/>
      <c r="O27" s="1135"/>
      <c r="P27" s="1135"/>
      <c r="Q27" s="1135"/>
      <c r="R27" s="1136"/>
      <c r="T27" s="727">
        <v>19</v>
      </c>
      <c r="U27" s="716" t="s">
        <v>974</v>
      </c>
      <c r="V27" s="768" t="s">
        <v>340</v>
      </c>
      <c r="W27" s="768" t="s">
        <v>340</v>
      </c>
      <c r="X27" s="768" t="s">
        <v>340</v>
      </c>
      <c r="Y27" s="768" t="s">
        <v>340</v>
      </c>
      <c r="Z27" s="777">
        <v>2</v>
      </c>
      <c r="AA27" s="777">
        <v>1</v>
      </c>
      <c r="AB27" s="777">
        <v>1</v>
      </c>
      <c r="AC27" s="768" t="s">
        <v>340</v>
      </c>
      <c r="AD27" s="768" t="s">
        <v>340</v>
      </c>
      <c r="AE27" s="768" t="s">
        <v>340</v>
      </c>
      <c r="AF27" s="768" t="s">
        <v>340</v>
      </c>
      <c r="AG27" s="768" t="str">
        <f t="shared" si="3"/>
        <v/>
      </c>
      <c r="AH27" s="768" t="str">
        <f t="shared" si="4"/>
        <v/>
      </c>
      <c r="AI27" s="769">
        <f>IF(NOT(OR(Z27=1,Z27=2)),IF(AQ27&gt;0,$AR$45*AQ27/SUMIF($AQ$9:$AQ$40,"&gt;0"),IF(AU27&gt;0,$AV$45*AU27/SUMIF($AU$9:$AU$40,"&gt;0"),IF(AS27&gt;0,$AT$45*AS27/SUMIF($AS$9:$AS$40,"&gt;0"),""))),IF(SUMIF(AJ28:$AJ$40,"=" &amp; AJ27,AI28:$AI$40)=0,"",SUMIF(AJ28:$AJ$40,"=" &amp; AJ27,AI28:$AI$40)))</f>
        <v>0.20000000612000018</v>
      </c>
      <c r="AJ27" s="770">
        <f t="shared" si="34"/>
        <v>4</v>
      </c>
      <c r="AK27" s="768" t="str">
        <f t="shared" si="27"/>
        <v/>
      </c>
      <c r="AL27" s="777" t="str">
        <f t="shared" si="28"/>
        <v/>
      </c>
      <c r="AM27" s="777" t="str">
        <f t="shared" si="35"/>
        <v/>
      </c>
      <c r="AN27" s="777" t="str">
        <f t="shared" si="5"/>
        <v/>
      </c>
      <c r="AO27" s="777" t="str">
        <f t="shared" si="6"/>
        <v/>
      </c>
      <c r="AP27" s="768" t="str">
        <f t="shared" si="7"/>
        <v/>
      </c>
      <c r="AQ27" s="771">
        <f t="shared" si="29"/>
        <v>0</v>
      </c>
      <c r="AR27" s="772" t="str">
        <f t="shared" si="8"/>
        <v/>
      </c>
      <c r="AS27" s="773">
        <f t="shared" si="30"/>
        <v>0</v>
      </c>
      <c r="AT27" s="772" t="str">
        <f t="shared" si="9"/>
        <v/>
      </c>
      <c r="AU27" s="774">
        <f t="shared" si="10"/>
        <v>0</v>
      </c>
      <c r="AV27" s="775" t="str">
        <f t="shared" si="11"/>
        <v/>
      </c>
      <c r="AW27" s="774" t="b">
        <f t="shared" si="12"/>
        <v>0</v>
      </c>
      <c r="AX27" s="776" t="b">
        <f t="shared" si="13"/>
        <v>0</v>
      </c>
      <c r="AY27" s="774" t="b">
        <f t="shared" si="14"/>
        <v>0</v>
      </c>
      <c r="AZ27" s="776" t="b">
        <f t="shared" si="15"/>
        <v>0</v>
      </c>
      <c r="BA27" s="768" t="b">
        <f t="shared" si="16"/>
        <v>0</v>
      </c>
      <c r="BB27" s="768" t="b">
        <f t="shared" si="17"/>
        <v>0</v>
      </c>
      <c r="BC27" s="774" t="b">
        <f t="shared" si="18"/>
        <v>0</v>
      </c>
      <c r="BD27" s="777" t="b">
        <f t="shared" si="31"/>
        <v>0</v>
      </c>
      <c r="BE27" s="776" t="b">
        <f t="shared" si="37"/>
        <v>0</v>
      </c>
      <c r="BF27" s="778" t="b">
        <f t="shared" si="20"/>
        <v>0</v>
      </c>
      <c r="BG27" s="779" t="b">
        <f t="shared" si="38"/>
        <v>0</v>
      </c>
      <c r="BH27" s="779" t="str">
        <f t="shared" si="32"/>
        <v/>
      </c>
      <c r="BI27" s="779" t="str">
        <f t="shared" si="22"/>
        <v/>
      </c>
      <c r="BJ27" s="779" t="str">
        <f t="shared" si="23"/>
        <v/>
      </c>
      <c r="BK27" s="779" t="str">
        <f t="shared" si="24"/>
        <v/>
      </c>
      <c r="BL27" s="780" t="str">
        <f t="shared" si="33"/>
        <v/>
      </c>
      <c r="BM27" s="779" t="str">
        <f t="shared" si="25"/>
        <v/>
      </c>
      <c r="BN27" s="779" t="str">
        <f t="shared" si="26"/>
        <v/>
      </c>
      <c r="BO27" s="1141"/>
      <c r="BP27" s="791" t="s">
        <v>364</v>
      </c>
      <c r="BQ27" s="799">
        <f t="shared" si="36"/>
        <v>0.6</v>
      </c>
      <c r="BR27" s="800">
        <f t="shared" si="36"/>
        <v>0.7</v>
      </c>
      <c r="BS27" s="800">
        <f t="shared" si="36"/>
        <v>0.8</v>
      </c>
      <c r="BT27" s="800">
        <f t="shared" si="36"/>
        <v>0.9</v>
      </c>
      <c r="BU27" s="801">
        <f t="shared" si="36"/>
        <v>1</v>
      </c>
    </row>
    <row r="28" spans="2:75" s="731" customFormat="1" ht="12.95" customHeight="1" x14ac:dyDescent="0.25">
      <c r="B28" s="783">
        <f>IF(ISNA(Z28),"",IF(OR(Z28=1,Z28=2),"    ",MAX($B$9:B27)+1))</f>
        <v>15</v>
      </c>
      <c r="C28" s="1116" t="str">
        <f t="shared" si="0"/>
        <v xml:space="preserve">      - Anatomy of a Valid Plot/Table (8.0%)</v>
      </c>
      <c r="D28" s="1116"/>
      <c r="E28" s="1116"/>
      <c r="F28" s="1117"/>
      <c r="G28" s="763">
        <f t="shared" si="1"/>
        <v>1</v>
      </c>
      <c r="H28" s="764" t="str">
        <f t="shared" si="2"/>
        <v>2*</v>
      </c>
      <c r="I28" s="784">
        <f t="shared" si="2"/>
        <v>3</v>
      </c>
      <c r="J28" s="789"/>
      <c r="K28" s="786"/>
      <c r="L28" s="1134"/>
      <c r="M28" s="1135"/>
      <c r="N28" s="1135"/>
      <c r="O28" s="1135"/>
      <c r="P28" s="1135"/>
      <c r="Q28" s="1135"/>
      <c r="R28" s="1136"/>
      <c r="T28" s="727">
        <v>20</v>
      </c>
      <c r="U28" s="716" t="s">
        <v>975</v>
      </c>
      <c r="V28" s="768">
        <v>1</v>
      </c>
      <c r="W28" s="768">
        <v>2.6666666600000002</v>
      </c>
      <c r="X28" s="768" t="s">
        <v>340</v>
      </c>
      <c r="Y28" s="768" t="s">
        <v>340</v>
      </c>
      <c r="Z28" s="777" t="s">
        <v>340</v>
      </c>
      <c r="AA28" s="777">
        <v>2</v>
      </c>
      <c r="AB28" s="777">
        <v>1</v>
      </c>
      <c r="AC28" s="768">
        <v>3</v>
      </c>
      <c r="AD28" s="768">
        <v>2</v>
      </c>
      <c r="AE28" s="768">
        <v>1</v>
      </c>
      <c r="AF28" s="768" t="b">
        <v>1</v>
      </c>
      <c r="AG28" s="768">
        <f t="shared" si="3"/>
        <v>2</v>
      </c>
      <c r="AH28" s="768">
        <f t="shared" si="4"/>
        <v>1</v>
      </c>
      <c r="AI28" s="769">
        <f>IF(NOT(OR(Z28=1,Z28=2)),IF(AQ28&gt;0,$AR$45*AQ28/SUMIF($AQ$9:$AQ$40,"&gt;0"),IF(AU28&gt;0,$AV$45*AU28/SUMIF($AU$9:$AU$40,"&gt;0"),IF(AS28&gt;0,$AT$45*AS28/SUMIF($AS$9:$AS$40,"&gt;0"),""))),IF(SUMIF(AJ29:$AJ$40,"=" &amp; AJ28,AI29:$AI$40)=0,"",SUMIF(AJ29:$AJ$40,"=" &amp; AJ28,AI29:$AI$40)))</f>
        <v>8.0000002328000072E-2</v>
      </c>
      <c r="AJ28" s="770">
        <f t="shared" si="34"/>
        <v>4</v>
      </c>
      <c r="AK28" s="768">
        <f t="shared" si="27"/>
        <v>2</v>
      </c>
      <c r="AL28" s="777" t="str">
        <f t="shared" si="28"/>
        <v/>
      </c>
      <c r="AM28" s="777" t="str">
        <f t="shared" si="35"/>
        <v/>
      </c>
      <c r="AN28" s="777" t="str">
        <f t="shared" si="5"/>
        <v/>
      </c>
      <c r="AO28" s="777" t="str">
        <f t="shared" si="6"/>
        <v/>
      </c>
      <c r="AP28" s="768" t="b">
        <f t="shared" si="7"/>
        <v>1</v>
      </c>
      <c r="AQ28" s="771">
        <f t="shared" si="29"/>
        <v>2.6666666600000002</v>
      </c>
      <c r="AR28" s="772" t="str">
        <f t="shared" si="8"/>
        <v/>
      </c>
      <c r="AS28" s="773">
        <f t="shared" si="30"/>
        <v>0</v>
      </c>
      <c r="AT28" s="772" t="str">
        <f t="shared" si="9"/>
        <v/>
      </c>
      <c r="AU28" s="774">
        <f t="shared" si="10"/>
        <v>0</v>
      </c>
      <c r="AV28" s="775" t="str">
        <f t="shared" si="11"/>
        <v/>
      </c>
      <c r="AW28" s="774" t="b">
        <f t="shared" si="12"/>
        <v>0</v>
      </c>
      <c r="AX28" s="776" t="b">
        <f t="shared" si="13"/>
        <v>1</v>
      </c>
      <c r="AY28" s="774" t="b">
        <f t="shared" si="14"/>
        <v>0</v>
      </c>
      <c r="AZ28" s="776" t="b">
        <f t="shared" si="15"/>
        <v>0</v>
      </c>
      <c r="BA28" s="768" t="b">
        <f t="shared" si="16"/>
        <v>0</v>
      </c>
      <c r="BB28" s="768" t="b">
        <f t="shared" si="17"/>
        <v>0</v>
      </c>
      <c r="BC28" s="774" t="b">
        <f t="shared" si="18"/>
        <v>0</v>
      </c>
      <c r="BD28" s="777" t="b">
        <f t="shared" si="31"/>
        <v>0</v>
      </c>
      <c r="BE28" s="776" t="b">
        <f t="shared" si="37"/>
        <v>0</v>
      </c>
      <c r="BF28" s="778" t="b">
        <f t="shared" si="20"/>
        <v>0</v>
      </c>
      <c r="BG28" s="779" t="b">
        <f t="shared" si="38"/>
        <v>1</v>
      </c>
      <c r="BH28" s="779">
        <f t="shared" si="32"/>
        <v>1</v>
      </c>
      <c r="BI28" s="779">
        <f t="shared" si="22"/>
        <v>2</v>
      </c>
      <c r="BJ28" s="779" t="str">
        <f t="shared" si="23"/>
        <v>2*</v>
      </c>
      <c r="BK28" s="779">
        <f t="shared" si="24"/>
        <v>3</v>
      </c>
      <c r="BL28" s="780">
        <f t="shared" si="33"/>
        <v>1</v>
      </c>
      <c r="BM28" s="779">
        <f t="shared" si="25"/>
        <v>2</v>
      </c>
      <c r="BN28" s="779">
        <f t="shared" si="26"/>
        <v>3</v>
      </c>
      <c r="BO28" s="1141"/>
      <c r="BP28" s="791" t="s">
        <v>365</v>
      </c>
      <c r="BQ28" s="799">
        <f t="shared" si="36"/>
        <v>0.3</v>
      </c>
      <c r="BR28" s="800">
        <f t="shared" si="36"/>
        <v>0.6</v>
      </c>
      <c r="BS28" s="800">
        <f t="shared" si="36"/>
        <v>0.9</v>
      </c>
      <c r="BT28" s="800">
        <f t="shared" si="36"/>
        <v>0.95</v>
      </c>
      <c r="BU28" s="801">
        <f t="shared" si="36"/>
        <v>1</v>
      </c>
    </row>
    <row r="29" spans="2:75" s="731" customFormat="1" ht="12.95" customHeight="1" x14ac:dyDescent="0.25">
      <c r="B29" s="783">
        <f>IF(ISNA(Z29),"",IF(OR(Z29=1,Z29=2),"    ",MAX($B$9:B28)+1))</f>
        <v>16</v>
      </c>
      <c r="C29" s="1116" t="str">
        <f t="shared" si="0"/>
        <v xml:space="preserve">      - Data-Ink Ratio &amp; Clarity (6.0%)</v>
      </c>
      <c r="D29" s="1116"/>
      <c r="E29" s="1116"/>
      <c r="F29" s="1117"/>
      <c r="G29" s="763">
        <f t="shared" si="1"/>
        <v>1</v>
      </c>
      <c r="H29" s="764" t="str">
        <f t="shared" si="2"/>
        <v>2*</v>
      </c>
      <c r="I29" s="784">
        <f t="shared" si="2"/>
        <v>3</v>
      </c>
      <c r="J29" s="789"/>
      <c r="K29" s="786"/>
      <c r="L29" s="1134"/>
      <c r="M29" s="1135"/>
      <c r="N29" s="1135"/>
      <c r="O29" s="1135"/>
      <c r="P29" s="1135"/>
      <c r="Q29" s="1135"/>
      <c r="R29" s="1136"/>
      <c r="T29" s="727">
        <v>21</v>
      </c>
      <c r="U29" s="716" t="s">
        <v>976</v>
      </c>
      <c r="V29" s="768">
        <v>1</v>
      </c>
      <c r="W29" s="768">
        <v>2</v>
      </c>
      <c r="X29" s="768" t="s">
        <v>340</v>
      </c>
      <c r="Y29" s="768" t="s">
        <v>340</v>
      </c>
      <c r="Z29" s="777" t="s">
        <v>340</v>
      </c>
      <c r="AA29" s="777">
        <v>2</v>
      </c>
      <c r="AB29" s="777">
        <v>1</v>
      </c>
      <c r="AC29" s="768">
        <v>3</v>
      </c>
      <c r="AD29" s="768">
        <v>2</v>
      </c>
      <c r="AE29" s="768">
        <v>1</v>
      </c>
      <c r="AF29" s="768" t="b">
        <v>1</v>
      </c>
      <c r="AG29" s="768">
        <f t="shared" si="3"/>
        <v>2</v>
      </c>
      <c r="AH29" s="768">
        <f t="shared" si="4"/>
        <v>1</v>
      </c>
      <c r="AI29" s="769">
        <f>IF(NOT(OR(Z29=1,Z29=2)),IF(AQ29&gt;0,$AR$45*AQ29/SUMIF($AQ$9:$AQ$40,"&gt;0"),IF(AU29&gt;0,$AV$45*AU29/SUMIF($AU$9:$AU$40,"&gt;0"),IF(AS29&gt;0,$AT$45*AS29/SUMIF($AS$9:$AS$40,"&gt;0"),""))),IF(SUMIF(AJ30:$AJ$40,"=" &amp; AJ29,AI30:$AI$40)=0,"",SUMIF(AJ30:$AJ$40,"=" &amp; AJ29,AI30:$AI$40)))</f>
        <v>6.0000001896000056E-2</v>
      </c>
      <c r="AJ29" s="770">
        <f t="shared" si="34"/>
        <v>4</v>
      </c>
      <c r="AK29" s="768">
        <f t="shared" si="27"/>
        <v>2</v>
      </c>
      <c r="AL29" s="777" t="str">
        <f t="shared" si="28"/>
        <v/>
      </c>
      <c r="AM29" s="777" t="str">
        <f t="shared" si="35"/>
        <v/>
      </c>
      <c r="AN29" s="777" t="str">
        <f t="shared" si="5"/>
        <v/>
      </c>
      <c r="AO29" s="777" t="str">
        <f t="shared" si="6"/>
        <v/>
      </c>
      <c r="AP29" s="768" t="b">
        <f t="shared" si="7"/>
        <v>1</v>
      </c>
      <c r="AQ29" s="771">
        <f t="shared" si="29"/>
        <v>2</v>
      </c>
      <c r="AR29" s="772" t="str">
        <f t="shared" si="8"/>
        <v/>
      </c>
      <c r="AS29" s="773">
        <f t="shared" si="30"/>
        <v>0</v>
      </c>
      <c r="AT29" s="772" t="str">
        <f t="shared" si="9"/>
        <v/>
      </c>
      <c r="AU29" s="774">
        <f t="shared" si="10"/>
        <v>0</v>
      </c>
      <c r="AV29" s="775" t="str">
        <f t="shared" si="11"/>
        <v/>
      </c>
      <c r="AW29" s="774" t="b">
        <f t="shared" si="12"/>
        <v>0</v>
      </c>
      <c r="AX29" s="776" t="b">
        <f t="shared" si="13"/>
        <v>1</v>
      </c>
      <c r="AY29" s="774" t="b">
        <f t="shared" si="14"/>
        <v>0</v>
      </c>
      <c r="AZ29" s="776" t="b">
        <f t="shared" si="15"/>
        <v>0</v>
      </c>
      <c r="BA29" s="768" t="b">
        <f t="shared" si="16"/>
        <v>0</v>
      </c>
      <c r="BB29" s="768" t="b">
        <f t="shared" si="17"/>
        <v>0</v>
      </c>
      <c r="BC29" s="774" t="b">
        <f t="shared" si="18"/>
        <v>0</v>
      </c>
      <c r="BD29" s="777" t="b">
        <f t="shared" si="31"/>
        <v>0</v>
      </c>
      <c r="BE29" s="776" t="b">
        <f t="shared" si="37"/>
        <v>0</v>
      </c>
      <c r="BF29" s="778" t="b">
        <f t="shared" si="20"/>
        <v>0</v>
      </c>
      <c r="BG29" s="779" t="b">
        <f t="shared" si="38"/>
        <v>1</v>
      </c>
      <c r="BH29" s="779">
        <f t="shared" si="32"/>
        <v>1</v>
      </c>
      <c r="BI29" s="779">
        <f t="shared" si="22"/>
        <v>2</v>
      </c>
      <c r="BJ29" s="779" t="str">
        <f t="shared" si="23"/>
        <v>2*</v>
      </c>
      <c r="BK29" s="779">
        <f t="shared" si="24"/>
        <v>3</v>
      </c>
      <c r="BL29" s="780">
        <f t="shared" si="33"/>
        <v>1</v>
      </c>
      <c r="BM29" s="779">
        <f t="shared" si="25"/>
        <v>2</v>
      </c>
      <c r="BN29" s="779">
        <f t="shared" si="26"/>
        <v>3</v>
      </c>
      <c r="BO29" s="1141"/>
      <c r="BP29" s="791" t="s">
        <v>366</v>
      </c>
      <c r="BQ29" s="799">
        <f t="shared" si="36"/>
        <v>0.3</v>
      </c>
      <c r="BR29" s="800">
        <f t="shared" si="36"/>
        <v>0.6</v>
      </c>
      <c r="BS29" s="800">
        <f t="shared" si="36"/>
        <v>0.7</v>
      </c>
      <c r="BT29" s="800">
        <f t="shared" si="36"/>
        <v>0.9</v>
      </c>
      <c r="BU29" s="801">
        <f t="shared" si="36"/>
        <v>1</v>
      </c>
    </row>
    <row r="30" spans="2:75" s="731" customFormat="1" ht="12.95" customHeight="1" x14ac:dyDescent="0.25">
      <c r="B30" s="783">
        <f>IF(ISNA(Z30),"",IF(OR(Z30=1,Z30=2),"    ",MAX($B$9:B29)+1))</f>
        <v>17</v>
      </c>
      <c r="C30" s="1116" t="str">
        <f t="shared" si="0"/>
        <v xml:space="preserve">      - Data Honesty &amp; Context (6.0%)</v>
      </c>
      <c r="D30" s="1116"/>
      <c r="E30" s="1116"/>
      <c r="F30" s="1117"/>
      <c r="G30" s="763">
        <f t="shared" si="1"/>
        <v>1</v>
      </c>
      <c r="H30" s="764" t="str">
        <f t="shared" si="2"/>
        <v>2*</v>
      </c>
      <c r="I30" s="784">
        <f t="shared" si="2"/>
        <v>3</v>
      </c>
      <c r="J30" s="789"/>
      <c r="K30" s="786"/>
      <c r="L30" s="1134"/>
      <c r="M30" s="1135"/>
      <c r="N30" s="1135"/>
      <c r="O30" s="1135"/>
      <c r="P30" s="1135"/>
      <c r="Q30" s="1135"/>
      <c r="R30" s="1136"/>
      <c r="T30" s="727">
        <v>22</v>
      </c>
      <c r="U30" s="716" t="s">
        <v>992</v>
      </c>
      <c r="V30" s="768">
        <v>1</v>
      </c>
      <c r="W30" s="768">
        <v>2</v>
      </c>
      <c r="X30" s="768" t="s">
        <v>340</v>
      </c>
      <c r="Y30" s="768" t="s">
        <v>340</v>
      </c>
      <c r="Z30" s="777" t="s">
        <v>340</v>
      </c>
      <c r="AA30" s="777">
        <v>2</v>
      </c>
      <c r="AB30" s="777">
        <v>1</v>
      </c>
      <c r="AC30" s="768">
        <v>3</v>
      </c>
      <c r="AD30" s="768">
        <v>2</v>
      </c>
      <c r="AE30" s="768">
        <v>1</v>
      </c>
      <c r="AF30" s="768" t="b">
        <v>1</v>
      </c>
      <c r="AG30" s="768">
        <f t="shared" si="3"/>
        <v>2</v>
      </c>
      <c r="AH30" s="768">
        <f t="shared" si="4"/>
        <v>1</v>
      </c>
      <c r="AI30" s="769">
        <f>IF(NOT(OR(Z30=1,Z30=2)),IF(AQ30&gt;0,$AR$45*AQ30/SUMIF($AQ$9:$AQ$40,"&gt;0"),IF(AU30&gt;0,$AV$45*AU30/SUMIF($AU$9:$AU$40,"&gt;0"),IF(AS30&gt;0,$AT$45*AS30/SUMIF($AS$9:$AS$40,"&gt;0"),""))),IF(SUMIF(AJ31:$AJ$40,"=" &amp; AJ30,AI31:$AI$40)=0,"",SUMIF(AJ31:$AJ$40,"=" &amp; AJ30,AI31:$AI$40)))</f>
        <v>6.0000001896000056E-2</v>
      </c>
      <c r="AJ30" s="770">
        <f t="shared" si="34"/>
        <v>4</v>
      </c>
      <c r="AK30" s="768">
        <f t="shared" si="27"/>
        <v>2</v>
      </c>
      <c r="AL30" s="777" t="str">
        <f t="shared" si="28"/>
        <v/>
      </c>
      <c r="AM30" s="777" t="str">
        <f t="shared" si="35"/>
        <v/>
      </c>
      <c r="AN30" s="777" t="str">
        <f t="shared" si="5"/>
        <v/>
      </c>
      <c r="AO30" s="777" t="str">
        <f t="shared" si="6"/>
        <v/>
      </c>
      <c r="AP30" s="768" t="b">
        <f t="shared" si="7"/>
        <v>1</v>
      </c>
      <c r="AQ30" s="771">
        <f t="shared" si="29"/>
        <v>2</v>
      </c>
      <c r="AR30" s="772" t="str">
        <f t="shared" si="8"/>
        <v/>
      </c>
      <c r="AS30" s="773">
        <f t="shared" si="30"/>
        <v>0</v>
      </c>
      <c r="AT30" s="772" t="str">
        <f t="shared" si="9"/>
        <v/>
      </c>
      <c r="AU30" s="774">
        <f t="shared" si="10"/>
        <v>0</v>
      </c>
      <c r="AV30" s="775" t="str">
        <f t="shared" si="11"/>
        <v/>
      </c>
      <c r="AW30" s="774" t="b">
        <f t="shared" si="12"/>
        <v>0</v>
      </c>
      <c r="AX30" s="776" t="b">
        <f t="shared" si="13"/>
        <v>1</v>
      </c>
      <c r="AY30" s="774" t="b">
        <f t="shared" si="14"/>
        <v>0</v>
      </c>
      <c r="AZ30" s="776" t="b">
        <f t="shared" si="15"/>
        <v>0</v>
      </c>
      <c r="BA30" s="768" t="b">
        <f t="shared" si="16"/>
        <v>0</v>
      </c>
      <c r="BB30" s="768" t="b">
        <f t="shared" si="17"/>
        <v>0</v>
      </c>
      <c r="BC30" s="774" t="b">
        <f t="shared" si="18"/>
        <v>0</v>
      </c>
      <c r="BD30" s="777" t="b">
        <f t="shared" si="31"/>
        <v>0</v>
      </c>
      <c r="BE30" s="776" t="b">
        <f t="shared" si="37"/>
        <v>0</v>
      </c>
      <c r="BF30" s="778" t="b">
        <f t="shared" si="20"/>
        <v>0</v>
      </c>
      <c r="BG30" s="779" t="b">
        <f t="shared" si="38"/>
        <v>1</v>
      </c>
      <c r="BH30" s="779">
        <f t="shared" si="32"/>
        <v>1</v>
      </c>
      <c r="BI30" s="779">
        <f t="shared" si="22"/>
        <v>2</v>
      </c>
      <c r="BJ30" s="779" t="str">
        <f t="shared" si="23"/>
        <v>2*</v>
      </c>
      <c r="BK30" s="779">
        <f t="shared" si="24"/>
        <v>3</v>
      </c>
      <c r="BL30" s="780">
        <f t="shared" si="33"/>
        <v>1</v>
      </c>
      <c r="BM30" s="779">
        <f t="shared" si="25"/>
        <v>2</v>
      </c>
      <c r="BN30" s="779">
        <f t="shared" si="26"/>
        <v>3</v>
      </c>
      <c r="BO30" s="1141"/>
      <c r="BP30" s="791" t="s">
        <v>367</v>
      </c>
      <c r="BQ30" s="803">
        <f t="shared" si="36"/>
        <v>0</v>
      </c>
      <c r="BR30" s="804">
        <f t="shared" si="36"/>
        <v>0.3</v>
      </c>
      <c r="BS30" s="804">
        <f t="shared" si="36"/>
        <v>0.6</v>
      </c>
      <c r="BT30" s="804">
        <f t="shared" si="36"/>
        <v>0.9</v>
      </c>
      <c r="BU30" s="805">
        <f t="shared" si="36"/>
        <v>1</v>
      </c>
    </row>
    <row r="31" spans="2:75" s="731" customFormat="1" ht="12.95" customHeight="1" x14ac:dyDescent="0.25">
      <c r="B31" s="783" t="str">
        <f>IF(ISNA(Z31),"",IF(OR(Z31=1,Z31=2),"    ",MAX($B$9:B30)+1))</f>
        <v/>
      </c>
      <c r="C31" s="1116" t="str">
        <f t="shared" si="0"/>
        <v/>
      </c>
      <c r="D31" s="1116"/>
      <c r="E31" s="1116"/>
      <c r="F31" s="1117"/>
      <c r="G31" s="763" t="str">
        <f t="shared" si="1"/>
        <v/>
      </c>
      <c r="H31" s="764" t="str">
        <f t="shared" si="2"/>
        <v/>
      </c>
      <c r="I31" s="784" t="str">
        <f t="shared" si="2"/>
        <v/>
      </c>
      <c r="J31" s="793"/>
      <c r="K31" s="794"/>
      <c r="L31" s="1134"/>
      <c r="M31" s="1135"/>
      <c r="N31" s="1135"/>
      <c r="O31" s="1135"/>
      <c r="P31" s="1135"/>
      <c r="Q31" s="1135"/>
      <c r="R31" s="1136"/>
      <c r="T31" s="727">
        <v>23</v>
      </c>
      <c r="U31" s="716" t="e">
        <v>#N/A</v>
      </c>
      <c r="V31" s="768" t="e">
        <v>#N/A</v>
      </c>
      <c r="W31" s="768" t="e">
        <v>#N/A</v>
      </c>
      <c r="X31" s="768" t="e">
        <v>#N/A</v>
      </c>
      <c r="Y31" s="768" t="e">
        <v>#N/A</v>
      </c>
      <c r="Z31" s="777" t="e">
        <v>#N/A</v>
      </c>
      <c r="AA31" s="777" t="e">
        <v>#N/A</v>
      </c>
      <c r="AB31" s="777" t="e">
        <v>#N/A</v>
      </c>
      <c r="AC31" s="768" t="e">
        <v>#N/A</v>
      </c>
      <c r="AD31" s="768" t="e">
        <v>#N/A</v>
      </c>
      <c r="AE31" s="768" t="e">
        <v>#N/A</v>
      </c>
      <c r="AF31" s="768" t="e">
        <v>#N/A</v>
      </c>
      <c r="AG31" s="768" t="e">
        <f t="shared" si="3"/>
        <v>#N/A</v>
      </c>
      <c r="AH31" s="768" t="str">
        <f t="shared" si="4"/>
        <v/>
      </c>
      <c r="AI31" s="769" t="e">
        <f>IF(NOT(OR(Z31=1,Z31=2)),IF(AQ31&gt;0,$AR$45*AQ31/SUMIF($AQ$9:$AQ$40,"&gt;0"),IF(AU31&gt;0,$AV$45*AU31/SUMIF($AU$9:$AU$40,"&gt;0"),IF(AS31&gt;0,$AT$45*AS31/SUMIF($AS$9:$AS$40,"&gt;0"),""))),IF(SUMIF(AJ32:$AJ$40,"=" &amp; AJ31,AI32:$AI$40)=0,"",SUMIF(AJ32:$AJ$40,"=" &amp; AJ31,AI32:$AI$40)))</f>
        <v>#N/A</v>
      </c>
      <c r="AJ31" s="770" t="e">
        <f t="shared" si="34"/>
        <v>#N/A</v>
      </c>
      <c r="AK31" s="768" t="str">
        <f t="shared" si="27"/>
        <v/>
      </c>
      <c r="AL31" s="777" t="str">
        <f t="shared" si="28"/>
        <v/>
      </c>
      <c r="AM31" s="777" t="str">
        <f t="shared" si="35"/>
        <v/>
      </c>
      <c r="AN31" s="777" t="str">
        <f t="shared" si="5"/>
        <v/>
      </c>
      <c r="AO31" s="777" t="e">
        <f t="shared" si="6"/>
        <v>#N/A</v>
      </c>
      <c r="AP31" s="768" t="str">
        <f t="shared" si="7"/>
        <v/>
      </c>
      <c r="AQ31" s="771">
        <f t="shared" si="29"/>
        <v>0</v>
      </c>
      <c r="AR31" s="772" t="str">
        <f t="shared" si="8"/>
        <v/>
      </c>
      <c r="AS31" s="773">
        <f t="shared" si="30"/>
        <v>0</v>
      </c>
      <c r="AT31" s="772" t="str">
        <f t="shared" si="9"/>
        <v/>
      </c>
      <c r="AU31" s="774">
        <f t="shared" si="10"/>
        <v>0</v>
      </c>
      <c r="AV31" s="775" t="str">
        <f t="shared" si="11"/>
        <v/>
      </c>
      <c r="AW31" s="774" t="b">
        <f t="shared" si="12"/>
        <v>0</v>
      </c>
      <c r="AX31" s="776" t="b">
        <f t="shared" si="13"/>
        <v>0</v>
      </c>
      <c r="AY31" s="774" t="b">
        <f t="shared" si="14"/>
        <v>0</v>
      </c>
      <c r="AZ31" s="776" t="b">
        <f t="shared" si="15"/>
        <v>0</v>
      </c>
      <c r="BA31" s="768" t="b">
        <f t="shared" si="16"/>
        <v>0</v>
      </c>
      <c r="BB31" s="768" t="b">
        <f t="shared" si="17"/>
        <v>0</v>
      </c>
      <c r="BC31" s="774" t="b">
        <f t="shared" si="18"/>
        <v>0</v>
      </c>
      <c r="BD31" s="777" t="b">
        <f t="shared" si="31"/>
        <v>0</v>
      </c>
      <c r="BE31" s="776" t="b">
        <f t="shared" si="37"/>
        <v>0</v>
      </c>
      <c r="BF31" s="778" t="b">
        <f t="shared" si="20"/>
        <v>0</v>
      </c>
      <c r="BG31" s="779" t="str">
        <f t="shared" si="38"/>
        <v>NA</v>
      </c>
      <c r="BH31" s="779" t="str">
        <f t="shared" si="32"/>
        <v/>
      </c>
      <c r="BI31" s="779" t="str">
        <f t="shared" si="22"/>
        <v/>
      </c>
      <c r="BJ31" s="779" t="str">
        <f t="shared" si="23"/>
        <v/>
      </c>
      <c r="BK31" s="779" t="str">
        <f t="shared" si="24"/>
        <v/>
      </c>
      <c r="BL31" s="780" t="str">
        <f t="shared" si="33"/>
        <v/>
      </c>
      <c r="BM31" s="779" t="str">
        <f t="shared" si="25"/>
        <v/>
      </c>
      <c r="BN31" s="779" t="str">
        <f t="shared" si="26"/>
        <v/>
      </c>
      <c r="BO31" s="719"/>
    </row>
    <row r="32" spans="2:75" s="731" customFormat="1" ht="12.95" customHeight="1" x14ac:dyDescent="0.25">
      <c r="B32" s="783" t="str">
        <f>IF(ISNA(Z32),"",IF(OR(Z32=1,Z32=2),"    ",MAX($B$9:B31)+1))</f>
        <v/>
      </c>
      <c r="C32" s="1116" t="str">
        <f t="shared" si="0"/>
        <v/>
      </c>
      <c r="D32" s="1116"/>
      <c r="E32" s="1116"/>
      <c r="F32" s="1117"/>
      <c r="G32" s="763" t="str">
        <f t="shared" si="1"/>
        <v/>
      </c>
      <c r="H32" s="764" t="str">
        <f t="shared" si="2"/>
        <v/>
      </c>
      <c r="I32" s="784" t="str">
        <f t="shared" si="2"/>
        <v/>
      </c>
      <c r="J32" s="793"/>
      <c r="K32" s="794"/>
      <c r="L32" s="1134"/>
      <c r="M32" s="1135"/>
      <c r="N32" s="1135"/>
      <c r="O32" s="1135"/>
      <c r="P32" s="1135"/>
      <c r="Q32" s="1135"/>
      <c r="R32" s="1136"/>
      <c r="T32" s="727">
        <v>24</v>
      </c>
      <c r="U32" s="716" t="e">
        <v>#N/A</v>
      </c>
      <c r="V32" s="768" t="e">
        <v>#N/A</v>
      </c>
      <c r="W32" s="768" t="e">
        <v>#N/A</v>
      </c>
      <c r="X32" s="768" t="e">
        <v>#N/A</v>
      </c>
      <c r="Y32" s="768" t="e">
        <v>#N/A</v>
      </c>
      <c r="Z32" s="777" t="e">
        <v>#N/A</v>
      </c>
      <c r="AA32" s="777" t="e">
        <v>#N/A</v>
      </c>
      <c r="AB32" s="777" t="e">
        <v>#N/A</v>
      </c>
      <c r="AC32" s="768" t="e">
        <v>#N/A</v>
      </c>
      <c r="AD32" s="768" t="e">
        <v>#N/A</v>
      </c>
      <c r="AE32" s="768" t="e">
        <v>#N/A</v>
      </c>
      <c r="AF32" s="768" t="e">
        <v>#N/A</v>
      </c>
      <c r="AG32" s="768" t="e">
        <f t="shared" si="3"/>
        <v>#N/A</v>
      </c>
      <c r="AH32" s="768" t="str">
        <f t="shared" si="4"/>
        <v/>
      </c>
      <c r="AI32" s="769" t="e">
        <f>IF(NOT(OR(Z32=1,Z32=2)),IF(AQ32&gt;0,$AR$45*AQ32/SUMIF($AQ$9:$AQ$40,"&gt;0"),IF(AU32&gt;0,$AV$45*AU32/SUMIF($AU$9:$AU$40,"&gt;0"),IF(AS32&gt;0,$AT$45*AS32/SUMIF($AS$9:$AS$40,"&gt;0"),""))),IF(SUMIF(AJ33:$AJ$40,"=" &amp; AJ32,AI33:$AI$40)=0,"",SUMIF(AJ33:$AJ$40,"=" &amp; AJ32,AI33:$AI$40)))</f>
        <v>#N/A</v>
      </c>
      <c r="AJ32" s="770" t="e">
        <f t="shared" si="34"/>
        <v>#N/A</v>
      </c>
      <c r="AK32" s="768" t="str">
        <f t="shared" si="27"/>
        <v/>
      </c>
      <c r="AL32" s="777" t="str">
        <f t="shared" si="28"/>
        <v/>
      </c>
      <c r="AM32" s="777" t="str">
        <f t="shared" si="35"/>
        <v/>
      </c>
      <c r="AN32" s="777" t="str">
        <f t="shared" si="5"/>
        <v/>
      </c>
      <c r="AO32" s="777" t="e">
        <f t="shared" si="6"/>
        <v>#N/A</v>
      </c>
      <c r="AP32" s="768" t="str">
        <f t="shared" si="7"/>
        <v/>
      </c>
      <c r="AQ32" s="771">
        <f t="shared" si="29"/>
        <v>0</v>
      </c>
      <c r="AR32" s="772" t="str">
        <f t="shared" si="8"/>
        <v/>
      </c>
      <c r="AS32" s="773">
        <f t="shared" si="30"/>
        <v>0</v>
      </c>
      <c r="AT32" s="772" t="str">
        <f t="shared" si="9"/>
        <v/>
      </c>
      <c r="AU32" s="774">
        <f t="shared" si="10"/>
        <v>0</v>
      </c>
      <c r="AV32" s="775" t="str">
        <f t="shared" si="11"/>
        <v/>
      </c>
      <c r="AW32" s="774" t="b">
        <f t="shared" si="12"/>
        <v>0</v>
      </c>
      <c r="AX32" s="776" t="b">
        <f t="shared" si="13"/>
        <v>0</v>
      </c>
      <c r="AY32" s="774" t="b">
        <f t="shared" si="14"/>
        <v>0</v>
      </c>
      <c r="AZ32" s="776" t="b">
        <f t="shared" si="15"/>
        <v>0</v>
      </c>
      <c r="BA32" s="768" t="b">
        <f t="shared" si="16"/>
        <v>0</v>
      </c>
      <c r="BB32" s="768" t="b">
        <f t="shared" si="17"/>
        <v>0</v>
      </c>
      <c r="BC32" s="774" t="b">
        <f t="shared" si="18"/>
        <v>0</v>
      </c>
      <c r="BD32" s="777" t="b">
        <f>IF(OR(ISNA($Z32),ISNUMBER($Z32),NOT(ISNUMBER(K32))),FALSE,OR(NOT(ISNUMBER(J32)),J32=0,AND(J32=0,K32&lt;&gt;0)))</f>
        <v>0</v>
      </c>
      <c r="BE32" s="776" t="b">
        <f t="shared" si="37"/>
        <v>0</v>
      </c>
      <c r="BF32" s="778" t="b">
        <f>IF(OR(ISNA($Z32),H32&lt;&gt;"NG"),FALSE,IF(AND(J32="NA",K32&lt;&gt;""),TRUE,FALSE))</f>
        <v>0</v>
      </c>
      <c r="BG32" s="779" t="str">
        <f t="shared" si="38"/>
        <v>NA</v>
      </c>
      <c r="BH32" s="779" t="str">
        <f t="shared" si="32"/>
        <v/>
      </c>
      <c r="BI32" s="779" t="str">
        <f t="shared" si="22"/>
        <v/>
      </c>
      <c r="BJ32" s="779" t="str">
        <f t="shared" si="23"/>
        <v/>
      </c>
      <c r="BK32" s="779" t="str">
        <f t="shared" si="24"/>
        <v/>
      </c>
      <c r="BL32" s="780" t="str">
        <f t="shared" si="33"/>
        <v/>
      </c>
      <c r="BM32" s="779" t="str">
        <f t="shared" si="25"/>
        <v/>
      </c>
      <c r="BN32" s="779" t="str">
        <f t="shared" si="26"/>
        <v/>
      </c>
      <c r="BO32" s="787" t="s">
        <v>368</v>
      </c>
      <c r="BP32" s="792" t="s">
        <v>369</v>
      </c>
    </row>
    <row r="33" spans="2:73 1271:1271" s="731" customFormat="1" ht="12.95" customHeight="1" x14ac:dyDescent="0.25">
      <c r="B33" s="783" t="str">
        <f>IF(ISNA(Z33),"",IF(OR(Z33=1,Z33=2),"    ",MAX($B$9:B32)+1))</f>
        <v/>
      </c>
      <c r="C33" s="1116" t="str">
        <f t="shared" si="0"/>
        <v/>
      </c>
      <c r="D33" s="1116"/>
      <c r="E33" s="1116"/>
      <c r="F33" s="1117"/>
      <c r="G33" s="763" t="str">
        <f t="shared" si="1"/>
        <v/>
      </c>
      <c r="H33" s="764" t="str">
        <f t="shared" si="2"/>
        <v/>
      </c>
      <c r="I33" s="784" t="str">
        <f t="shared" si="2"/>
        <v/>
      </c>
      <c r="J33" s="793"/>
      <c r="K33" s="794"/>
      <c r="L33" s="1134"/>
      <c r="M33" s="1135"/>
      <c r="N33" s="1135"/>
      <c r="O33" s="1135"/>
      <c r="P33" s="1135"/>
      <c r="Q33" s="1135"/>
      <c r="R33" s="1136"/>
      <c r="T33" s="727">
        <v>25</v>
      </c>
      <c r="U33" s="716" t="e">
        <v>#N/A</v>
      </c>
      <c r="V33" s="768" t="e">
        <v>#N/A</v>
      </c>
      <c r="W33" s="768" t="e">
        <v>#N/A</v>
      </c>
      <c r="X33" s="768" t="e">
        <v>#N/A</v>
      </c>
      <c r="Y33" s="768" t="e">
        <v>#N/A</v>
      </c>
      <c r="Z33" s="777" t="e">
        <v>#N/A</v>
      </c>
      <c r="AA33" s="777" t="e">
        <v>#N/A</v>
      </c>
      <c r="AB33" s="777" t="e">
        <v>#N/A</v>
      </c>
      <c r="AC33" s="768" t="e">
        <v>#N/A</v>
      </c>
      <c r="AD33" s="768" t="e">
        <v>#N/A</v>
      </c>
      <c r="AE33" s="768" t="e">
        <v>#N/A</v>
      </c>
      <c r="AF33" s="768" t="e">
        <v>#N/A</v>
      </c>
      <c r="AG33" s="768" t="e">
        <f t="shared" si="3"/>
        <v>#N/A</v>
      </c>
      <c r="AH33" s="768" t="str">
        <f t="shared" si="4"/>
        <v/>
      </c>
      <c r="AI33" s="769" t="e">
        <f>IF(NOT(OR(Z33=1,Z33=2)),IF(AQ33&gt;0,$AR$45*AQ33/SUMIF($AQ$9:$AQ$40,"&gt;0"),IF(AU33&gt;0,$AV$45*AU33/SUMIF($AU$9:$AU$40,"&gt;0"),IF(AS33&gt;0,$AT$45*AS33/SUMIF($AS$9:$AS$40,"&gt;0"),""))),IF(SUMIF(AJ34:$AJ$40,"=" &amp; AJ33,AI34:$AI$40)=0,"",SUMIF(AJ34:$AJ$40,"=" &amp; AJ33,AI34:$AI$40)))</f>
        <v>#N/A</v>
      </c>
      <c r="AJ33" s="770" t="e">
        <f t="shared" si="34"/>
        <v>#N/A</v>
      </c>
      <c r="AK33" s="768" t="str">
        <f t="shared" si="27"/>
        <v/>
      </c>
      <c r="AL33" s="777" t="str">
        <f t="shared" si="28"/>
        <v/>
      </c>
      <c r="AM33" s="777" t="str">
        <f t="shared" si="35"/>
        <v/>
      </c>
      <c r="AN33" s="777" t="str">
        <f t="shared" si="5"/>
        <v/>
      </c>
      <c r="AO33" s="777" t="e">
        <f t="shared" si="6"/>
        <v>#N/A</v>
      </c>
      <c r="AP33" s="768" t="str">
        <f t="shared" si="7"/>
        <v/>
      </c>
      <c r="AQ33" s="771">
        <f t="shared" si="29"/>
        <v>0</v>
      </c>
      <c r="AR33" s="772" t="str">
        <f t="shared" si="8"/>
        <v/>
      </c>
      <c r="AS33" s="773">
        <f t="shared" si="30"/>
        <v>0</v>
      </c>
      <c r="AT33" s="772" t="str">
        <f t="shared" si="9"/>
        <v/>
      </c>
      <c r="AU33" s="774">
        <f t="shared" si="10"/>
        <v>0</v>
      </c>
      <c r="AV33" s="775" t="str">
        <f t="shared" si="11"/>
        <v/>
      </c>
      <c r="AW33" s="774" t="b">
        <f t="shared" si="12"/>
        <v>0</v>
      </c>
      <c r="AX33" s="776" t="b">
        <f t="shared" si="13"/>
        <v>0</v>
      </c>
      <c r="AY33" s="774" t="b">
        <f t="shared" si="14"/>
        <v>0</v>
      </c>
      <c r="AZ33" s="776" t="b">
        <f t="shared" si="15"/>
        <v>0</v>
      </c>
      <c r="BA33" s="768" t="b">
        <f t="shared" si="16"/>
        <v>0</v>
      </c>
      <c r="BB33" s="768" t="b">
        <f t="shared" si="17"/>
        <v>0</v>
      </c>
      <c r="BC33" s="774" t="b">
        <f t="shared" si="18"/>
        <v>0</v>
      </c>
      <c r="BD33" s="777" t="b">
        <f t="shared" si="31"/>
        <v>0</v>
      </c>
      <c r="BE33" s="776" t="b">
        <f t="shared" si="37"/>
        <v>0</v>
      </c>
      <c r="BF33" s="778" t="b">
        <f t="shared" ref="BF33:BF40" si="39">IF(OR(ISNA($Z33),H33&lt;&gt;"NG"),FALSE,IF(AND(J33="NA",K33&lt;&gt;""),TRUE,FALSE))</f>
        <v>0</v>
      </c>
      <c r="BG33" s="779" t="str">
        <f t="shared" si="38"/>
        <v>NA</v>
      </c>
      <c r="BH33" s="779" t="str">
        <f t="shared" si="32"/>
        <v/>
      </c>
      <c r="BI33" s="779" t="str">
        <f t="shared" si="22"/>
        <v/>
      </c>
      <c r="BJ33" s="779" t="str">
        <f t="shared" si="23"/>
        <v/>
      </c>
      <c r="BK33" s="779" t="str">
        <f t="shared" si="24"/>
        <v/>
      </c>
      <c r="BL33" s="780" t="str">
        <f t="shared" si="33"/>
        <v/>
      </c>
      <c r="BM33" s="779" t="str">
        <f t="shared" si="25"/>
        <v/>
      </c>
      <c r="BN33" s="779" t="str">
        <f t="shared" si="26"/>
        <v/>
      </c>
      <c r="BO33" s="787" t="s">
        <v>370</v>
      </c>
      <c r="BP33" s="792" t="s">
        <v>371</v>
      </c>
    </row>
    <row r="34" spans="2:73 1271:1271" s="731" customFormat="1" ht="12.95" customHeight="1" x14ac:dyDescent="0.25">
      <c r="B34" s="783" t="str">
        <f>IF(ISNA(Z34),"",IF(OR(Z34=1,Z34=2),"    ",MAX($B$9:B33)+1))</f>
        <v/>
      </c>
      <c r="C34" s="1116" t="str">
        <f t="shared" si="0"/>
        <v/>
      </c>
      <c r="D34" s="1116"/>
      <c r="E34" s="1116"/>
      <c r="F34" s="1117"/>
      <c r="G34" s="763" t="str">
        <f t="shared" si="1"/>
        <v/>
      </c>
      <c r="H34" s="764" t="str">
        <f t="shared" si="2"/>
        <v/>
      </c>
      <c r="I34" s="784" t="str">
        <f t="shared" si="2"/>
        <v/>
      </c>
      <c r="J34" s="793"/>
      <c r="K34" s="794"/>
      <c r="L34" s="1134"/>
      <c r="M34" s="1135"/>
      <c r="N34" s="1135"/>
      <c r="O34" s="1135"/>
      <c r="P34" s="1135"/>
      <c r="Q34" s="1135"/>
      <c r="R34" s="1136"/>
      <c r="T34" s="727">
        <v>26</v>
      </c>
      <c r="U34" s="716" t="e">
        <v>#N/A</v>
      </c>
      <c r="V34" s="768" t="e">
        <v>#N/A</v>
      </c>
      <c r="W34" s="768" t="e">
        <v>#N/A</v>
      </c>
      <c r="X34" s="768" t="e">
        <v>#N/A</v>
      </c>
      <c r="Y34" s="768" t="e">
        <v>#N/A</v>
      </c>
      <c r="Z34" s="777" t="e">
        <v>#N/A</v>
      </c>
      <c r="AA34" s="777" t="e">
        <v>#N/A</v>
      </c>
      <c r="AB34" s="777" t="e">
        <v>#N/A</v>
      </c>
      <c r="AC34" s="768" t="e">
        <v>#N/A</v>
      </c>
      <c r="AD34" s="768" t="e">
        <v>#N/A</v>
      </c>
      <c r="AE34" s="768" t="e">
        <v>#N/A</v>
      </c>
      <c r="AF34" s="768" t="e">
        <v>#N/A</v>
      </c>
      <c r="AG34" s="768" t="e">
        <f t="shared" si="3"/>
        <v>#N/A</v>
      </c>
      <c r="AH34" s="768" t="str">
        <f t="shared" si="4"/>
        <v/>
      </c>
      <c r="AI34" s="769" t="e">
        <f>IF(NOT(OR(Z34=1,Z34=2)),IF(AQ34&gt;0,$AR$45*AQ34/SUMIF($AQ$9:$AQ$40,"&gt;0"),IF(AU34&gt;0,$AV$45*AU34/SUMIF($AU$9:$AU$40,"&gt;0"),IF(AS34&gt;0,$AT$45*AS34/SUMIF($AS$9:$AS$40,"&gt;0"),""))),IF(SUMIF(AJ35:$AJ$40,"=" &amp; AJ34,AI35:$AI$40)=0,"",SUMIF(AJ35:$AJ$40,"=" &amp; AJ34,AI35:$AI$40)))</f>
        <v>#N/A</v>
      </c>
      <c r="AJ34" s="770" t="e">
        <f t="shared" si="34"/>
        <v>#N/A</v>
      </c>
      <c r="AK34" s="768" t="str">
        <f t="shared" si="27"/>
        <v/>
      </c>
      <c r="AL34" s="777" t="str">
        <f t="shared" si="28"/>
        <v/>
      </c>
      <c r="AM34" s="777" t="str">
        <f t="shared" si="35"/>
        <v/>
      </c>
      <c r="AN34" s="777" t="str">
        <f t="shared" si="5"/>
        <v/>
      </c>
      <c r="AO34" s="777" t="e">
        <f t="shared" si="6"/>
        <v>#N/A</v>
      </c>
      <c r="AP34" s="768" t="str">
        <f t="shared" si="7"/>
        <v/>
      </c>
      <c r="AQ34" s="771">
        <f t="shared" si="29"/>
        <v>0</v>
      </c>
      <c r="AR34" s="772" t="str">
        <f t="shared" si="8"/>
        <v/>
      </c>
      <c r="AS34" s="773">
        <f t="shared" si="30"/>
        <v>0</v>
      </c>
      <c r="AT34" s="772" t="str">
        <f t="shared" si="9"/>
        <v/>
      </c>
      <c r="AU34" s="774">
        <f t="shared" si="10"/>
        <v>0</v>
      </c>
      <c r="AV34" s="775" t="str">
        <f t="shared" si="11"/>
        <v/>
      </c>
      <c r="AW34" s="774" t="b">
        <f t="shared" si="12"/>
        <v>0</v>
      </c>
      <c r="AX34" s="776" t="b">
        <f t="shared" si="13"/>
        <v>0</v>
      </c>
      <c r="AY34" s="774" t="b">
        <f t="shared" si="14"/>
        <v>0</v>
      </c>
      <c r="AZ34" s="776" t="b">
        <f t="shared" si="15"/>
        <v>0</v>
      </c>
      <c r="BA34" s="768" t="b">
        <f t="shared" si="16"/>
        <v>0</v>
      </c>
      <c r="BB34" s="768" t="b">
        <f t="shared" si="17"/>
        <v>0</v>
      </c>
      <c r="BC34" s="774" t="b">
        <f t="shared" si="18"/>
        <v>0</v>
      </c>
      <c r="BD34" s="777" t="b">
        <f t="shared" si="31"/>
        <v>0</v>
      </c>
      <c r="BE34" s="776" t="b">
        <f t="shared" si="37"/>
        <v>0</v>
      </c>
      <c r="BF34" s="778" t="b">
        <f t="shared" si="39"/>
        <v>0</v>
      </c>
      <c r="BG34" s="779" t="str">
        <f t="shared" si="38"/>
        <v>NA</v>
      </c>
      <c r="BH34" s="779" t="str">
        <f t="shared" si="32"/>
        <v/>
      </c>
      <c r="BI34" s="779" t="str">
        <f t="shared" si="22"/>
        <v/>
      </c>
      <c r="BJ34" s="779" t="str">
        <f t="shared" si="23"/>
        <v/>
      </c>
      <c r="BK34" s="779" t="str">
        <f t="shared" si="24"/>
        <v/>
      </c>
      <c r="BL34" s="780" t="str">
        <f t="shared" si="33"/>
        <v/>
      </c>
      <c r="BM34" s="779" t="str">
        <f t="shared" si="25"/>
        <v/>
      </c>
      <c r="BN34" s="779" t="str">
        <f t="shared" si="26"/>
        <v/>
      </c>
      <c r="BO34" s="782" t="s">
        <v>372</v>
      </c>
      <c r="BP34" s="792"/>
      <c r="BQ34" s="792"/>
      <c r="BR34" s="792"/>
      <c r="BS34" s="792"/>
      <c r="BT34" s="792"/>
      <c r="BU34" s="792"/>
    </row>
    <row r="35" spans="2:73 1271:1271" s="731" customFormat="1" ht="12.95" customHeight="1" x14ac:dyDescent="0.25">
      <c r="B35" s="783" t="str">
        <f>IF(ISNA(Z35),"",IF(OR(Z35=1,Z35=2),"    ",MAX($B$9:B34)+1))</f>
        <v/>
      </c>
      <c r="C35" s="1116" t="str">
        <f t="shared" si="0"/>
        <v/>
      </c>
      <c r="D35" s="1116"/>
      <c r="E35" s="1116"/>
      <c r="F35" s="1117"/>
      <c r="G35" s="763" t="str">
        <f t="shared" si="1"/>
        <v/>
      </c>
      <c r="H35" s="764" t="str">
        <f t="shared" si="2"/>
        <v/>
      </c>
      <c r="I35" s="784" t="str">
        <f t="shared" si="2"/>
        <v/>
      </c>
      <c r="J35" s="793"/>
      <c r="K35" s="794"/>
      <c r="L35" s="1134"/>
      <c r="M35" s="1135"/>
      <c r="N35" s="1135"/>
      <c r="O35" s="1135"/>
      <c r="P35" s="1135"/>
      <c r="Q35" s="1135"/>
      <c r="R35" s="1136"/>
      <c r="T35" s="727">
        <v>27</v>
      </c>
      <c r="U35" s="716" t="e">
        <v>#N/A</v>
      </c>
      <c r="V35" s="768" t="e">
        <v>#N/A</v>
      </c>
      <c r="W35" s="768" t="e">
        <v>#N/A</v>
      </c>
      <c r="X35" s="768" t="e">
        <v>#N/A</v>
      </c>
      <c r="Y35" s="768" t="e">
        <v>#N/A</v>
      </c>
      <c r="Z35" s="777" t="e">
        <v>#N/A</v>
      </c>
      <c r="AA35" s="777" t="e">
        <v>#N/A</v>
      </c>
      <c r="AB35" s="777" t="e">
        <v>#N/A</v>
      </c>
      <c r="AC35" s="768" t="e">
        <v>#N/A</v>
      </c>
      <c r="AD35" s="768" t="e">
        <v>#N/A</v>
      </c>
      <c r="AE35" s="768" t="e">
        <v>#N/A</v>
      </c>
      <c r="AF35" s="768" t="e">
        <v>#N/A</v>
      </c>
      <c r="AG35" s="768" t="e">
        <f t="shared" si="3"/>
        <v>#N/A</v>
      </c>
      <c r="AH35" s="768" t="str">
        <f t="shared" si="4"/>
        <v/>
      </c>
      <c r="AI35" s="769" t="e">
        <f>IF(NOT(OR(Z35=1,Z35=2)),IF(AQ35&gt;0,$AR$45*AQ35/SUMIF($AQ$9:$AQ$40,"&gt;0"),IF(AU35&gt;0,$AV$45*AU35/SUMIF($AU$9:$AU$40,"&gt;0"),IF(AS35&gt;0,$AT$45*AS35/SUMIF($AS$9:$AS$40,"&gt;0"),""))),IF(SUMIF(AJ36:$AJ$40,"=" &amp; AJ35,AI36:$AI$40)=0,"",SUMIF(AJ36:$AJ$40,"=" &amp; AJ35,AI36:$AI$40)))</f>
        <v>#N/A</v>
      </c>
      <c r="AJ35" s="770" t="e">
        <f t="shared" si="34"/>
        <v>#N/A</v>
      </c>
      <c r="AK35" s="768" t="str">
        <f t="shared" si="27"/>
        <v/>
      </c>
      <c r="AL35" s="777" t="str">
        <f t="shared" si="28"/>
        <v/>
      </c>
      <c r="AM35" s="777" t="str">
        <f t="shared" si="35"/>
        <v/>
      </c>
      <c r="AN35" s="777" t="str">
        <f t="shared" si="5"/>
        <v/>
      </c>
      <c r="AO35" s="777" t="e">
        <f t="shared" si="6"/>
        <v>#N/A</v>
      </c>
      <c r="AP35" s="768" t="str">
        <f t="shared" si="7"/>
        <v/>
      </c>
      <c r="AQ35" s="771">
        <f t="shared" si="29"/>
        <v>0</v>
      </c>
      <c r="AR35" s="772" t="str">
        <f t="shared" si="8"/>
        <v/>
      </c>
      <c r="AS35" s="773">
        <f t="shared" si="30"/>
        <v>0</v>
      </c>
      <c r="AT35" s="772" t="str">
        <f t="shared" si="9"/>
        <v/>
      </c>
      <c r="AU35" s="774">
        <f t="shared" si="10"/>
        <v>0</v>
      </c>
      <c r="AV35" s="775" t="str">
        <f t="shared" si="11"/>
        <v/>
      </c>
      <c r="AW35" s="774" t="b">
        <f t="shared" si="12"/>
        <v>0</v>
      </c>
      <c r="AX35" s="776" t="b">
        <f t="shared" si="13"/>
        <v>0</v>
      </c>
      <c r="AY35" s="774" t="b">
        <f t="shared" si="14"/>
        <v>0</v>
      </c>
      <c r="AZ35" s="776" t="b">
        <f t="shared" si="15"/>
        <v>0</v>
      </c>
      <c r="BA35" s="768" t="b">
        <f t="shared" si="16"/>
        <v>0</v>
      </c>
      <c r="BB35" s="768" t="b">
        <f t="shared" si="17"/>
        <v>0</v>
      </c>
      <c r="BC35" s="774" t="b">
        <f t="shared" si="18"/>
        <v>0</v>
      </c>
      <c r="BD35" s="777" t="b">
        <f t="shared" si="31"/>
        <v>0</v>
      </c>
      <c r="BE35" s="776" t="b">
        <f t="shared" si="37"/>
        <v>0</v>
      </c>
      <c r="BF35" s="778" t="b">
        <f t="shared" si="39"/>
        <v>0</v>
      </c>
      <c r="BG35" s="779" t="str">
        <f t="shared" si="38"/>
        <v>NA</v>
      </c>
      <c r="BH35" s="779" t="str">
        <f t="shared" si="32"/>
        <v/>
      </c>
      <c r="BI35" s="779" t="str">
        <f t="shared" si="22"/>
        <v/>
      </c>
      <c r="BJ35" s="779" t="str">
        <f t="shared" si="23"/>
        <v/>
      </c>
      <c r="BK35" s="779" t="str">
        <f t="shared" si="24"/>
        <v/>
      </c>
      <c r="BL35" s="780" t="str">
        <f t="shared" si="33"/>
        <v/>
      </c>
      <c r="BM35" s="779" t="str">
        <f t="shared" si="25"/>
        <v/>
      </c>
      <c r="BN35" s="779" t="str">
        <f t="shared" si="26"/>
        <v/>
      </c>
      <c r="BO35" s="1142"/>
      <c r="BP35" s="1143"/>
      <c r="BQ35" s="1143"/>
      <c r="BR35" s="1143"/>
      <c r="BS35" s="1143"/>
      <c r="BT35" s="1143"/>
      <c r="BU35" s="1144"/>
    </row>
    <row r="36" spans="2:73 1271:1271" s="731" customFormat="1" ht="12.95" customHeight="1" x14ac:dyDescent="0.25">
      <c r="B36" s="783" t="str">
        <f>IF(ISNA(Z36),"",IF(OR(Z36=1,Z36=2),"    ",MAX($B$9:B35)+1))</f>
        <v/>
      </c>
      <c r="C36" s="1116" t="str">
        <f t="shared" si="0"/>
        <v/>
      </c>
      <c r="D36" s="1116"/>
      <c r="E36" s="1116"/>
      <c r="F36" s="1117"/>
      <c r="G36" s="763" t="str">
        <f t="shared" si="1"/>
        <v/>
      </c>
      <c r="H36" s="764" t="str">
        <f t="shared" si="2"/>
        <v/>
      </c>
      <c r="I36" s="784" t="str">
        <f t="shared" si="2"/>
        <v/>
      </c>
      <c r="J36" s="793"/>
      <c r="K36" s="794"/>
      <c r="L36" s="1134"/>
      <c r="M36" s="1135"/>
      <c r="N36" s="1135"/>
      <c r="O36" s="1135"/>
      <c r="P36" s="1135"/>
      <c r="Q36" s="1135"/>
      <c r="R36" s="1136"/>
      <c r="T36" s="727">
        <v>28</v>
      </c>
      <c r="U36" s="716" t="e">
        <v>#N/A</v>
      </c>
      <c r="V36" s="768" t="e">
        <v>#N/A</v>
      </c>
      <c r="W36" s="768" t="e">
        <v>#N/A</v>
      </c>
      <c r="X36" s="768" t="e">
        <v>#N/A</v>
      </c>
      <c r="Y36" s="768" t="e">
        <v>#N/A</v>
      </c>
      <c r="Z36" s="777" t="e">
        <v>#N/A</v>
      </c>
      <c r="AA36" s="777" t="e">
        <v>#N/A</v>
      </c>
      <c r="AB36" s="777" t="e">
        <v>#N/A</v>
      </c>
      <c r="AC36" s="768" t="e">
        <v>#N/A</v>
      </c>
      <c r="AD36" s="768" t="e">
        <v>#N/A</v>
      </c>
      <c r="AE36" s="768" t="e">
        <v>#N/A</v>
      </c>
      <c r="AF36" s="768" t="e">
        <v>#N/A</v>
      </c>
      <c r="AG36" s="768" t="e">
        <f t="shared" si="3"/>
        <v>#N/A</v>
      </c>
      <c r="AH36" s="768" t="str">
        <f t="shared" si="4"/>
        <v/>
      </c>
      <c r="AI36" s="769" t="e">
        <f>IF(NOT(OR(Z36=1,Z36=2)),IF(AQ36&gt;0,$AR$45*AQ36/SUMIF($AQ$9:$AQ$40,"&gt;0"),IF(AU36&gt;0,$AV$45*AU36/SUMIF($AU$9:$AU$40,"&gt;0"),IF(AS36&gt;0,$AT$45*AS36/SUMIF($AS$9:$AS$40,"&gt;0"),""))),IF(SUMIF(AJ37:$AJ$40,"=" &amp; AJ36,AI37:$AI$40)=0,"",SUMIF(AJ37:$AJ$40,"=" &amp; AJ36,AI37:$AI$40)))</f>
        <v>#N/A</v>
      </c>
      <c r="AJ36" s="770" t="e">
        <f t="shared" si="34"/>
        <v>#N/A</v>
      </c>
      <c r="AK36" s="768" t="str">
        <f t="shared" si="27"/>
        <v/>
      </c>
      <c r="AL36" s="777" t="str">
        <f t="shared" si="28"/>
        <v/>
      </c>
      <c r="AM36" s="777" t="str">
        <f t="shared" si="35"/>
        <v/>
      </c>
      <c r="AN36" s="777" t="str">
        <f t="shared" si="5"/>
        <v/>
      </c>
      <c r="AO36" s="777" t="e">
        <f t="shared" si="6"/>
        <v>#N/A</v>
      </c>
      <c r="AP36" s="768" t="str">
        <f t="shared" si="7"/>
        <v/>
      </c>
      <c r="AQ36" s="771">
        <f t="shared" si="29"/>
        <v>0</v>
      </c>
      <c r="AR36" s="772" t="str">
        <f t="shared" si="8"/>
        <v/>
      </c>
      <c r="AS36" s="773">
        <f t="shared" si="30"/>
        <v>0</v>
      </c>
      <c r="AT36" s="772" t="str">
        <f t="shared" si="9"/>
        <v/>
      </c>
      <c r="AU36" s="774">
        <f t="shared" si="10"/>
        <v>0</v>
      </c>
      <c r="AV36" s="775" t="str">
        <f t="shared" si="11"/>
        <v/>
      </c>
      <c r="AW36" s="774" t="b">
        <f t="shared" si="12"/>
        <v>0</v>
      </c>
      <c r="AX36" s="776" t="b">
        <f t="shared" si="13"/>
        <v>0</v>
      </c>
      <c r="AY36" s="774" t="b">
        <f t="shared" si="14"/>
        <v>0</v>
      </c>
      <c r="AZ36" s="776" t="b">
        <f t="shared" si="15"/>
        <v>0</v>
      </c>
      <c r="BA36" s="768" t="b">
        <f t="shared" si="16"/>
        <v>0</v>
      </c>
      <c r="BB36" s="768" t="b">
        <f t="shared" si="17"/>
        <v>0</v>
      </c>
      <c r="BC36" s="774" t="b">
        <f t="shared" si="18"/>
        <v>0</v>
      </c>
      <c r="BD36" s="777" t="b">
        <f t="shared" si="31"/>
        <v>0</v>
      </c>
      <c r="BE36" s="776" t="b">
        <f t="shared" si="37"/>
        <v>0</v>
      </c>
      <c r="BF36" s="778" t="b">
        <f t="shared" si="39"/>
        <v>0</v>
      </c>
      <c r="BG36" s="779" t="str">
        <f t="shared" si="38"/>
        <v>NA</v>
      </c>
      <c r="BH36" s="779" t="str">
        <f t="shared" si="32"/>
        <v/>
      </c>
      <c r="BI36" s="779" t="str">
        <f t="shared" si="22"/>
        <v/>
      </c>
      <c r="BJ36" s="779" t="str">
        <f t="shared" si="23"/>
        <v/>
      </c>
      <c r="BK36" s="779" t="str">
        <f t="shared" si="24"/>
        <v/>
      </c>
      <c r="BL36" s="780" t="str">
        <f t="shared" si="33"/>
        <v/>
      </c>
      <c r="BM36" s="779" t="str">
        <f t="shared" si="25"/>
        <v/>
      </c>
      <c r="BN36" s="779" t="str">
        <f t="shared" si="26"/>
        <v/>
      </c>
      <c r="BO36" s="1145"/>
      <c r="BP36" s="1146"/>
      <c r="BQ36" s="1146"/>
      <c r="BR36" s="1146"/>
      <c r="BS36" s="1146"/>
      <c r="BT36" s="1146"/>
      <c r="BU36" s="1147"/>
    </row>
    <row r="37" spans="2:73 1271:1271" s="731" customFormat="1" ht="12.95" customHeight="1" x14ac:dyDescent="0.25">
      <c r="B37" s="783" t="str">
        <f>IF(ISNA(Z37),"",IF(OR(Z37=1,Z37=2),"    ",MAX($B$9:B36)+1))</f>
        <v/>
      </c>
      <c r="C37" s="1116" t="str">
        <f t="shared" si="0"/>
        <v/>
      </c>
      <c r="D37" s="1116"/>
      <c r="E37" s="1116"/>
      <c r="F37" s="1117"/>
      <c r="G37" s="763" t="str">
        <f t="shared" si="1"/>
        <v/>
      </c>
      <c r="H37" s="764" t="str">
        <f t="shared" si="2"/>
        <v/>
      </c>
      <c r="I37" s="784" t="str">
        <f t="shared" si="2"/>
        <v/>
      </c>
      <c r="J37" s="793"/>
      <c r="K37" s="794"/>
      <c r="L37" s="1134"/>
      <c r="M37" s="1135"/>
      <c r="N37" s="1135"/>
      <c r="O37" s="1135"/>
      <c r="P37" s="1135"/>
      <c r="Q37" s="1135"/>
      <c r="R37" s="1136"/>
      <c r="T37" s="727">
        <v>29</v>
      </c>
      <c r="U37" s="716" t="e">
        <v>#N/A</v>
      </c>
      <c r="V37" s="768" t="e">
        <v>#N/A</v>
      </c>
      <c r="W37" s="768" t="e">
        <v>#N/A</v>
      </c>
      <c r="X37" s="768" t="e">
        <v>#N/A</v>
      </c>
      <c r="Y37" s="768" t="e">
        <v>#N/A</v>
      </c>
      <c r="Z37" s="777" t="e">
        <v>#N/A</v>
      </c>
      <c r="AA37" s="777" t="e">
        <v>#N/A</v>
      </c>
      <c r="AB37" s="777" t="e">
        <v>#N/A</v>
      </c>
      <c r="AC37" s="768" t="e">
        <v>#N/A</v>
      </c>
      <c r="AD37" s="768" t="e">
        <v>#N/A</v>
      </c>
      <c r="AE37" s="768" t="e">
        <v>#N/A</v>
      </c>
      <c r="AF37" s="768" t="e">
        <v>#N/A</v>
      </c>
      <c r="AG37" s="768" t="e">
        <f t="shared" si="3"/>
        <v>#N/A</v>
      </c>
      <c r="AH37" s="768" t="str">
        <f t="shared" si="4"/>
        <v/>
      </c>
      <c r="AI37" s="769" t="e">
        <f>IF(NOT(OR(Z37=1,Z37=2)),IF(AQ37&gt;0,$AR$45*AQ37/SUMIF($AQ$9:$AQ$40,"&gt;0"),IF(AU37&gt;0,$AV$45*AU37/SUMIF($AU$9:$AU$40,"&gt;0"),IF(AS37&gt;0,$AT$45*AS37/SUMIF($AS$9:$AS$40,"&gt;0"),""))),IF(SUMIF(AJ38:$AJ$40,"=" &amp; AJ37,AI38:$AI$40)=0,"",SUMIF(AJ38:$AJ$40,"=" &amp; AJ37,AI38:$AI$40)))</f>
        <v>#N/A</v>
      </c>
      <c r="AJ37" s="770" t="e">
        <f t="shared" si="34"/>
        <v>#N/A</v>
      </c>
      <c r="AK37" s="768" t="str">
        <f t="shared" si="27"/>
        <v/>
      </c>
      <c r="AL37" s="777" t="str">
        <f t="shared" si="28"/>
        <v/>
      </c>
      <c r="AM37" s="777" t="str">
        <f t="shared" si="35"/>
        <v/>
      </c>
      <c r="AN37" s="777" t="str">
        <f t="shared" si="5"/>
        <v/>
      </c>
      <c r="AO37" s="777" t="e">
        <f t="shared" si="6"/>
        <v>#N/A</v>
      </c>
      <c r="AP37" s="768" t="str">
        <f t="shared" si="7"/>
        <v/>
      </c>
      <c r="AQ37" s="771">
        <f t="shared" si="29"/>
        <v>0</v>
      </c>
      <c r="AR37" s="772" t="str">
        <f t="shared" si="8"/>
        <v/>
      </c>
      <c r="AS37" s="773">
        <f t="shared" si="30"/>
        <v>0</v>
      </c>
      <c r="AT37" s="772" t="str">
        <f t="shared" si="9"/>
        <v/>
      </c>
      <c r="AU37" s="774">
        <f t="shared" si="10"/>
        <v>0</v>
      </c>
      <c r="AV37" s="775" t="str">
        <f t="shared" si="11"/>
        <v/>
      </c>
      <c r="AW37" s="774" t="b">
        <f t="shared" si="12"/>
        <v>0</v>
      </c>
      <c r="AX37" s="776" t="b">
        <f t="shared" si="13"/>
        <v>0</v>
      </c>
      <c r="AY37" s="774" t="b">
        <f t="shared" si="14"/>
        <v>0</v>
      </c>
      <c r="AZ37" s="776" t="b">
        <f t="shared" si="15"/>
        <v>0</v>
      </c>
      <c r="BA37" s="768" t="b">
        <f t="shared" si="16"/>
        <v>0</v>
      </c>
      <c r="BB37" s="768" t="b">
        <f t="shared" si="17"/>
        <v>0</v>
      </c>
      <c r="BC37" s="774" t="b">
        <f t="shared" si="18"/>
        <v>0</v>
      </c>
      <c r="BD37" s="777" t="b">
        <f t="shared" si="31"/>
        <v>0</v>
      </c>
      <c r="BE37" s="776" t="b">
        <f t="shared" si="37"/>
        <v>0</v>
      </c>
      <c r="BF37" s="778" t="b">
        <f t="shared" si="39"/>
        <v>0</v>
      </c>
      <c r="BG37" s="779" t="str">
        <f t="shared" si="38"/>
        <v>NA</v>
      </c>
      <c r="BH37" s="779" t="str">
        <f t="shared" si="32"/>
        <v/>
      </c>
      <c r="BI37" s="779" t="str">
        <f t="shared" si="22"/>
        <v/>
      </c>
      <c r="BJ37" s="779" t="str">
        <f t="shared" si="23"/>
        <v/>
      </c>
      <c r="BK37" s="779" t="str">
        <f t="shared" si="24"/>
        <v/>
      </c>
      <c r="BL37" s="780" t="str">
        <f t="shared" si="33"/>
        <v/>
      </c>
      <c r="BM37" s="779" t="str">
        <f t="shared" si="25"/>
        <v/>
      </c>
      <c r="BN37" s="779" t="str">
        <f t="shared" si="26"/>
        <v/>
      </c>
      <c r="BO37" s="1145"/>
      <c r="BP37" s="1146"/>
      <c r="BQ37" s="1146"/>
      <c r="BR37" s="1146"/>
      <c r="BS37" s="1146"/>
      <c r="BT37" s="1146"/>
      <c r="BU37" s="1147"/>
    </row>
    <row r="38" spans="2:73 1271:1271" s="731" customFormat="1" ht="12.95" customHeight="1" x14ac:dyDescent="0.25">
      <c r="B38" s="783" t="str">
        <f>IF(ISNA(Z38),"",IF(OR(Z38=1,Z38=2),"    ",MAX($B$9:B37)+1))</f>
        <v/>
      </c>
      <c r="C38" s="1116" t="str">
        <f>IF(ISNA(Z38),"",CONCATENATE($U38,IF(ISNUMBER(AI38),TEXT(ROUND($AI38,3)," (0.0%)"),""),IF(AU38&gt;0," Bonus","")))</f>
        <v/>
      </c>
      <c r="D38" s="1116"/>
      <c r="E38" s="1116"/>
      <c r="F38" s="1117"/>
      <c r="G38" s="763" t="str">
        <f t="shared" si="1"/>
        <v/>
      </c>
      <c r="H38" s="764" t="str">
        <f t="shared" si="2"/>
        <v/>
      </c>
      <c r="I38" s="784" t="str">
        <f t="shared" si="2"/>
        <v/>
      </c>
      <c r="J38" s="793"/>
      <c r="K38" s="794"/>
      <c r="L38" s="1134"/>
      <c r="M38" s="1135"/>
      <c r="N38" s="1135"/>
      <c r="O38" s="1135"/>
      <c r="P38" s="1135"/>
      <c r="Q38" s="1135"/>
      <c r="R38" s="1136"/>
      <c r="T38" s="727">
        <v>30</v>
      </c>
      <c r="U38" s="716" t="e">
        <v>#N/A</v>
      </c>
      <c r="V38" s="768" t="e">
        <v>#N/A</v>
      </c>
      <c r="W38" s="768" t="e">
        <v>#N/A</v>
      </c>
      <c r="X38" s="768" t="e">
        <v>#N/A</v>
      </c>
      <c r="Y38" s="768" t="e">
        <v>#N/A</v>
      </c>
      <c r="Z38" s="777" t="e">
        <v>#N/A</v>
      </c>
      <c r="AA38" s="777" t="e">
        <v>#N/A</v>
      </c>
      <c r="AB38" s="777" t="e">
        <v>#N/A</v>
      </c>
      <c r="AC38" s="768" t="e">
        <v>#N/A</v>
      </c>
      <c r="AD38" s="768" t="e">
        <v>#N/A</v>
      </c>
      <c r="AE38" s="768" t="e">
        <v>#N/A</v>
      </c>
      <c r="AF38" s="768" t="e">
        <v>#N/A</v>
      </c>
      <c r="AG38" s="768" t="e">
        <f t="shared" si="3"/>
        <v>#N/A</v>
      </c>
      <c r="AH38" s="768" t="str">
        <f t="shared" si="4"/>
        <v/>
      </c>
      <c r="AI38" s="769" t="e">
        <f>IF(NOT(OR(Z38=1,Z38=2)),IF(AQ38&gt;0,$AR$45*AQ38/SUMIF($AQ$9:$AQ$40,"&gt;0"),IF(AU38&gt;0,$AV$45*AU38/SUMIF($AU$9:$AU$40,"&gt;0"),IF(AS38&gt;0,$AT$45*AS38/SUMIF($AS$9:$AS$40,"&gt;0"),""))),IF(SUMIF(AJ39:$AJ$40,"=" &amp; AJ38,AI39:$AI$40)=0,"",SUMIF(AJ39:$AJ$40,"=" &amp; AJ38,AI39:$AI$40)))</f>
        <v>#N/A</v>
      </c>
      <c r="AJ38" s="770" t="e">
        <f t="shared" si="34"/>
        <v>#N/A</v>
      </c>
      <c r="AK38" s="768" t="str">
        <f t="shared" si="27"/>
        <v/>
      </c>
      <c r="AL38" s="777" t="str">
        <f t="shared" si="28"/>
        <v/>
      </c>
      <c r="AM38" s="777" t="str">
        <f t="shared" si="35"/>
        <v/>
      </c>
      <c r="AN38" s="777" t="str">
        <f>IF(ISNUMBER(AH38),IF(AND(AB38=0,ISNUMBER(AC38),ISNUMBER(AL38)),1,""),"")</f>
        <v/>
      </c>
      <c r="AO38" s="777" t="e">
        <f t="shared" si="6"/>
        <v>#N/A</v>
      </c>
      <c r="AP38" s="768" t="str">
        <f t="shared" si="7"/>
        <v/>
      </c>
      <c r="AQ38" s="771">
        <f t="shared" si="29"/>
        <v>0</v>
      </c>
      <c r="AR38" s="772" t="str">
        <f t="shared" si="8"/>
        <v/>
      </c>
      <c r="AS38" s="773">
        <f t="shared" si="30"/>
        <v>0</v>
      </c>
      <c r="AT38" s="772" t="str">
        <f t="shared" si="9"/>
        <v/>
      </c>
      <c r="AU38" s="774">
        <f t="shared" si="10"/>
        <v>0</v>
      </c>
      <c r="AV38" s="775" t="str">
        <f t="shared" si="11"/>
        <v/>
      </c>
      <c r="AW38" s="774" t="b">
        <f t="shared" si="12"/>
        <v>0</v>
      </c>
      <c r="AX38" s="776" t="b">
        <f t="shared" si="13"/>
        <v>0</v>
      </c>
      <c r="AY38" s="774" t="b">
        <f t="shared" si="14"/>
        <v>0</v>
      </c>
      <c r="AZ38" s="776" t="b">
        <f t="shared" si="15"/>
        <v>0</v>
      </c>
      <c r="BA38" s="768" t="b">
        <f t="shared" si="16"/>
        <v>0</v>
      </c>
      <c r="BB38" s="768" t="b">
        <f t="shared" si="17"/>
        <v>0</v>
      </c>
      <c r="BC38" s="774" t="b">
        <f t="shared" si="18"/>
        <v>0</v>
      </c>
      <c r="BD38" s="777" t="b">
        <f t="shared" si="31"/>
        <v>0</v>
      </c>
      <c r="BE38" s="776" t="b">
        <f t="shared" si="37"/>
        <v>0</v>
      </c>
      <c r="BF38" s="778" t="b">
        <f t="shared" si="39"/>
        <v>0</v>
      </c>
      <c r="BG38" s="779" t="str">
        <f t="shared" si="38"/>
        <v>NA</v>
      </c>
      <c r="BH38" s="779" t="str">
        <f t="shared" si="32"/>
        <v/>
      </c>
      <c r="BI38" s="779" t="str">
        <f t="shared" si="22"/>
        <v/>
      </c>
      <c r="BJ38" s="779" t="str">
        <f t="shared" si="23"/>
        <v/>
      </c>
      <c r="BK38" s="779" t="str">
        <f t="shared" si="24"/>
        <v/>
      </c>
      <c r="BL38" s="780" t="str">
        <f t="shared" si="33"/>
        <v/>
      </c>
      <c r="BM38" s="779" t="str">
        <f t="shared" si="25"/>
        <v/>
      </c>
      <c r="BN38" s="779" t="str">
        <f t="shared" si="26"/>
        <v/>
      </c>
      <c r="BO38" s="1148"/>
      <c r="BP38" s="1149"/>
      <c r="BQ38" s="1149"/>
      <c r="BR38" s="1149"/>
      <c r="BS38" s="1149"/>
      <c r="BT38" s="1149"/>
      <c r="BU38" s="1150"/>
    </row>
    <row r="39" spans="2:73 1271:1271" s="731" customFormat="1" ht="12.95" customHeight="1" x14ac:dyDescent="0.25">
      <c r="B39" s="783" t="str">
        <f>IF(ISNA(Z39),"",IF(OR(Z39=1,Z39=2),"    ",MAX($B$9:B38)+1))</f>
        <v/>
      </c>
      <c r="C39" s="1116" t="str">
        <f t="shared" ref="C39:C40" si="40">IF(ISNA(Z39),"",CONCATENATE($U39,IF(ISNUMBER(AI39),TEXT(ROUND($AI39,3)," (0.0%)"),""),IF(AU39&gt;0," Bonus","")))</f>
        <v/>
      </c>
      <c r="D39" s="1116"/>
      <c r="E39" s="1116"/>
      <c r="F39" s="1117"/>
      <c r="G39" s="763" t="str">
        <f t="shared" si="1"/>
        <v/>
      </c>
      <c r="H39" s="764" t="str">
        <f t="shared" si="2"/>
        <v/>
      </c>
      <c r="I39" s="784" t="str">
        <f t="shared" si="2"/>
        <v/>
      </c>
      <c r="J39" s="793"/>
      <c r="K39" s="794"/>
      <c r="L39" s="1134"/>
      <c r="M39" s="1135"/>
      <c r="N39" s="1135"/>
      <c r="O39" s="1135"/>
      <c r="P39" s="1135"/>
      <c r="Q39" s="1135"/>
      <c r="R39" s="1136"/>
      <c r="T39" s="727">
        <v>31</v>
      </c>
      <c r="U39" s="716" t="e">
        <v>#N/A</v>
      </c>
      <c r="V39" s="768" t="e">
        <v>#N/A</v>
      </c>
      <c r="W39" s="768" t="e">
        <v>#N/A</v>
      </c>
      <c r="X39" s="768" t="e">
        <v>#N/A</v>
      </c>
      <c r="Y39" s="768" t="e">
        <v>#N/A</v>
      </c>
      <c r="Z39" s="777" t="e">
        <v>#N/A</v>
      </c>
      <c r="AA39" s="777" t="e">
        <v>#N/A</v>
      </c>
      <c r="AB39" s="777" t="e">
        <v>#N/A</v>
      </c>
      <c r="AC39" s="768" t="e">
        <v>#N/A</v>
      </c>
      <c r="AD39" s="768" t="e">
        <v>#N/A</v>
      </c>
      <c r="AE39" s="768" t="e">
        <v>#N/A</v>
      </c>
      <c r="AF39" s="768" t="e">
        <v>#N/A</v>
      </c>
      <c r="AG39" s="768" t="e">
        <f t="shared" si="3"/>
        <v>#N/A</v>
      </c>
      <c r="AH39" s="768" t="str">
        <f t="shared" si="4"/>
        <v/>
      </c>
      <c r="AI39" s="769" t="e">
        <f>IF(NOT(OR(Z39=1,Z39=2)),IF(AQ39&gt;0,$AR$45*AQ39/SUMIF($AQ$9:$AQ$40,"&gt;0"),IF(AU39&gt;0,$AV$45*AU39/SUMIF($AU$9:$AU$40,"&gt;0"),IF(AS39&gt;0,$AT$45*AS39/SUMIF($AS$9:$AS$40,"&gt;0"),""))),IF(SUMIF(AJ40:$AJ$40,"=" &amp; AJ39,AI40:$AI$40)=0,"",SUMIF(AJ40:$AJ$40,"=" &amp; AJ39,AI40:$AI$40)))</f>
        <v>#N/A</v>
      </c>
      <c r="AJ39" s="770" t="e">
        <f t="shared" si="34"/>
        <v>#N/A</v>
      </c>
      <c r="AK39" s="768" t="str">
        <f t="shared" si="27"/>
        <v/>
      </c>
      <c r="AL39" s="777" t="str">
        <f t="shared" si="28"/>
        <v/>
      </c>
      <c r="AM39" s="777" t="str">
        <f t="shared" si="35"/>
        <v/>
      </c>
      <c r="AN39" s="777" t="str">
        <f>IF(ISNUMBER(AH39),IF(AND(AB39=0,ISNUMBER(AC39),ISNUMBER(AL39)),1,""),"")</f>
        <v/>
      </c>
      <c r="AO39" s="777" t="e">
        <f t="shared" si="6"/>
        <v>#N/A</v>
      </c>
      <c r="AP39" s="768" t="str">
        <f t="shared" si="7"/>
        <v/>
      </c>
      <c r="AQ39" s="771">
        <f t="shared" si="29"/>
        <v>0</v>
      </c>
      <c r="AR39" s="772" t="str">
        <f t="shared" si="8"/>
        <v/>
      </c>
      <c r="AS39" s="773">
        <f t="shared" si="30"/>
        <v>0</v>
      </c>
      <c r="AT39" s="772" t="str">
        <f t="shared" si="9"/>
        <v/>
      </c>
      <c r="AU39" s="774">
        <f t="shared" si="10"/>
        <v>0</v>
      </c>
      <c r="AV39" s="775" t="str">
        <f t="shared" si="11"/>
        <v/>
      </c>
      <c r="AW39" s="774" t="b">
        <f t="shared" si="12"/>
        <v>0</v>
      </c>
      <c r="AX39" s="776" t="b">
        <f t="shared" si="13"/>
        <v>0</v>
      </c>
      <c r="AY39" s="774" t="b">
        <f t="shared" si="14"/>
        <v>0</v>
      </c>
      <c r="AZ39" s="776" t="b">
        <f t="shared" si="15"/>
        <v>0</v>
      </c>
      <c r="BA39" s="768" t="b">
        <f t="shared" si="16"/>
        <v>0</v>
      </c>
      <c r="BB39" s="768" t="b">
        <f t="shared" si="17"/>
        <v>0</v>
      </c>
      <c r="BC39" s="774" t="b">
        <f t="shared" si="18"/>
        <v>0</v>
      </c>
      <c r="BD39" s="777" t="b">
        <f t="shared" si="31"/>
        <v>0</v>
      </c>
      <c r="BE39" s="776" t="b">
        <f t="shared" si="37"/>
        <v>0</v>
      </c>
      <c r="BF39" s="778" t="b">
        <f t="shared" si="39"/>
        <v>0</v>
      </c>
      <c r="BG39" s="779" t="str">
        <f t="shared" si="38"/>
        <v>NA</v>
      </c>
      <c r="BH39" s="779" t="str">
        <f t="shared" si="32"/>
        <v/>
      </c>
      <c r="BI39" s="779" t="str">
        <f t="shared" si="22"/>
        <v/>
      </c>
      <c r="BJ39" s="779" t="str">
        <f t="shared" si="23"/>
        <v/>
      </c>
      <c r="BK39" s="779" t="str">
        <f t="shared" si="24"/>
        <v/>
      </c>
      <c r="BL39" s="780" t="str">
        <f t="shared" si="33"/>
        <v/>
      </c>
      <c r="BM39" s="779" t="str">
        <f t="shared" si="25"/>
        <v/>
      </c>
      <c r="BN39" s="779" t="str">
        <f t="shared" si="26"/>
        <v/>
      </c>
      <c r="BO39" s="782" t="s">
        <v>373</v>
      </c>
      <c r="BP39" s="782"/>
      <c r="BQ39" s="782"/>
      <c r="BR39" s="782"/>
      <c r="BS39" s="782"/>
      <c r="BT39" s="782"/>
      <c r="BU39" s="782"/>
    </row>
    <row r="40" spans="2:73 1271:1271" s="731" customFormat="1" ht="12.95" customHeight="1" thickBot="1" x14ac:dyDescent="0.3">
      <c r="B40" s="783" t="str">
        <f>IF(ISNA(Z40),"",IF(OR(Z40=1,Z40=2),"    ",MAX($B$9:B39)+1))</f>
        <v/>
      </c>
      <c r="C40" s="1116" t="str">
        <f t="shared" si="40"/>
        <v/>
      </c>
      <c r="D40" s="1116"/>
      <c r="E40" s="1116"/>
      <c r="F40" s="1117"/>
      <c r="G40" s="808" t="str">
        <f t="shared" si="1"/>
        <v/>
      </c>
      <c r="H40" s="764" t="str">
        <f t="shared" si="2"/>
        <v/>
      </c>
      <c r="I40" s="809" t="str">
        <f t="shared" si="2"/>
        <v/>
      </c>
      <c r="J40" s="810"/>
      <c r="K40" s="811"/>
      <c r="L40" s="1137"/>
      <c r="M40" s="1138"/>
      <c r="N40" s="1138"/>
      <c r="O40" s="1138"/>
      <c r="P40" s="1138"/>
      <c r="Q40" s="1138"/>
      <c r="R40" s="1139"/>
      <c r="T40" s="727">
        <v>32</v>
      </c>
      <c r="U40" s="716" t="e">
        <v>#N/A</v>
      </c>
      <c r="V40" s="768" t="e">
        <v>#N/A</v>
      </c>
      <c r="W40" s="768" t="e">
        <v>#N/A</v>
      </c>
      <c r="X40" s="768" t="e">
        <v>#N/A</v>
      </c>
      <c r="Y40" s="768" t="e">
        <v>#N/A</v>
      </c>
      <c r="Z40" s="777" t="e">
        <v>#N/A</v>
      </c>
      <c r="AA40" s="777" t="e">
        <v>#N/A</v>
      </c>
      <c r="AB40" s="777" t="e">
        <v>#N/A</v>
      </c>
      <c r="AC40" s="768" t="e">
        <v>#N/A</v>
      </c>
      <c r="AD40" s="768" t="e">
        <v>#N/A</v>
      </c>
      <c r="AE40" s="768" t="e">
        <v>#N/A</v>
      </c>
      <c r="AF40" s="768" t="e">
        <v>#N/A</v>
      </c>
      <c r="AG40" s="768" t="e">
        <f t="shared" si="3"/>
        <v>#N/A</v>
      </c>
      <c r="AH40" s="768" t="str">
        <f t="shared" si="4"/>
        <v/>
      </c>
      <c r="AI40" s="769" t="e">
        <f>IF(NOT(OR(Z40=1,Z40=2)),IF(AQ40&gt;0,$AR$45*AQ40/SUMIF($AQ$9:$AQ$40,"&gt;0"),IF(AU40&gt;0,$AV$45*AU40/SUMIF($AU$9:$AU$40,"&gt;0"),IF(AS40&gt;0,$AT$45*AS40/SUMIF($AS$9:$AS$40,"&gt;0"),""))),IF(SUMIF(AJ$40:$AJ41,"=" &amp; AJ40,AI$40:$AI41)=0,"",SUMIF(AJ$40:$AJ41,"=" &amp; AJ40,AI$40:$AI41)))</f>
        <v>#N/A</v>
      </c>
      <c r="AJ40" s="770" t="e">
        <f t="shared" si="34"/>
        <v>#N/A</v>
      </c>
      <c r="AK40" s="768" t="str">
        <f t="shared" si="27"/>
        <v/>
      </c>
      <c r="AL40" s="777" t="str">
        <f t="shared" si="28"/>
        <v/>
      </c>
      <c r="AM40" s="777" t="str">
        <f t="shared" si="35"/>
        <v/>
      </c>
      <c r="AN40" s="777" t="str">
        <f>IF(ISNUMBER(AH40),IF(AND(AB40=0,ISNUMBER(AC40),ISNUMBER(AL40)),1,""),"")</f>
        <v/>
      </c>
      <c r="AO40" s="777" t="e">
        <f t="shared" si="6"/>
        <v>#N/A</v>
      </c>
      <c r="AP40" s="768" t="str">
        <f t="shared" si="7"/>
        <v/>
      </c>
      <c r="AQ40" s="771">
        <f t="shared" si="29"/>
        <v>0</v>
      </c>
      <c r="AR40" s="772" t="str">
        <f t="shared" si="8"/>
        <v/>
      </c>
      <c r="AS40" s="773">
        <f t="shared" si="30"/>
        <v>0</v>
      </c>
      <c r="AT40" s="772" t="str">
        <f t="shared" si="9"/>
        <v/>
      </c>
      <c r="AU40" s="774">
        <f t="shared" si="10"/>
        <v>0</v>
      </c>
      <c r="AV40" s="775" t="str">
        <f t="shared" si="11"/>
        <v/>
      </c>
      <c r="AW40" s="774" t="b">
        <f t="shared" si="12"/>
        <v>0</v>
      </c>
      <c r="AX40" s="776" t="b">
        <f t="shared" si="13"/>
        <v>0</v>
      </c>
      <c r="AY40" s="774" t="b">
        <f t="shared" si="14"/>
        <v>0</v>
      </c>
      <c r="AZ40" s="776" t="b">
        <f t="shared" si="15"/>
        <v>0</v>
      </c>
      <c r="BA40" s="768" t="b">
        <f t="shared" si="16"/>
        <v>0</v>
      </c>
      <c r="BB40" s="768" t="b">
        <f t="shared" si="17"/>
        <v>0</v>
      </c>
      <c r="BC40" s="774" t="b">
        <f t="shared" si="18"/>
        <v>0</v>
      </c>
      <c r="BD40" s="777" t="b">
        <f t="shared" si="31"/>
        <v>0</v>
      </c>
      <c r="BE40" s="776" t="b">
        <f t="shared" si="37"/>
        <v>0</v>
      </c>
      <c r="BF40" s="778" t="b">
        <f t="shared" si="39"/>
        <v>0</v>
      </c>
      <c r="BG40" s="779" t="str">
        <f t="shared" si="38"/>
        <v>NA</v>
      </c>
      <c r="BH40" s="779" t="str">
        <f t="shared" si="32"/>
        <v/>
      </c>
      <c r="BI40" s="779" t="str">
        <f t="shared" si="22"/>
        <v/>
      </c>
      <c r="BJ40" s="779" t="str">
        <f t="shared" si="23"/>
        <v/>
      </c>
      <c r="BK40" s="779" t="str">
        <f t="shared" si="24"/>
        <v/>
      </c>
      <c r="BL40" s="779" t="str">
        <f t="shared" si="33"/>
        <v/>
      </c>
      <c r="BM40" s="779" t="str">
        <f t="shared" si="25"/>
        <v/>
      </c>
      <c r="BN40" s="779" t="str">
        <f t="shared" si="26"/>
        <v/>
      </c>
      <c r="BO40" s="1142"/>
      <c r="BP40" s="1143"/>
      <c r="BQ40" s="1143"/>
      <c r="BR40" s="1143"/>
      <c r="BS40" s="1143"/>
      <c r="BT40" s="1143"/>
      <c r="BU40" s="1144"/>
    </row>
    <row r="41" spans="2:73 1271:1271" s="720" customFormat="1" ht="8.25" customHeight="1" x14ac:dyDescent="0.25">
      <c r="B41" s="1151" t="s">
        <v>374</v>
      </c>
      <c r="C41" s="1152"/>
      <c r="D41" s="1153"/>
      <c r="E41" s="812" t="s">
        <v>375</v>
      </c>
      <c r="F41" s="1154" t="s">
        <v>376</v>
      </c>
      <c r="G41" s="1155"/>
      <c r="H41" s="1155" t="s">
        <v>377</v>
      </c>
      <c r="I41" s="1155"/>
      <c r="J41" s="1156" t="s">
        <v>378</v>
      </c>
      <c r="K41" s="1157"/>
      <c r="L41" s="813" t="s">
        <v>379</v>
      </c>
      <c r="M41" s="1158" t="s">
        <v>380</v>
      </c>
      <c r="N41" s="1158"/>
      <c r="O41" s="1159" t="str">
        <f>IF(U45,"DO REVIEW","DO REV N/A")</f>
        <v>DO REV N/A</v>
      </c>
      <c r="P41" s="1160"/>
      <c r="Q41" s="814" t="str">
        <f>IF(U46,"ED REVIEW","ED REV N/A")</f>
        <v>ED REVIEW</v>
      </c>
      <c r="R41" s="815"/>
      <c r="S41" s="816">
        <v>0</v>
      </c>
      <c r="AI41" s="817"/>
      <c r="AJ41" s="721"/>
      <c r="AK41" s="721"/>
      <c r="AL41" s="721"/>
      <c r="AM41" s="721"/>
      <c r="AN41" s="721"/>
      <c r="AO41" s="718"/>
      <c r="AP41" s="721"/>
      <c r="AQ41" s="818"/>
      <c r="AR41" s="721"/>
      <c r="AS41" s="818"/>
      <c r="AT41" s="721"/>
      <c r="AU41" s="818"/>
      <c r="AV41" s="819"/>
      <c r="AW41" s="721"/>
      <c r="AX41" s="721"/>
      <c r="AY41" s="721"/>
      <c r="AZ41" s="721"/>
      <c r="BA41" s="721"/>
      <c r="BB41" s="721"/>
      <c r="BC41" s="721"/>
      <c r="BD41" s="721"/>
      <c r="BE41" s="721"/>
      <c r="BF41" s="721"/>
      <c r="BG41" s="721"/>
      <c r="BH41" s="718"/>
      <c r="BI41" s="718"/>
      <c r="BJ41" s="718"/>
      <c r="BK41" s="718"/>
      <c r="BL41" s="718"/>
      <c r="BM41" s="718"/>
      <c r="BN41" s="718"/>
      <c r="BO41" s="1145"/>
      <c r="BP41" s="1146"/>
      <c r="BQ41" s="1146"/>
      <c r="BR41" s="1146"/>
      <c r="BS41" s="1146"/>
      <c r="BT41" s="1146"/>
      <c r="BU41" s="1147"/>
    </row>
    <row r="42" spans="2:73 1271:1271" ht="18.75" customHeight="1" thickBot="1" x14ac:dyDescent="0.3">
      <c r="B42" s="1161" t="str">
        <f>IF(ISERROR(AR47),"",TEXT(AR46,"0.0%"))</f>
        <v>0.0%</v>
      </c>
      <c r="C42" s="1162"/>
      <c r="D42" s="1163"/>
      <c r="E42" s="820" t="str">
        <f>IF(AU42=0,"N/A",CONCATENATE(TEXT(AV46,"0.0%")," of ",TEXT(AV45,"0.0%")))</f>
        <v>N/A</v>
      </c>
      <c r="F42" s="1165" t="str">
        <f>IF((graded_aca_events+graded_amn_events)&lt;1,"---",IF(AND(AW5,AX5),"INCOMPLETE",IF(AND(NOT(AW5),AX5),"ACA INC",IF(AND(AW5,NOT(AX5)),"AMN INC","COMPLETE"))))</f>
        <v>---</v>
      </c>
      <c r="G42" s="1165"/>
      <c r="H42" s="1165" t="str">
        <f>IF(AU5,IF(OR(AY5="UNK",NOT(AN7)),"---",IF(AY5,"UNSAT",IF(AVERAGEIFS(AT9:AT40,AS9:AS40,"&gt;0")&lt;0.9,"MARG","SAT"))),"N/A")</f>
        <v>N/A</v>
      </c>
      <c r="I42" s="1165"/>
      <c r="J42" s="1166" t="str">
        <f>IF(OR(AZ5="UNK",NOT(AM7)),"---",IF(OR(AZ5,AR46&lt;0.7),"FAIL","PASS"))</f>
        <v>---</v>
      </c>
      <c r="K42" s="1167"/>
      <c r="L42" s="821"/>
      <c r="M42" s="1168"/>
      <c r="N42" s="1168"/>
      <c r="O42" s="1306" t="s">
        <v>265</v>
      </c>
      <c r="P42" s="1306"/>
      <c r="Q42" s="1306" t="s">
        <v>265</v>
      </c>
      <c r="R42" s="1307"/>
      <c r="S42" s="802"/>
      <c r="T42" s="727" t="s">
        <v>381</v>
      </c>
      <c r="U42" s="777" t="s">
        <v>382</v>
      </c>
      <c r="V42" s="822"/>
      <c r="W42" s="822"/>
      <c r="X42" s="822"/>
      <c r="Y42" s="822"/>
      <c r="Z42" s="822"/>
      <c r="AA42" s="822"/>
      <c r="AB42" s="822"/>
      <c r="AC42" s="822"/>
      <c r="AD42" s="822"/>
      <c r="AE42" s="822"/>
      <c r="AF42" s="822"/>
      <c r="AG42" s="822"/>
      <c r="AH42" s="822"/>
      <c r="AI42" s="713"/>
      <c r="AJ42" s="712"/>
      <c r="AK42" s="822"/>
      <c r="AL42" s="822"/>
      <c r="AM42" s="822">
        <f>SUM(AM9:AM40)</f>
        <v>0</v>
      </c>
      <c r="AN42" s="822">
        <f>SUM(AN9:AN40)</f>
        <v>0</v>
      </c>
      <c r="AO42" s="727"/>
      <c r="AP42" s="712"/>
      <c r="AQ42" s="823">
        <f>SUMIF(AQ9:AQ40,"&gt;0")</f>
        <v>33.33333228</v>
      </c>
      <c r="AR42" s="824">
        <f>IF(AQ42=0,0,SUMPRODUCT($AQ$9:$AQ$40,AR9:AR40)/SUM($AQ$9:$AQ$40))</f>
        <v>0</v>
      </c>
      <c r="AS42" s="825">
        <f>SUMIF(AS9:AS40,"&gt;0")</f>
        <v>0</v>
      </c>
      <c r="AT42" s="824">
        <f>IF(AS42=0,0,SUMPRODUCT($AS$9:$AS$40,AT9:AT40)/SUM($AS$9:$AS$40))</f>
        <v>0</v>
      </c>
      <c r="AU42" s="825">
        <f>SUM(AU10:AU40)</f>
        <v>0</v>
      </c>
      <c r="AV42" s="824">
        <f>IF(AU42=0,0,SUMPRODUCT($AU$9:$AU$40,AV9:AV40)/SUM($AU$9:$AU$40))</f>
        <v>0</v>
      </c>
      <c r="AW42" s="826"/>
      <c r="AX42" s="826"/>
      <c r="AY42" s="826"/>
      <c r="AZ42" s="826"/>
      <c r="BA42" s="826"/>
      <c r="BB42" s="826"/>
      <c r="BC42" s="716" t="s">
        <v>383</v>
      </c>
      <c r="BD42" s="716" t="s">
        <v>384</v>
      </c>
      <c r="BE42" s="716" t="s">
        <v>385</v>
      </c>
      <c r="BF42" s="716"/>
      <c r="BG42" s="718"/>
      <c r="BO42" s="1145"/>
      <c r="BP42" s="1146"/>
      <c r="BQ42" s="1146"/>
      <c r="BR42" s="1146"/>
      <c r="BS42" s="1146"/>
      <c r="BT42" s="1146"/>
      <c r="BU42" s="1147"/>
      <c r="AVW42" s="827"/>
    </row>
    <row r="43" spans="2:73 1271:1271" ht="7.5" customHeight="1" thickTop="1" x14ac:dyDescent="0.25">
      <c r="L43" s="1164" t="s">
        <v>889</v>
      </c>
      <c r="M43" s="1164"/>
      <c r="N43" s="1164"/>
      <c r="O43" s="1164"/>
      <c r="P43" s="1164"/>
      <c r="Q43" s="1164"/>
      <c r="R43" s="1164"/>
      <c r="AP43" s="822"/>
      <c r="AQ43" s="712"/>
      <c r="AR43" s="712"/>
      <c r="AT43" s="824"/>
      <c r="AU43" s="824"/>
      <c r="AV43" s="824"/>
      <c r="AW43" s="712"/>
      <c r="AX43" s="824"/>
      <c r="BE43" s="716"/>
      <c r="BF43" s="716"/>
      <c r="BO43" s="1148"/>
      <c r="BP43" s="1149"/>
      <c r="BQ43" s="1149"/>
      <c r="BR43" s="1149"/>
      <c r="BS43" s="1149"/>
      <c r="BT43" s="1149"/>
      <c r="BU43" s="1150"/>
    </row>
    <row r="44" spans="2:73 1271:1271" ht="30.75" customHeight="1" x14ac:dyDescent="0.25">
      <c r="T44" s="828" t="s">
        <v>386</v>
      </c>
      <c r="U44" s="777" t="b">
        <v>0</v>
      </c>
      <c r="AI44" s="717">
        <f ca="1">SUMIF(AJ9:$AJ$40,"=" &amp; AJ9,AI10:$AI$40)</f>
        <v>0.49999998559999953</v>
      </c>
      <c r="AK44" s="718"/>
      <c r="AL44" s="718"/>
      <c r="AM44" s="718"/>
      <c r="AN44" s="718"/>
      <c r="AO44" s="829"/>
      <c r="AQ44" s="718"/>
      <c r="AR44" s="718"/>
      <c r="AS44" s="748" t="s">
        <v>387</v>
      </c>
      <c r="AT44" s="830">
        <f>SUMIF(X9:X40,"&gt;0")/SUMIF(W9:W40,"&gt;0")</f>
        <v>0</v>
      </c>
      <c r="AU44" s="748" t="s">
        <v>388</v>
      </c>
      <c r="AV44" s="831">
        <f>SUMIF(AU9:AU40,"&gt;0")/SUMIF(AQ9:AQ40,"&gt;0")</f>
        <v>0</v>
      </c>
      <c r="AW44" s="832"/>
      <c r="AY44" s="718"/>
      <c r="AZ44" s="718"/>
      <c r="BE44" s="716" t="b">
        <f>AND(ISBLANK($K31),J31&gt;0)</f>
        <v>0</v>
      </c>
      <c r="BF44" s="716"/>
      <c r="BH44" s="716"/>
      <c r="BO44" s="718"/>
      <c r="BP44" s="718"/>
      <c r="BQ44" s="719"/>
    </row>
    <row r="45" spans="2:73 1271:1271" ht="30.75" customHeight="1" x14ac:dyDescent="0.25">
      <c r="J45" s="833"/>
      <c r="T45" s="834" t="s">
        <v>389</v>
      </c>
      <c r="U45" s="716" t="b">
        <f>IF(AND(Flight?,OR(AW5,AY5,BA5,AZ5,AR46&lt;0.7,H42="MARG")),TRUE,FALSE)</f>
        <v>0</v>
      </c>
      <c r="AK45" s="718"/>
      <c r="AL45" s="718"/>
      <c r="AM45" s="718"/>
      <c r="AN45" s="718"/>
      <c r="AO45" s="835"/>
      <c r="AP45" s="718"/>
      <c r="AQ45" s="748" t="s">
        <v>390</v>
      </c>
      <c r="AR45" s="836">
        <f>1-AT45</f>
        <v>1</v>
      </c>
      <c r="AS45" s="748" t="s">
        <v>391</v>
      </c>
      <c r="AT45" s="830">
        <f>MIN(AT44,AT7)</f>
        <v>0</v>
      </c>
      <c r="AU45" s="748" t="s">
        <v>392</v>
      </c>
      <c r="AV45" s="837">
        <f>MIN(AV44,AV7)</f>
        <v>0</v>
      </c>
      <c r="AZ45" s="718"/>
      <c r="BE45" s="716"/>
      <c r="BF45" s="716"/>
      <c r="BH45" s="716"/>
      <c r="BO45" s="718"/>
      <c r="BP45" s="718"/>
      <c r="BQ45" s="719"/>
    </row>
    <row r="46" spans="2:73 1271:1271" ht="26.25" x14ac:dyDescent="0.25">
      <c r="T46" s="834" t="s">
        <v>393</v>
      </c>
      <c r="U46" s="716" t="b">
        <f>IF(OR(AX5,AY5,AZ5,BB5,AR46&lt;0.7),TRUE,FALSE)</f>
        <v>1</v>
      </c>
      <c r="AK46" s="718"/>
      <c r="AL46" s="718"/>
      <c r="AM46" s="718"/>
      <c r="AN46" s="718"/>
      <c r="AO46" s="838"/>
      <c r="AP46" s="718"/>
      <c r="AQ46" s="748" t="s">
        <v>394</v>
      </c>
      <c r="AR46" s="717">
        <f>AR42*(1-AT45)+(AT42*AT45)</f>
        <v>0</v>
      </c>
      <c r="AU46" s="718" t="s">
        <v>324</v>
      </c>
      <c r="AV46" s="837">
        <f>AV42*AV45</f>
        <v>0</v>
      </c>
      <c r="AY46" s="718"/>
      <c r="AZ46" s="718"/>
      <c r="BE46" s="716"/>
      <c r="BF46" s="716"/>
      <c r="BH46" s="716"/>
      <c r="BO46" s="718"/>
      <c r="BP46" s="718"/>
      <c r="BQ46" s="719"/>
    </row>
    <row r="47" spans="2:73 1271:1271" ht="26.25" x14ac:dyDescent="0.25">
      <c r="T47" s="834" t="s">
        <v>395</v>
      </c>
      <c r="U47" s="716" t="b">
        <v>0</v>
      </c>
      <c r="AK47" s="718"/>
      <c r="AL47" s="718"/>
      <c r="AM47" s="718"/>
      <c r="AN47" s="718"/>
      <c r="AO47" s="838"/>
      <c r="AP47" s="718"/>
      <c r="AQ47" s="748" t="s">
        <v>396</v>
      </c>
      <c r="AR47" s="837">
        <f>MIN(1,IF(NOT(OR(AY5,AZ5)),AR46+AV46,MIN(0.69,AR46+AV46)))</f>
        <v>0</v>
      </c>
      <c r="AY47" s="718"/>
      <c r="BE47" s="716"/>
      <c r="BF47" s="716"/>
      <c r="BI47" s="716"/>
      <c r="BO47" s="718"/>
      <c r="BP47" s="718"/>
      <c r="BQ47" s="719"/>
    </row>
    <row r="48" spans="2:73 1271:1271" x14ac:dyDescent="0.25">
      <c r="T48" s="834" t="s">
        <v>397</v>
      </c>
      <c r="U48" s="716" t="b">
        <f>IF(NOT(Flight?),TRUE,NOT(OR(ISBLANK(comments),ISBLANK(hdr_class),ISBLANK(hdr_date),ISBLANK(hdr_stud),ISBLANK(hdr_instr),ISBLANK(hdr_acft),ISBLANK(hdr_time),F42="---")))</f>
        <v>1</v>
      </c>
      <c r="AK48" s="718"/>
      <c r="AL48" s="718"/>
      <c r="AM48" s="718"/>
      <c r="AN48" s="718"/>
      <c r="AO48" s="838"/>
      <c r="AP48" s="718"/>
      <c r="AQ48" s="718"/>
      <c r="AR48" s="839"/>
      <c r="AS48" s="837"/>
      <c r="AU48" s="718"/>
      <c r="AV48" s="718"/>
      <c r="AW48" s="718"/>
    </row>
    <row r="49" spans="20:56" x14ac:dyDescent="0.25">
      <c r="T49" s="834" t="s">
        <v>398</v>
      </c>
      <c r="U49" s="716" t="b">
        <f>IF(Flight?,TRUE,NOT(OR(ISBLANK(comments),ISBLANK(hdr_class),ISBLANK(hdr_date),ISBLANK(hdr_stud),ISBLANK(hdr_instr),F42="---")))</f>
        <v>0</v>
      </c>
      <c r="AK49" s="718"/>
      <c r="AL49" s="718"/>
      <c r="AM49" s="718"/>
      <c r="AN49" s="718"/>
      <c r="AO49" s="835"/>
      <c r="AP49" s="712" t="s">
        <v>399</v>
      </c>
      <c r="AQ49" s="712"/>
      <c r="AR49" s="712"/>
      <c r="AS49" s="712"/>
      <c r="AT49" s="712"/>
      <c r="AU49" s="718"/>
      <c r="AV49" s="718"/>
      <c r="AW49" s="718"/>
    </row>
    <row r="50" spans="20:56" x14ac:dyDescent="0.25">
      <c r="T50" s="834" t="s">
        <v>400</v>
      </c>
      <c r="U50" s="716" t="b">
        <f>AND(U48:U49)</f>
        <v>0</v>
      </c>
      <c r="AK50" s="718"/>
      <c r="AL50" s="718"/>
      <c r="AM50" s="718"/>
      <c r="AN50" s="718"/>
      <c r="AO50" s="835"/>
      <c r="AP50" s="712"/>
      <c r="AQ50" s="712"/>
      <c r="AR50" s="712">
        <v>0</v>
      </c>
      <c r="AS50" s="712">
        <v>1</v>
      </c>
      <c r="AT50" s="712">
        <v>2</v>
      </c>
      <c r="AU50" s="712">
        <v>3</v>
      </c>
      <c r="AV50" s="712">
        <v>4</v>
      </c>
      <c r="AW50" s="718"/>
    </row>
    <row r="51" spans="20:56" x14ac:dyDescent="0.25">
      <c r="AK51" s="718"/>
      <c r="AL51" s="718"/>
      <c r="AM51" s="718"/>
      <c r="AN51" s="718"/>
      <c r="AO51" s="835"/>
      <c r="AP51" s="712" t="s">
        <v>359</v>
      </c>
      <c r="AQ51" s="712">
        <v>1</v>
      </c>
      <c r="AR51" s="840">
        <v>0.7</v>
      </c>
      <c r="AS51" s="840">
        <v>0.9</v>
      </c>
      <c r="AT51" s="840">
        <v>0.93330000000000002</v>
      </c>
      <c r="AU51" s="840">
        <v>0.9667</v>
      </c>
      <c r="AV51" s="840">
        <v>1</v>
      </c>
      <c r="AW51" s="718"/>
    </row>
    <row r="52" spans="20:56" x14ac:dyDescent="0.25">
      <c r="AK52" s="718"/>
      <c r="AL52" s="718"/>
      <c r="AM52" s="718"/>
      <c r="AN52" s="718"/>
      <c r="AO52" s="835"/>
      <c r="AP52" s="712" t="s">
        <v>360</v>
      </c>
      <c r="AQ52" s="712">
        <v>2</v>
      </c>
      <c r="AR52" s="840">
        <v>0.7</v>
      </c>
      <c r="AS52" s="840">
        <v>0.8</v>
      </c>
      <c r="AT52" s="840">
        <v>0.9</v>
      </c>
      <c r="AU52" s="840">
        <v>0.95</v>
      </c>
      <c r="AV52" s="840">
        <v>1</v>
      </c>
      <c r="AW52" s="718"/>
    </row>
    <row r="53" spans="20:56" x14ac:dyDescent="0.25">
      <c r="AK53" s="718"/>
      <c r="AL53" s="718"/>
      <c r="AM53" s="718"/>
      <c r="AN53" s="718"/>
      <c r="AO53" s="835"/>
      <c r="AP53" s="712" t="s">
        <v>361</v>
      </c>
      <c r="AQ53" s="712">
        <v>3</v>
      </c>
      <c r="AR53" s="840">
        <v>0.7</v>
      </c>
      <c r="AS53" s="840">
        <v>0.76670000000000005</v>
      </c>
      <c r="AT53" s="840">
        <v>0.83330000000000004</v>
      </c>
      <c r="AU53" s="840">
        <v>0.9</v>
      </c>
      <c r="AV53" s="840">
        <v>1</v>
      </c>
      <c r="AW53" s="718"/>
    </row>
    <row r="54" spans="20:56" x14ac:dyDescent="0.25">
      <c r="AP54" s="841" t="s">
        <v>362</v>
      </c>
      <c r="AQ54" s="712">
        <v>11</v>
      </c>
      <c r="AR54" s="840">
        <v>0.6</v>
      </c>
      <c r="AS54" s="840">
        <v>0.9</v>
      </c>
      <c r="AT54" s="840">
        <v>0.93330000000000002</v>
      </c>
      <c r="AU54" s="840">
        <v>0.9667</v>
      </c>
      <c r="AV54" s="840">
        <v>1</v>
      </c>
      <c r="AW54" s="718"/>
    </row>
    <row r="55" spans="20:56" x14ac:dyDescent="0.25">
      <c r="AP55" s="841" t="s">
        <v>363</v>
      </c>
      <c r="AQ55" s="712">
        <v>12</v>
      </c>
      <c r="AR55" s="840">
        <v>0.6</v>
      </c>
      <c r="AS55" s="840">
        <v>0.7</v>
      </c>
      <c r="AT55" s="840">
        <v>0.9</v>
      </c>
      <c r="AU55" s="840">
        <v>0.95</v>
      </c>
      <c r="AV55" s="840">
        <v>1</v>
      </c>
      <c r="AW55" s="718"/>
    </row>
    <row r="56" spans="20:56" x14ac:dyDescent="0.25">
      <c r="AP56" s="841" t="s">
        <v>364</v>
      </c>
      <c r="AQ56" s="712">
        <v>13</v>
      </c>
      <c r="AR56" s="840">
        <v>0.6</v>
      </c>
      <c r="AS56" s="840">
        <v>0.7</v>
      </c>
      <c r="AT56" s="840">
        <v>0.8</v>
      </c>
      <c r="AU56" s="840">
        <v>0.9</v>
      </c>
      <c r="AV56" s="840">
        <v>1</v>
      </c>
      <c r="AW56" s="718"/>
    </row>
    <row r="57" spans="20:56" x14ac:dyDescent="0.25">
      <c r="AP57" s="841" t="s">
        <v>365</v>
      </c>
      <c r="AQ57" s="712">
        <v>22</v>
      </c>
      <c r="AR57" s="840">
        <v>0.3</v>
      </c>
      <c r="AS57" s="840">
        <v>0.6</v>
      </c>
      <c r="AT57" s="840">
        <v>0.9</v>
      </c>
      <c r="AU57" s="840">
        <v>0.95</v>
      </c>
      <c r="AV57" s="840">
        <v>1</v>
      </c>
      <c r="AW57" s="718"/>
    </row>
    <row r="58" spans="20:56" x14ac:dyDescent="0.25">
      <c r="AP58" s="841" t="s">
        <v>366</v>
      </c>
      <c r="AQ58" s="712">
        <v>23</v>
      </c>
      <c r="AR58" s="840">
        <v>0.3</v>
      </c>
      <c r="AS58" s="840">
        <v>0.6</v>
      </c>
      <c r="AT58" s="840">
        <v>0.7</v>
      </c>
      <c r="AU58" s="840">
        <v>0.9</v>
      </c>
      <c r="AV58" s="840">
        <v>1</v>
      </c>
      <c r="AW58" s="718"/>
    </row>
    <row r="59" spans="20:56" x14ac:dyDescent="0.25">
      <c r="AP59" s="841" t="s">
        <v>367</v>
      </c>
      <c r="AQ59" s="712">
        <v>33</v>
      </c>
      <c r="AR59" s="840">
        <v>0</v>
      </c>
      <c r="AS59" s="840">
        <v>0.3</v>
      </c>
      <c r="AT59" s="840">
        <v>0.6</v>
      </c>
      <c r="AU59" s="840">
        <v>0.9</v>
      </c>
      <c r="AV59" s="840">
        <v>1</v>
      </c>
      <c r="AW59" s="85"/>
      <c r="AX59" s="88"/>
      <c r="BC59" s="88"/>
      <c r="BD59" s="88"/>
    </row>
    <row r="60" spans="20:56" x14ac:dyDescent="0.25">
      <c r="AP60" s="718"/>
      <c r="AQ60" s="718"/>
      <c r="AR60" s="718"/>
      <c r="AS60" s="718"/>
      <c r="AT60" s="718"/>
      <c r="AU60" s="718"/>
      <c r="AV60" s="718"/>
      <c r="AW60" s="88"/>
      <c r="AX60" s="88"/>
      <c r="BC60" s="88"/>
      <c r="BD60" s="88"/>
    </row>
    <row r="61" spans="20:56" x14ac:dyDescent="0.25">
      <c r="AP61" s="88"/>
      <c r="AQ61" s="85"/>
      <c r="AR61" s="88"/>
      <c r="AS61" s="88"/>
      <c r="AT61" s="88"/>
      <c r="AU61" s="88"/>
      <c r="AV61" s="88"/>
      <c r="AW61" s="85"/>
      <c r="AX61" s="85"/>
      <c r="BC61" s="88"/>
      <c r="BD61" s="88"/>
    </row>
    <row r="62" spans="20:56" x14ac:dyDescent="0.25">
      <c r="AP62" s="200"/>
      <c r="AQ62" s="85"/>
      <c r="AR62" s="88"/>
      <c r="AS62" s="88"/>
      <c r="AT62" s="88"/>
      <c r="AU62" s="88"/>
      <c r="AV62" s="88"/>
      <c r="AW62" s="85"/>
      <c r="AX62" s="85"/>
      <c r="BC62" s="88"/>
      <c r="BD62" s="88"/>
    </row>
    <row r="63" spans="20:56" x14ac:dyDescent="0.25">
      <c r="AP63" s="85"/>
      <c r="AQ63" s="85"/>
      <c r="AR63" s="88"/>
      <c r="AS63" s="88"/>
      <c r="AT63" s="88"/>
      <c r="AU63" s="88"/>
      <c r="AV63" s="88"/>
      <c r="AW63" s="85"/>
      <c r="AX63" s="85"/>
      <c r="BC63" s="88"/>
      <c r="BD63" s="88"/>
    </row>
    <row r="64" spans="20:56" x14ac:dyDescent="0.25">
      <c r="AP64" s="85"/>
      <c r="AQ64" s="85"/>
      <c r="AR64" s="88"/>
      <c r="AS64" s="88"/>
      <c r="AT64" s="88"/>
      <c r="AU64" s="88"/>
      <c r="AV64" s="88"/>
      <c r="AW64" s="85"/>
      <c r="AX64" s="88"/>
      <c r="BC64" s="88"/>
      <c r="BD64" s="88"/>
    </row>
    <row r="65" spans="42:56" x14ac:dyDescent="0.25">
      <c r="AP65" s="85"/>
      <c r="AQ65" s="85"/>
      <c r="AR65" s="88"/>
      <c r="AS65" s="88"/>
      <c r="AT65" s="88"/>
      <c r="AU65" s="88"/>
      <c r="AV65" s="88"/>
      <c r="AW65" s="85"/>
      <c r="AX65" s="88"/>
      <c r="BC65" s="88"/>
      <c r="BD65" s="88"/>
    </row>
    <row r="66" spans="42:56" x14ac:dyDescent="0.25">
      <c r="AP66" s="85"/>
      <c r="AQ66" s="85"/>
      <c r="AR66" s="88"/>
      <c r="AS66" s="88"/>
      <c r="AT66" s="88"/>
      <c r="AU66" s="88"/>
      <c r="AV66" s="88"/>
    </row>
    <row r="67" spans="42:56" x14ac:dyDescent="0.25">
      <c r="AP67" s="85"/>
      <c r="AQ67" s="85"/>
      <c r="AR67" s="88"/>
      <c r="AS67" s="88"/>
      <c r="AT67" s="88"/>
      <c r="AU67" s="88"/>
      <c r="AV67" s="88"/>
    </row>
  </sheetData>
  <sheetProtection algorithmName="SHA-512" hashValue="qvQq3m/c1yWAURknNo7y1tjRVOWsaGjuWcPOmTxjT8fPDgZIQFW0ewR7JAZ5zZt58mpfa2FQRs3CeL6nElGTgg==" saltValue="5ap5e2Icc+f6/5pHa/+h8A==" spinCount="100000" sheet="1"/>
  <mergeCells count="76">
    <mergeCell ref="C40:F40"/>
    <mergeCell ref="BO40:BU43"/>
    <mergeCell ref="B41:D41"/>
    <mergeCell ref="F41:G41"/>
    <mergeCell ref="H41:I41"/>
    <mergeCell ref="J41:K41"/>
    <mergeCell ref="M41:N41"/>
    <mergeCell ref="O41:P41"/>
    <mergeCell ref="B42:D42"/>
    <mergeCell ref="L43:R43"/>
    <mergeCell ref="F42:G42"/>
    <mergeCell ref="H42:I42"/>
    <mergeCell ref="J42:K42"/>
    <mergeCell ref="M42:N42"/>
    <mergeCell ref="O42:P42"/>
    <mergeCell ref="Q42:R42"/>
    <mergeCell ref="BO35:BU38"/>
    <mergeCell ref="C36:F36"/>
    <mergeCell ref="C37:F37"/>
    <mergeCell ref="C38:F38"/>
    <mergeCell ref="C39:F39"/>
    <mergeCell ref="BQ20:BU20"/>
    <mergeCell ref="C21:F21"/>
    <mergeCell ref="C22:F22"/>
    <mergeCell ref="BO22:BO30"/>
    <mergeCell ref="C23:F23"/>
    <mergeCell ref="C24:F24"/>
    <mergeCell ref="C25:F25"/>
    <mergeCell ref="C26:F26"/>
    <mergeCell ref="C27:F27"/>
    <mergeCell ref="C28:F28"/>
    <mergeCell ref="C29:F29"/>
    <mergeCell ref="C30:F30"/>
    <mergeCell ref="C33:F33"/>
    <mergeCell ref="C34:F34"/>
    <mergeCell ref="C35:F35"/>
    <mergeCell ref="C14:F14"/>
    <mergeCell ref="C15:F15"/>
    <mergeCell ref="C16:F16"/>
    <mergeCell ref="C17:F17"/>
    <mergeCell ref="C32:F32"/>
    <mergeCell ref="C19:F19"/>
    <mergeCell ref="C20:F20"/>
    <mergeCell ref="C31:F31"/>
    <mergeCell ref="Q6:R6"/>
    <mergeCell ref="B7:E7"/>
    <mergeCell ref="F7:G7"/>
    <mergeCell ref="H7:L7"/>
    <mergeCell ref="C18:F18"/>
    <mergeCell ref="M7:N7"/>
    <mergeCell ref="O7:P7"/>
    <mergeCell ref="Q7:R7"/>
    <mergeCell ref="B8:F8"/>
    <mergeCell ref="L8:R8"/>
    <mergeCell ref="C9:F9"/>
    <mergeCell ref="L9:R40"/>
    <mergeCell ref="C10:F10"/>
    <mergeCell ref="C11:F11"/>
    <mergeCell ref="C12:F12"/>
    <mergeCell ref="C13:F13"/>
    <mergeCell ref="B4:G4"/>
    <mergeCell ref="H4:N4"/>
    <mergeCell ref="O4:P4"/>
    <mergeCell ref="Q4:R4"/>
    <mergeCell ref="BP4:BU5"/>
    <mergeCell ref="B5:G5"/>
    <mergeCell ref="H5:N5"/>
    <mergeCell ref="O5:P5"/>
    <mergeCell ref="Q5:R5"/>
    <mergeCell ref="BH5:BK7"/>
    <mergeCell ref="BL5:BN7"/>
    <mergeCell ref="B6:E6"/>
    <mergeCell ref="F6:G6"/>
    <mergeCell ref="H6:L6"/>
    <mergeCell ref="M6:N6"/>
    <mergeCell ref="O6:P6"/>
  </mergeCells>
  <conditionalFormatting sqref="B9:F40">
    <cfRule type="expression" dxfId="88" priority="9" stopIfTrue="1">
      <formula>IF($Z9=1,TRUE,FALSE)</formula>
    </cfRule>
    <cfRule type="expression" dxfId="87" priority="10">
      <formula>IF($Z9=2,TRUE,FALSE)</formula>
    </cfRule>
  </conditionalFormatting>
  <conditionalFormatting sqref="C9:F40">
    <cfRule type="expression" dxfId="86" priority="2" stopIfTrue="1">
      <formula>IF($AF9=FALSE,TRUE,FALSE)</formula>
    </cfRule>
  </conditionalFormatting>
  <conditionalFormatting sqref="F6:G7 M6:P7">
    <cfRule type="expression" dxfId="85" priority="5" stopIfTrue="1">
      <formula>NOT($AU$5)</formula>
    </cfRule>
  </conditionalFormatting>
  <conditionalFormatting sqref="F7:G7">
    <cfRule type="cellIs" dxfId="84" priority="4" operator="equal">
      <formula>""</formula>
    </cfRule>
  </conditionalFormatting>
  <conditionalFormatting sqref="G9:K40">
    <cfRule type="expression" dxfId="83" priority="7" stopIfTrue="1">
      <formula>IF($Z9=1,TRUE,FALSE)</formula>
    </cfRule>
    <cfRule type="expression" dxfId="82" priority="8" stopIfTrue="1">
      <formula>IF($Z9=2,TRUE,FALSE)</formula>
    </cfRule>
  </conditionalFormatting>
  <conditionalFormatting sqref="H9:H40">
    <cfRule type="expression" dxfId="81" priority="11" stopIfTrue="1">
      <formula>IF($AB9=0,TRUE,FALSE)</formula>
    </cfRule>
  </conditionalFormatting>
  <conditionalFormatting sqref="H41:I42">
    <cfRule type="expression" dxfId="80" priority="3" stopIfTrue="1">
      <formula>IF($H$42="N/A",TRUE,FALSE)</formula>
    </cfRule>
  </conditionalFormatting>
  <conditionalFormatting sqref="H7:P7 O5:R5 B7 L9">
    <cfRule type="containsBlanks" dxfId="79" priority="6">
      <formula>LEN(TRIM(B5))=0</formula>
    </cfRule>
  </conditionalFormatting>
  <conditionalFormatting sqref="J9:J40">
    <cfRule type="expression" dxfId="78" priority="15">
      <formula>IF($Z9=1,FALSE,OR($BE9,$BD9))</formula>
    </cfRule>
  </conditionalFormatting>
  <conditionalFormatting sqref="J9:K40 C9:F40">
    <cfRule type="expression" dxfId="77" priority="14">
      <formula>IF($Z9=1,FALSE,OR($AW9,$AX9,$AY9,$AZ9))</formula>
    </cfRule>
  </conditionalFormatting>
  <conditionalFormatting sqref="J9:K40">
    <cfRule type="expression" dxfId="76" priority="12" stopIfTrue="1">
      <formula>IF(ISNA($Z9),TRUE,FALSE)</formula>
    </cfRule>
  </conditionalFormatting>
  <conditionalFormatting sqref="K9:K40">
    <cfRule type="expression" dxfId="75" priority="13">
      <formula>IF(OR($Z9=1,$Z9=2),FALSE,OR($BC9,$BE9,$BF9))</formula>
    </cfRule>
  </conditionalFormatting>
  <conditionalFormatting sqref="L42">
    <cfRule type="expression" dxfId="74" priority="1">
      <formula>NOT($U$50)</formula>
    </cfRule>
  </conditionalFormatting>
  <dataValidations count="6">
    <dataValidation type="list" allowBlank="1" showInputMessage="1" showErrorMessage="1" sqref="F7:G7" xr:uid="{F18C6BC5-089B-424B-A84F-999D187D3B20}">
      <formula1>"No,Yes"</formula1>
    </dataValidation>
    <dataValidation type="list" allowBlank="1" showInputMessage="1" showErrorMessage="1" sqref="J9:J40" xr:uid="{85F8BDFA-9DCE-4906-9649-AE2F194683E0}">
      <formula1>"NA,0,1,2,3,4,5,6,7,8,9,10,11,12,13,14,15"</formula1>
    </dataValidation>
    <dataValidation type="list" allowBlank="1" showInputMessage="1" showErrorMessage="1" sqref="K9:K40" xr:uid="{144B5DA8-32BD-485F-BA77-99A0CC4B9EFE}">
      <formula1>"D,0,1,2,3,4"</formula1>
    </dataValidation>
    <dataValidation showInputMessage="1" showErrorMessage="1" sqref="O42:R42" xr:uid="{2C679F13-4459-4D66-AA36-BA5050AD34A2}"/>
    <dataValidation type="decimal" allowBlank="1" showInputMessage="1" showErrorMessage="1" sqref="O7:P7" xr:uid="{A1CB4BB9-CEC1-4CF2-BBA7-6C10C0DD87F7}">
      <formula1>0</formula1>
      <formula2>10</formula2>
    </dataValidation>
    <dataValidation type="date" allowBlank="1" showInputMessage="1" showErrorMessage="1" sqref="Q5:R5" xr:uid="{CD0CE88B-3CCF-43AD-AF17-F88DC2D29745}">
      <formula1>41151</formula1>
      <formula2>77433</formula2>
    </dataValidation>
  </dataValidations>
  <hyperlinks>
    <hyperlink ref="BP4" location="PF!A1" display="PF phase Summary Page" xr:uid="{22949A4B-35D1-4949-9083-AEE6E90CE9AE}"/>
    <hyperlink ref="BP4:BU5" location="TF!A1" display="TF Summary Page" xr:uid="{3B94A221-C3E5-4B6C-A881-57EC8D722D61}"/>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9250" r:id="rId3" name="IP_Signature">
              <controlPr defaultSize="0" print="0" autoFill="0" autoPict="0" macro="[0]!IP_signature">
                <anchor moveWithCells="1" sizeWithCells="1">
                  <from>
                    <xdr:col>11</xdr:col>
                    <xdr:colOff>0</xdr:colOff>
                    <xdr:row>41</xdr:row>
                    <xdr:rowOff>0</xdr:rowOff>
                  </from>
                  <to>
                    <xdr:col>12</xdr:col>
                    <xdr:colOff>0</xdr:colOff>
                    <xdr:row>42</xdr:row>
                    <xdr:rowOff>0</xdr:rowOff>
                  </to>
                </anchor>
              </controlPr>
            </control>
          </mc:Choice>
        </mc:AlternateContent>
        <mc:AlternateContent xmlns:mc="http://schemas.openxmlformats.org/markup-compatibility/2006">
          <mc:Choice Requires="x14">
            <control shapeId="309251" r:id="rId4" name="CCG_Click">
              <controlPr defaultSize="0" print="0" autoFill="0" autoPict="0" macro="[0]!CCG_Click">
                <anchor moveWithCells="1" sizeWithCells="1">
                  <from>
                    <xdr:col>4</xdr:col>
                    <xdr:colOff>0</xdr:colOff>
                    <xdr:row>42</xdr:row>
                    <xdr:rowOff>38100</xdr:rowOff>
                  </from>
                  <to>
                    <xdr:col>6</xdr:col>
                    <xdr:colOff>123825</xdr:colOff>
                    <xdr:row>43</xdr:row>
                    <xdr:rowOff>190500</xdr:rowOff>
                  </to>
                </anchor>
              </controlPr>
            </control>
          </mc:Choice>
        </mc:AlternateContent>
        <mc:AlternateContent xmlns:mc="http://schemas.openxmlformats.org/markup-compatibility/2006">
          <mc:Choice Requires="x14">
            <control shapeId="309252" r:id="rId5" name="MCG_Click">
              <controlPr defaultSize="0" print="0" autoFill="0" autoPict="0" macro="[0]!MCG_Click">
                <anchor moveWithCells="1" sizeWithCells="1">
                  <from>
                    <xdr:col>6</xdr:col>
                    <xdr:colOff>190500</xdr:colOff>
                    <xdr:row>42</xdr:row>
                    <xdr:rowOff>38100</xdr:rowOff>
                  </from>
                  <to>
                    <xdr:col>11</xdr:col>
                    <xdr:colOff>66675</xdr:colOff>
                    <xdr:row>43</xdr:row>
                    <xdr:rowOff>190500</xdr:rowOff>
                  </to>
                </anchor>
              </controlPr>
            </control>
          </mc:Choice>
        </mc:AlternateContent>
        <mc:AlternateContent xmlns:mc="http://schemas.openxmlformats.org/markup-compatibility/2006">
          <mc:Choice Requires="x14">
            <control shapeId="309253" r:id="rId6" name="DCG_Click">
              <controlPr defaultSize="0" print="0" autoFill="0" autoPict="0" macro="[0]!DCG_Click">
                <anchor moveWithCells="1" sizeWithCells="1">
                  <from>
                    <xdr:col>11</xdr:col>
                    <xdr:colOff>123825</xdr:colOff>
                    <xdr:row>42</xdr:row>
                    <xdr:rowOff>38100</xdr:rowOff>
                  </from>
                  <to>
                    <xdr:col>12</xdr:col>
                    <xdr:colOff>276225</xdr:colOff>
                    <xdr:row>43</xdr:row>
                    <xdr:rowOff>190500</xdr:rowOff>
                  </to>
                </anchor>
              </controlPr>
            </control>
          </mc:Choice>
        </mc:AlternateContent>
        <mc:AlternateContent xmlns:mc="http://schemas.openxmlformats.org/markup-compatibility/2006">
          <mc:Choice Requires="x14">
            <control shapeId="309254" r:id="rId7" name="PMC_Click">
              <controlPr defaultSize="0" print="0" autoFill="0" autoPict="0" macro="[0]!PMC_Click">
                <anchor moveWithCells="1" sizeWithCells="1">
                  <from>
                    <xdr:col>12</xdr:col>
                    <xdr:colOff>342900</xdr:colOff>
                    <xdr:row>42</xdr:row>
                    <xdr:rowOff>38100</xdr:rowOff>
                  </from>
                  <to>
                    <xdr:col>17</xdr:col>
                    <xdr:colOff>257175</xdr:colOff>
                    <xdr:row>43</xdr:row>
                    <xdr:rowOff>190500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493BFE-E2BF-4A0B-9194-AEA1EDC217CA}">
  <sheetPr>
    <tabColor rgb="FFFFFF00"/>
    <pageSetUpPr autoPageBreaks="0"/>
  </sheetPr>
  <dimension ref="A1:AVW69"/>
  <sheetViews>
    <sheetView showGridLines="0" showRowColHeaders="0" topLeftCell="A5" zoomScaleNormal="100" workbookViewId="0">
      <selection activeCell="L11" sqref="L11:R42"/>
    </sheetView>
  </sheetViews>
  <sheetFormatPr defaultColWidth="9.140625" defaultRowHeight="15" x14ac:dyDescent="0.25"/>
  <cols>
    <col min="1" max="1" width="1.5703125" style="714" customWidth="1"/>
    <col min="2" max="2" width="3.5703125" style="714" customWidth="1"/>
    <col min="3" max="3" width="5.5703125" style="715" customWidth="1"/>
    <col min="4" max="4" width="9.140625" style="715"/>
    <col min="5" max="5" width="14" style="715" customWidth="1"/>
    <col min="6" max="6" width="7.85546875" style="715" customWidth="1"/>
    <col min="7" max="11" width="5.140625" style="715" customWidth="1"/>
    <col min="12" max="12" width="21.5703125" style="715" customWidth="1"/>
    <col min="13" max="13" width="6.5703125" style="715" customWidth="1"/>
    <col min="14" max="14" width="12.5703125" style="715" customWidth="1"/>
    <col min="15" max="15" width="7.85546875" style="715" customWidth="1"/>
    <col min="16" max="16" width="2.7109375" style="715" customWidth="1"/>
    <col min="17" max="17" width="4.85546875" style="715" customWidth="1"/>
    <col min="18" max="18" width="7.28515625" style="715" customWidth="1"/>
    <col min="19" max="19" width="1.7109375" style="715" customWidth="1"/>
    <col min="20" max="20" width="19.140625" style="716" hidden="1" customWidth="1"/>
    <col min="21" max="21" width="31.140625" style="716" hidden="1" customWidth="1"/>
    <col min="22" max="22" width="5.140625" style="716" hidden="1" customWidth="1"/>
    <col min="23" max="24" width="6.28515625" style="716" hidden="1" customWidth="1"/>
    <col min="25" max="25" width="8.42578125" style="716" hidden="1" customWidth="1"/>
    <col min="26" max="26" width="7.85546875" style="716" hidden="1" customWidth="1"/>
    <col min="27" max="27" width="10.7109375" style="716" hidden="1" customWidth="1"/>
    <col min="28" max="28" width="8" style="716" hidden="1" customWidth="1"/>
    <col min="29" max="31" width="5.140625" style="716" hidden="1" customWidth="1"/>
    <col min="32" max="34" width="5.85546875" style="716" hidden="1" customWidth="1"/>
    <col min="35" max="35" width="8.5703125" style="717" hidden="1" customWidth="1"/>
    <col min="36" max="36" width="7" style="716" hidden="1" customWidth="1"/>
    <col min="37" max="38" width="5.28515625" style="716" hidden="1" customWidth="1"/>
    <col min="39" max="40" width="7" style="716" hidden="1" customWidth="1"/>
    <col min="41" max="41" width="5.140625" style="716" hidden="1" customWidth="1"/>
    <col min="42" max="42" width="11.28515625" style="716" hidden="1" customWidth="1"/>
    <col min="43" max="43" width="6.42578125" style="716" hidden="1" customWidth="1"/>
    <col min="44" max="44" width="8.28515625" style="716" hidden="1" customWidth="1"/>
    <col min="45" max="45" width="8.85546875" style="716" hidden="1" customWidth="1"/>
    <col min="46" max="46" width="10.7109375" style="716" hidden="1" customWidth="1"/>
    <col min="47" max="47" width="8.85546875" style="716" hidden="1" customWidth="1"/>
    <col min="48" max="48" width="6.28515625" style="716" hidden="1" customWidth="1"/>
    <col min="49" max="49" width="10" style="716" hidden="1" customWidth="1"/>
    <col min="50" max="50" width="7.5703125" style="716" hidden="1" customWidth="1"/>
    <col min="51" max="51" width="7" style="716" hidden="1" customWidth="1"/>
    <col min="52" max="52" width="8.140625" style="716" hidden="1" customWidth="1"/>
    <col min="53" max="53" width="12.5703125" style="716" hidden="1" customWidth="1"/>
    <col min="54" max="54" width="7.7109375" style="716" hidden="1" customWidth="1"/>
    <col min="55" max="55" width="12.7109375" style="716" hidden="1" customWidth="1"/>
    <col min="56" max="56" width="7" style="716" hidden="1" customWidth="1"/>
    <col min="57" max="57" width="15.5703125" style="718" hidden="1" customWidth="1"/>
    <col min="58" max="58" width="9.140625" style="718" hidden="1" customWidth="1"/>
    <col min="59" max="59" width="10" style="716" hidden="1" customWidth="1"/>
    <col min="60" max="60" width="5.28515625" style="718" hidden="1" customWidth="1"/>
    <col min="61" max="61" width="4" style="718" hidden="1" customWidth="1"/>
    <col min="62" max="62" width="4.7109375" style="718" hidden="1" customWidth="1"/>
    <col min="63" max="63" width="5.5703125" style="718" hidden="1" customWidth="1"/>
    <col min="64" max="64" width="5.28515625" style="718" hidden="1" customWidth="1"/>
    <col min="65" max="65" width="4" style="718" hidden="1" customWidth="1"/>
    <col min="66" max="66" width="5.5703125" style="718" hidden="1" customWidth="1"/>
    <col min="67" max="67" width="5.140625" style="719" customWidth="1"/>
    <col min="68" max="73" width="5.140625" style="715" customWidth="1"/>
    <col min="74" max="16384" width="9.140625" style="715"/>
  </cols>
  <sheetData>
    <row r="1" spans="2:73" s="711" customFormat="1" ht="12" hidden="1" x14ac:dyDescent="0.2">
      <c r="T1" s="712"/>
      <c r="U1" s="712"/>
      <c r="V1" s="712"/>
      <c r="W1" s="712"/>
      <c r="X1" s="712"/>
      <c r="Y1" s="712"/>
      <c r="Z1" s="712"/>
      <c r="AA1" s="712"/>
      <c r="AB1" s="712"/>
      <c r="AC1" s="712"/>
      <c r="AD1" s="712"/>
      <c r="AE1" s="712"/>
      <c r="AF1" s="712"/>
      <c r="AG1" s="712"/>
      <c r="AH1" s="712"/>
      <c r="AI1" s="713"/>
      <c r="AJ1" s="712"/>
      <c r="AK1" s="712"/>
      <c r="AL1" s="712"/>
      <c r="AM1" s="712"/>
      <c r="AN1" s="712"/>
      <c r="AO1" s="712"/>
      <c r="AP1" s="712"/>
      <c r="AQ1" s="712"/>
      <c r="AR1" s="712"/>
      <c r="AS1" s="712"/>
      <c r="AT1" s="712"/>
      <c r="AU1" s="712"/>
      <c r="AV1" s="712"/>
      <c r="AW1" s="712"/>
      <c r="AX1" s="712"/>
      <c r="AY1" s="712"/>
      <c r="AZ1" s="712"/>
      <c r="BA1" s="712"/>
      <c r="BB1" s="712"/>
      <c r="BC1" s="712"/>
      <c r="BD1" s="712"/>
      <c r="BE1" s="712"/>
      <c r="BF1" s="712"/>
      <c r="BG1" s="712"/>
      <c r="BH1" s="712"/>
      <c r="BI1" s="712"/>
      <c r="BJ1" s="712"/>
      <c r="BK1" s="712"/>
      <c r="BL1" s="712"/>
      <c r="BM1" s="712"/>
      <c r="BN1" s="712"/>
    </row>
    <row r="2" spans="2:73" s="711" customFormat="1" ht="12" hidden="1" x14ac:dyDescent="0.2">
      <c r="T2" s="712"/>
      <c r="U2" s="712"/>
      <c r="V2" s="712"/>
      <c r="W2" s="712"/>
      <c r="X2" s="712"/>
      <c r="Y2" s="712"/>
      <c r="Z2" s="712"/>
      <c r="AA2" s="712"/>
      <c r="AB2" s="712"/>
      <c r="AC2" s="712"/>
      <c r="AD2" s="712"/>
      <c r="AE2" s="712"/>
      <c r="AF2" s="712"/>
      <c r="AG2" s="712"/>
      <c r="AH2" s="712"/>
      <c r="AI2" s="713"/>
      <c r="AJ2" s="712"/>
      <c r="AK2" s="712"/>
      <c r="AL2" s="712"/>
      <c r="AM2" s="712"/>
      <c r="AN2" s="712"/>
      <c r="AO2" s="712"/>
      <c r="AP2" s="712"/>
      <c r="AQ2" s="712"/>
      <c r="AR2" s="712"/>
      <c r="AS2" s="712"/>
      <c r="AT2" s="712"/>
      <c r="AU2" s="712"/>
      <c r="AV2" s="712"/>
      <c r="AW2" s="712"/>
      <c r="AX2" s="712"/>
      <c r="AY2" s="712"/>
      <c r="AZ2" s="712"/>
      <c r="BA2" s="712"/>
      <c r="BB2" s="712"/>
      <c r="BC2" s="712"/>
      <c r="BD2" s="712"/>
      <c r="BE2" s="712"/>
      <c r="BF2" s="712"/>
      <c r="BG2" s="712"/>
      <c r="BH2" s="712"/>
      <c r="BI2" s="712"/>
      <c r="BJ2" s="712"/>
      <c r="BK2" s="712"/>
      <c r="BL2" s="712"/>
      <c r="BM2" s="712"/>
      <c r="BN2" s="712"/>
    </row>
    <row r="3" spans="2:73" s="711" customFormat="1" ht="12" hidden="1" x14ac:dyDescent="0.2">
      <c r="T3" s="712"/>
      <c r="U3" s="712"/>
      <c r="V3" s="712"/>
      <c r="W3" s="712"/>
      <c r="X3" s="712"/>
      <c r="Y3" s="712"/>
      <c r="Z3" s="712"/>
      <c r="AA3" s="712"/>
      <c r="AB3" s="712"/>
      <c r="AC3" s="712"/>
      <c r="AD3" s="712"/>
      <c r="AE3" s="712"/>
      <c r="AF3" s="712"/>
      <c r="AG3" s="712"/>
      <c r="AH3" s="712"/>
      <c r="AI3" s="713"/>
      <c r="AJ3" s="712"/>
      <c r="AK3" s="712"/>
      <c r="AL3" s="712"/>
      <c r="AM3" s="712"/>
      <c r="AN3" s="712"/>
      <c r="AO3" s="712"/>
      <c r="AP3" s="712"/>
      <c r="AQ3" s="712"/>
      <c r="AR3" s="712"/>
      <c r="AS3" s="712"/>
      <c r="AT3" s="712"/>
      <c r="AU3" s="712"/>
      <c r="AV3" s="712"/>
      <c r="AW3" s="712"/>
      <c r="AX3" s="712"/>
      <c r="AY3" s="712"/>
      <c r="AZ3" s="712"/>
      <c r="BA3" s="712"/>
      <c r="BB3" s="712"/>
      <c r="BC3" s="712"/>
      <c r="BD3" s="712"/>
      <c r="BE3" s="712"/>
      <c r="BF3" s="712"/>
      <c r="BG3" s="712"/>
      <c r="BH3" s="712"/>
      <c r="BI3" s="712"/>
      <c r="BJ3" s="712"/>
      <c r="BK3" s="712"/>
      <c r="BL3" s="712"/>
      <c r="BM3" s="712"/>
      <c r="BN3" s="712"/>
    </row>
    <row r="4" spans="2:73" s="711" customFormat="1" ht="12" hidden="1" x14ac:dyDescent="0.2">
      <c r="T4" s="712"/>
      <c r="U4" s="712"/>
      <c r="V4" s="712"/>
      <c r="W4" s="712"/>
      <c r="X4" s="712"/>
      <c r="Y4" s="712"/>
      <c r="Z4" s="712"/>
      <c r="AA4" s="712"/>
      <c r="AB4" s="712"/>
      <c r="AC4" s="712"/>
      <c r="AD4" s="712"/>
      <c r="AE4" s="712"/>
      <c r="AF4" s="712"/>
      <c r="AG4" s="712"/>
      <c r="AH4" s="712"/>
      <c r="AI4" s="713"/>
      <c r="AJ4" s="712"/>
      <c r="AK4" s="712"/>
      <c r="AL4" s="712"/>
      <c r="AM4" s="712"/>
      <c r="AN4" s="712"/>
      <c r="AO4" s="712"/>
      <c r="AP4" s="712"/>
      <c r="AQ4" s="712"/>
      <c r="AR4" s="712"/>
      <c r="AS4" s="712"/>
      <c r="AT4" s="712"/>
      <c r="AU4" s="712"/>
      <c r="AV4" s="712"/>
      <c r="AW4" s="712"/>
      <c r="AX4" s="712"/>
      <c r="AY4" s="712"/>
      <c r="AZ4" s="712"/>
      <c r="BA4" s="712"/>
      <c r="BB4" s="712"/>
      <c r="BC4" s="712"/>
      <c r="BD4" s="712"/>
      <c r="BE4" s="712"/>
      <c r="BF4" s="712"/>
      <c r="BG4" s="712"/>
      <c r="BH4" s="712"/>
      <c r="BI4" s="712"/>
      <c r="BJ4" s="712"/>
      <c r="BK4" s="712"/>
      <c r="BL4" s="712"/>
      <c r="BM4" s="712"/>
      <c r="BN4" s="712"/>
    </row>
    <row r="5" spans="2:73" ht="15.75" thickBot="1" x14ac:dyDescent="0.3">
      <c r="BE5" s="716"/>
      <c r="BF5" s="716"/>
      <c r="BG5" s="718"/>
    </row>
    <row r="6" spans="2:73" ht="13.5" customHeight="1" thickTop="1" x14ac:dyDescent="0.25">
      <c r="B6" s="1078" t="s">
        <v>267</v>
      </c>
      <c r="C6" s="1079"/>
      <c r="D6" s="1079"/>
      <c r="E6" s="1079"/>
      <c r="F6" s="1079"/>
      <c r="G6" s="1080"/>
      <c r="H6" s="1081" t="s">
        <v>997</v>
      </c>
      <c r="I6" s="1082"/>
      <c r="J6" s="1082"/>
      <c r="K6" s="1082"/>
      <c r="L6" s="1082"/>
      <c r="M6" s="1082"/>
      <c r="N6" s="1083"/>
      <c r="O6" s="1084" t="s">
        <v>269</v>
      </c>
      <c r="P6" s="1085"/>
      <c r="Q6" s="1084" t="s">
        <v>270</v>
      </c>
      <c r="R6" s="1086"/>
      <c r="S6" s="720"/>
      <c r="T6" s="721"/>
      <c r="U6" s="721"/>
      <c r="V6" s="721"/>
      <c r="W6" s="721"/>
      <c r="X6" s="721"/>
      <c r="Y6" s="721"/>
      <c r="Z6" s="721"/>
      <c r="AA6" s="721"/>
      <c r="AB6" s="721"/>
      <c r="AC6" s="721"/>
      <c r="AD6" s="721"/>
      <c r="AE6" s="721"/>
      <c r="AF6" s="721"/>
      <c r="AG6" s="721"/>
      <c r="AH6" s="721"/>
      <c r="AI6" s="722"/>
      <c r="AJ6" s="721"/>
      <c r="AK6" s="721"/>
      <c r="AL6" s="721"/>
      <c r="AM6" s="721"/>
      <c r="AN6" s="721"/>
      <c r="AO6" s="721"/>
      <c r="AP6" s="721"/>
      <c r="AQ6" s="712"/>
      <c r="AR6" s="712"/>
      <c r="AW6" s="716" t="s">
        <v>271</v>
      </c>
      <c r="AX6" s="716" t="s">
        <v>272</v>
      </c>
      <c r="AY6" s="716" t="s">
        <v>273</v>
      </c>
      <c r="AZ6" s="716" t="s">
        <v>274</v>
      </c>
      <c r="BA6" s="716" t="s">
        <v>275</v>
      </c>
      <c r="BB6" s="716" t="s">
        <v>276</v>
      </c>
      <c r="BE6" s="716"/>
      <c r="BF6" s="716"/>
      <c r="BG6" s="718"/>
      <c r="BP6" s="976" t="s">
        <v>845</v>
      </c>
      <c r="BQ6" s="976"/>
      <c r="BR6" s="976"/>
      <c r="BS6" s="976"/>
      <c r="BT6" s="976"/>
      <c r="BU6" s="976"/>
    </row>
    <row r="7" spans="2:73" s="731" customFormat="1" ht="15.75" customHeight="1" x14ac:dyDescent="0.2">
      <c r="B7" s="1087" t="s">
        <v>618</v>
      </c>
      <c r="C7" s="1088"/>
      <c r="D7" s="1088"/>
      <c r="E7" s="1088"/>
      <c r="F7" s="1088"/>
      <c r="G7" s="1089"/>
      <c r="H7" s="1090" t="s">
        <v>620</v>
      </c>
      <c r="I7" s="1091"/>
      <c r="J7" s="1091"/>
      <c r="K7" s="1091"/>
      <c r="L7" s="1091"/>
      <c r="M7" s="1091"/>
      <c r="N7" s="1092"/>
      <c r="O7" s="1093"/>
      <c r="P7" s="1094"/>
      <c r="Q7" s="1095"/>
      <c r="R7" s="1096"/>
      <c r="S7" s="723"/>
      <c r="T7" s="724"/>
      <c r="U7" s="724"/>
      <c r="V7" s="724"/>
      <c r="W7" s="724"/>
      <c r="X7" s="724"/>
      <c r="Y7" s="724"/>
      <c r="Z7" s="724"/>
      <c r="AA7" s="724"/>
      <c r="AB7" s="724"/>
      <c r="AC7" s="724"/>
      <c r="AD7" s="724"/>
      <c r="AE7" s="724"/>
      <c r="AF7" s="724"/>
      <c r="AG7" s="724"/>
      <c r="AH7" s="724"/>
      <c r="AI7" s="725"/>
      <c r="AJ7" s="724"/>
      <c r="AK7" s="724"/>
      <c r="AL7" s="724"/>
      <c r="AM7" s="724"/>
      <c r="AN7" s="724"/>
      <c r="AO7" s="724"/>
      <c r="AP7" s="724"/>
      <c r="AQ7" s="726"/>
      <c r="AR7" s="726"/>
      <c r="AS7" s="727"/>
      <c r="AT7" s="728" t="s">
        <v>278</v>
      </c>
      <c r="AU7" s="729" t="b">
        <v>0</v>
      </c>
      <c r="AV7" s="727">
        <v>0</v>
      </c>
      <c r="AW7" s="727" t="b">
        <f>IF(ISERR(OR(AW11:AW42)),"UNK",IF(AND(graded_aca_events&gt;=1,input_test),FALSE,OR(AW11:AW42)))</f>
        <v>0</v>
      </c>
      <c r="AX7" s="727" t="b">
        <f>IF(ISERR(OR(AX11:AX42)),"UNK",IF(AND(graded_aca_events&gt;=1,input_test),FALSE,OR(AX11:AX42)))</f>
        <v>1</v>
      </c>
      <c r="AY7" s="727" t="b">
        <f>IF(ISERR(OR(AY11:AY42)),"UNK",OR(AY11:AY42))</f>
        <v>0</v>
      </c>
      <c r="AZ7" s="727" t="b">
        <f>IF(ISERR(OR(AZ11:AZ42)),"UNK",OR(AZ11:AZ42))</f>
        <v>0</v>
      </c>
      <c r="BA7" s="727" t="b">
        <f>IF(ISERR(OR(BA11:BA42)),"UNK",OR(BA11:BA42))</f>
        <v>0</v>
      </c>
      <c r="BB7" s="727" t="b">
        <f>IF(ISERR(OR(BB11:BB42)),"UNK",OR(BB11:BB42))</f>
        <v>0</v>
      </c>
      <c r="BC7" s="730" t="b">
        <f>OR(BC11:BC42)</f>
        <v>0</v>
      </c>
      <c r="BD7" s="730" t="b">
        <f>OR(BD11:BD42)</f>
        <v>0</v>
      </c>
      <c r="BE7" s="730" t="b">
        <f>OR(BE11:BE42)</f>
        <v>0</v>
      </c>
      <c r="BF7" s="730"/>
      <c r="BG7" s="727"/>
      <c r="BH7" s="1097" t="s">
        <v>279</v>
      </c>
      <c r="BI7" s="1097"/>
      <c r="BJ7" s="1097"/>
      <c r="BK7" s="1097"/>
      <c r="BL7" s="1098" t="s">
        <v>280</v>
      </c>
      <c r="BM7" s="1098"/>
      <c r="BN7" s="1098"/>
      <c r="BO7" s="719"/>
      <c r="BP7" s="976"/>
      <c r="BQ7" s="976"/>
      <c r="BR7" s="976"/>
      <c r="BS7" s="976"/>
      <c r="BT7" s="976"/>
      <c r="BU7" s="976"/>
    </row>
    <row r="8" spans="2:73" s="720" customFormat="1" ht="7.5" customHeight="1" x14ac:dyDescent="0.25">
      <c r="B8" s="1099" t="s">
        <v>281</v>
      </c>
      <c r="C8" s="1100"/>
      <c r="D8" s="1100"/>
      <c r="E8" s="1101"/>
      <c r="F8" s="1102" t="s">
        <v>282</v>
      </c>
      <c r="G8" s="1101"/>
      <c r="H8" s="1102" t="s">
        <v>283</v>
      </c>
      <c r="I8" s="1100"/>
      <c r="J8" s="1100"/>
      <c r="K8" s="1100"/>
      <c r="L8" s="1101"/>
      <c r="M8" s="1103" t="s">
        <v>284</v>
      </c>
      <c r="N8" s="1104"/>
      <c r="O8" s="1105" t="s">
        <v>285</v>
      </c>
      <c r="P8" s="1106"/>
      <c r="Q8" s="1102" t="str">
        <f>IF(AU44=0,"GRADE","GRADE (inc. bonus)")</f>
        <v>GRADE</v>
      </c>
      <c r="R8" s="1107"/>
      <c r="T8" s="721"/>
      <c r="U8" s="721"/>
      <c r="V8" s="721"/>
      <c r="W8" s="721"/>
      <c r="X8" s="721"/>
      <c r="Y8" s="721"/>
      <c r="Z8" s="721"/>
      <c r="AA8" s="721"/>
      <c r="AB8" s="721"/>
      <c r="AC8" s="721"/>
      <c r="AD8" s="721"/>
      <c r="AE8" s="721"/>
      <c r="AF8" s="721"/>
      <c r="AG8" s="721"/>
      <c r="AH8" s="721"/>
      <c r="AI8" s="722"/>
      <c r="AJ8" s="721"/>
      <c r="AK8" s="721"/>
      <c r="AL8" s="721"/>
      <c r="AM8" s="721"/>
      <c r="AN8" s="721"/>
      <c r="AO8" s="721"/>
      <c r="AP8" s="721"/>
      <c r="AQ8" s="721"/>
      <c r="AR8" s="721"/>
      <c r="AS8" s="721"/>
      <c r="AT8" s="721"/>
      <c r="AU8" s="721"/>
      <c r="AV8" s="721"/>
      <c r="AW8" s="721"/>
      <c r="AX8" s="721"/>
      <c r="AY8" s="721"/>
      <c r="AZ8" s="721"/>
      <c r="BA8" s="721"/>
      <c r="BB8" s="721"/>
      <c r="BC8" s="721"/>
      <c r="BD8" s="721"/>
      <c r="BE8" s="721"/>
      <c r="BF8" s="721"/>
      <c r="BG8" s="721"/>
      <c r="BH8" s="1097"/>
      <c r="BI8" s="1097"/>
      <c r="BJ8" s="1097"/>
      <c r="BK8" s="1097"/>
      <c r="BL8" s="1098"/>
      <c r="BM8" s="1098"/>
      <c r="BN8" s="1098"/>
      <c r="BO8" s="732"/>
    </row>
    <row r="9" spans="2:73" s="731" customFormat="1" ht="15.75" customHeight="1" thickBot="1" x14ac:dyDescent="0.25">
      <c r="B9" s="1108"/>
      <c r="C9" s="1109"/>
      <c r="D9" s="1109"/>
      <c r="E9" s="1110"/>
      <c r="F9" s="1111" t="s">
        <v>457</v>
      </c>
      <c r="G9" s="1112"/>
      <c r="H9" s="1113"/>
      <c r="I9" s="1114"/>
      <c r="J9" s="1114"/>
      <c r="K9" s="1114"/>
      <c r="L9" s="1115"/>
      <c r="M9" s="1118"/>
      <c r="N9" s="1119"/>
      <c r="O9" s="1120"/>
      <c r="P9" s="1121"/>
      <c r="Q9" s="1122" t="str">
        <f>IF((graded_aca_events+graded_amn_events)&lt;1,"---",IF(ISERROR(AR49),"",IF(F44&lt;&gt;"COMPLETE","INCOMPLETE",AR49)))</f>
        <v>---</v>
      </c>
      <c r="R9" s="1123"/>
      <c r="S9" s="715"/>
      <c r="T9" s="727"/>
      <c r="U9" s="727">
        <v>2</v>
      </c>
      <c r="V9" s="727">
        <v>3</v>
      </c>
      <c r="W9" s="727">
        <v>6</v>
      </c>
      <c r="X9" s="727">
        <v>7</v>
      </c>
      <c r="Y9" s="727">
        <v>11</v>
      </c>
      <c r="Z9" s="727">
        <v>8</v>
      </c>
      <c r="AA9" s="733">
        <v>9</v>
      </c>
      <c r="AB9" s="733">
        <v>10</v>
      </c>
      <c r="AC9" s="733">
        <v>5</v>
      </c>
      <c r="AD9" s="733">
        <v>4</v>
      </c>
      <c r="AE9" s="733">
        <v>12</v>
      </c>
      <c r="AF9" s="733">
        <v>13</v>
      </c>
      <c r="AG9" s="733"/>
      <c r="AH9" s="733"/>
      <c r="AI9" s="734"/>
      <c r="AJ9" s="735"/>
      <c r="AK9" s="735"/>
      <c r="AL9" s="735"/>
      <c r="AM9" s="735" t="b">
        <f>IF(COUNT(AM11:AM42)&gt;0,TRUE,FALSE)</f>
        <v>0</v>
      </c>
      <c r="AN9" s="735" t="b">
        <f>IF(COUNT(AN11:AN42)&gt;0,TRUE,FALSE)</f>
        <v>0</v>
      </c>
      <c r="AO9" s="727"/>
      <c r="AP9" s="727"/>
      <c r="AQ9" s="726"/>
      <c r="AR9" s="726"/>
      <c r="AS9" s="727"/>
      <c r="AT9" s="736">
        <v>0.2</v>
      </c>
      <c r="AU9" s="727"/>
      <c r="AV9" s="737">
        <f>0.01*input_maxb</f>
        <v>0</v>
      </c>
      <c r="AW9" s="738" t="s">
        <v>287</v>
      </c>
      <c r="AX9" s="739"/>
      <c r="AY9" s="738" t="s">
        <v>288</v>
      </c>
      <c r="AZ9" s="739"/>
      <c r="BA9" s="740" t="s">
        <v>289</v>
      </c>
      <c r="BB9" s="740"/>
      <c r="BC9" s="738" t="s">
        <v>290</v>
      </c>
      <c r="BD9" s="740"/>
      <c r="BE9" s="741"/>
      <c r="BF9" s="742"/>
      <c r="BG9" s="727" t="s">
        <v>291</v>
      </c>
      <c r="BH9" s="1097"/>
      <c r="BI9" s="1097"/>
      <c r="BJ9" s="1097"/>
      <c r="BK9" s="1097"/>
      <c r="BL9" s="1098"/>
      <c r="BM9" s="1098"/>
      <c r="BN9" s="1098"/>
      <c r="BO9" s="719"/>
    </row>
    <row r="10" spans="2:73" ht="27" customHeight="1" thickBot="1" x14ac:dyDescent="0.3">
      <c r="B10" s="1124" t="s">
        <v>292</v>
      </c>
      <c r="C10" s="1125"/>
      <c r="D10" s="1125"/>
      <c r="E10" s="1125"/>
      <c r="F10" s="1126"/>
      <c r="G10" s="743" t="s">
        <v>293</v>
      </c>
      <c r="H10" s="744" t="s">
        <v>294</v>
      </c>
      <c r="I10" s="745" t="s">
        <v>295</v>
      </c>
      <c r="J10" s="746" t="s">
        <v>296</v>
      </c>
      <c r="K10" s="747" t="s">
        <v>297</v>
      </c>
      <c r="L10" s="1127" t="s">
        <v>298</v>
      </c>
      <c r="M10" s="1125"/>
      <c r="N10" s="1125"/>
      <c r="O10" s="1125"/>
      <c r="P10" s="1125"/>
      <c r="Q10" s="1125"/>
      <c r="R10" s="1128"/>
      <c r="S10" s="714"/>
      <c r="T10" s="748" t="s">
        <v>299</v>
      </c>
      <c r="U10" s="748"/>
      <c r="V10" s="748" t="s">
        <v>300</v>
      </c>
      <c r="W10" s="748" t="s">
        <v>301</v>
      </c>
      <c r="X10" s="748" t="s">
        <v>302</v>
      </c>
      <c r="Y10" s="748" t="s">
        <v>303</v>
      </c>
      <c r="Z10" s="748" t="s">
        <v>304</v>
      </c>
      <c r="AA10" s="748" t="s">
        <v>305</v>
      </c>
      <c r="AB10" s="748" t="s">
        <v>306</v>
      </c>
      <c r="AC10" s="748" t="s">
        <v>307</v>
      </c>
      <c r="AD10" s="748" t="s">
        <v>308</v>
      </c>
      <c r="AE10" s="748" t="s">
        <v>309</v>
      </c>
      <c r="AF10" s="748" t="s">
        <v>310</v>
      </c>
      <c r="AG10" s="748" t="s">
        <v>311</v>
      </c>
      <c r="AH10" s="748" t="s">
        <v>312</v>
      </c>
      <c r="AI10" s="749" t="s">
        <v>313</v>
      </c>
      <c r="AJ10" s="750" t="s">
        <v>314</v>
      </c>
      <c r="AK10" s="751" t="s">
        <v>315</v>
      </c>
      <c r="AL10" s="751" t="s">
        <v>316</v>
      </c>
      <c r="AM10" s="751" t="s">
        <v>317</v>
      </c>
      <c r="AN10" s="751" t="s">
        <v>318</v>
      </c>
      <c r="AO10" s="750" t="s">
        <v>319</v>
      </c>
      <c r="AP10" s="750" t="s">
        <v>320</v>
      </c>
      <c r="AQ10" s="752" t="s">
        <v>321</v>
      </c>
      <c r="AR10" s="753" t="s">
        <v>1</v>
      </c>
      <c r="AS10" s="752" t="s">
        <v>322</v>
      </c>
      <c r="AT10" s="753" t="s">
        <v>1</v>
      </c>
      <c r="AU10" s="752" t="s">
        <v>323</v>
      </c>
      <c r="AV10" s="754" t="s">
        <v>324</v>
      </c>
      <c r="AW10" s="755" t="s">
        <v>325</v>
      </c>
      <c r="AX10" s="756" t="s">
        <v>326</v>
      </c>
      <c r="AY10" s="755" t="s">
        <v>327</v>
      </c>
      <c r="AZ10" s="756" t="s">
        <v>328</v>
      </c>
      <c r="BA10" s="757" t="s">
        <v>329</v>
      </c>
      <c r="BB10" s="757" t="s">
        <v>330</v>
      </c>
      <c r="BC10" s="758" t="s">
        <v>331</v>
      </c>
      <c r="BD10" s="759" t="s">
        <v>332</v>
      </c>
      <c r="BE10" s="760" t="s">
        <v>333</v>
      </c>
      <c r="BF10" s="761" t="s">
        <v>334</v>
      </c>
      <c r="BG10" s="718"/>
      <c r="BH10" s="718" t="s">
        <v>335</v>
      </c>
      <c r="BI10" s="718" t="s">
        <v>336</v>
      </c>
      <c r="BJ10" s="748" t="s">
        <v>337</v>
      </c>
      <c r="BK10" s="718" t="s">
        <v>338</v>
      </c>
      <c r="BL10" s="718" t="s">
        <v>335</v>
      </c>
      <c r="BM10" s="718" t="s">
        <v>336</v>
      </c>
      <c r="BN10" s="718" t="s">
        <v>338</v>
      </c>
    </row>
    <row r="11" spans="2:73" ht="12.95" customHeight="1" x14ac:dyDescent="0.25">
      <c r="B11" s="762" t="str">
        <f>IF(ISNA(Z11),"",IF(OR(Z11=1,Z11=2),"",1))</f>
        <v/>
      </c>
      <c r="C11" s="1129" t="str">
        <f t="shared" ref="C11:C39" si="0">IF(ISNA(Z11),"",CONCATENATE($U11,IF(ISNUMBER(AI11),TEXT(ROUND($AI11,3)," (0.0%)"),""),IF(AU11&gt;0," Bonus","")))</f>
        <v>Structure &amp; Logic (30.0%)</v>
      </c>
      <c r="D11" s="1129"/>
      <c r="E11" s="1129"/>
      <c r="F11" s="1130"/>
      <c r="G11" s="763" t="str">
        <f t="shared" ref="G11:G42" si="1">BH11</f>
        <v/>
      </c>
      <c r="H11" s="764" t="str">
        <f t="shared" ref="H11:I42" si="2">BJ11</f>
        <v/>
      </c>
      <c r="I11" s="765" t="str">
        <f t="shared" si="2"/>
        <v/>
      </c>
      <c r="J11" s="766"/>
      <c r="K11" s="767"/>
      <c r="L11" s="1131"/>
      <c r="M11" s="1132"/>
      <c r="N11" s="1132"/>
      <c r="O11" s="1132"/>
      <c r="P11" s="1132"/>
      <c r="Q11" s="1132"/>
      <c r="R11" s="1133"/>
      <c r="T11" s="716">
        <v>1</v>
      </c>
      <c r="U11" s="716" t="s">
        <v>967</v>
      </c>
      <c r="V11" s="768" t="s">
        <v>340</v>
      </c>
      <c r="W11" s="768" t="s">
        <v>340</v>
      </c>
      <c r="X11" s="768" t="s">
        <v>340</v>
      </c>
      <c r="Y11" s="768" t="s">
        <v>340</v>
      </c>
      <c r="Z11" s="768">
        <v>2</v>
      </c>
      <c r="AA11" s="768">
        <v>1</v>
      </c>
      <c r="AB11" s="768">
        <v>1</v>
      </c>
      <c r="AC11" s="768" t="s">
        <v>340</v>
      </c>
      <c r="AD11" s="768" t="s">
        <v>340</v>
      </c>
      <c r="AE11" s="768" t="s">
        <v>340</v>
      </c>
      <c r="AF11" s="768" t="s">
        <v>340</v>
      </c>
      <c r="AG11" s="768" t="str">
        <f t="shared" ref="AG11:AG42" si="3">IF(CrewSoloQual="Yes",$AC11,$AD11)</f>
        <v/>
      </c>
      <c r="AH11" s="768" t="str">
        <f t="shared" ref="AH11:AH42" si="4">IF(ISNUMBER(AC11),IF(CrewSoloQual="Yes",$AC11-1,$AD11-1),"")</f>
        <v/>
      </c>
      <c r="AI11" s="769">
        <f>IF(NOT(OR(Z11=1,Z11=2)),IF(AQ11&gt;0,$AR$47*AQ11/SUMIF($AQ$11:$AQ$42,"&gt;0"),IF(AU11&gt;0,$AV$47*AU11/SUMIF($AU$11:$AU$42,"&gt;0"),IF(AS11&gt;0,$AT$47*AS11/SUMIF($AS$11:$AS$42,"&gt;0"),""))),IF(SUMIF(AJ12:$AJ$42,"=" &amp; AJ11,AI12:$AI$42)=0,"",SUMIF(AJ12:$AJ$42,"=" &amp; AJ11,AI12:$AI$42)))</f>
        <v>0.30000110736419827</v>
      </c>
      <c r="AJ11" s="770">
        <f>0</f>
        <v>0</v>
      </c>
      <c r="AK11" s="768" t="str">
        <f>BI11</f>
        <v/>
      </c>
      <c r="AL11" s="768" t="str">
        <f>IF(ISBLANK(K11),"",K11)</f>
        <v/>
      </c>
      <c r="AM11" s="768" t="str">
        <f>IF(ISNUMBER(AK11),IF(ISNUMBER(AL11),1,""),"")</f>
        <v/>
      </c>
      <c r="AN11" s="768" t="str">
        <f t="shared" ref="AN11:AN39" si="5">IF(ISNUMBER(AH11),IF(AND(AB11=0,ISNUMBER(AC11),ISNUMBER(AL11)),1,""),"")</f>
        <v/>
      </c>
      <c r="AO11" s="768" t="str">
        <f t="shared" ref="AO11:AO42" si="6">IF(AB11=0,IF(CrewSoloQual="No",BI11,BK11),"")</f>
        <v/>
      </c>
      <c r="AP11" s="768" t="str">
        <f t="shared" ref="AP11:AP42" si="7">IF(ISNA(Z11),"",IF(AND(ISNUMBER(B11),G11&gt;=1,H11&lt;&gt;"NG"),IF(K11&lt;BK11,TRUE,FALSE),IF(AND(G11&gt;=1,J11="NA"),TRUE,IF(AND(AM11=1,G11=0,AL11&lt;BI11),TRUE,""))))</f>
        <v/>
      </c>
      <c r="AQ11" s="771">
        <f>IF(ISNA(Z11),0,IF(OR(J11="NA",W11="",AB11=0),0,W11))</f>
        <v>0</v>
      </c>
      <c r="AR11" s="772" t="str">
        <f t="shared" ref="AR11:AR42" si="8">IF(ISNA(Z11),"",IF(AND(NOT(OR(Z11=1,Z11=2,AK11="NG",AB11=0)),IF(ISNUMBER(AL11),AL11&gt;=0,FALSE)),VLOOKUP((10*AD11+AC11),$AQ$53:$AV$61,2+AL11,FALSE),IF(AND(input_test=TRUE,ISNUMBER(AD11),V11&lt;&gt;0),VLOOKUP((10*AD11+AC11),$AQ$53:$AV$61,2,FALSE),"")))</f>
        <v/>
      </c>
      <c r="AS11" s="773">
        <f>IF(ISNA(Z11),0,IF(OR(J11="NA",X11="",AB11=1),0,X11))</f>
        <v>0</v>
      </c>
      <c r="AT11" s="772" t="str">
        <f t="shared" ref="AT11:AT42" si="9">IF(ISNA(Z11),"",IF(AND(NOT(OR(Z11=1,Z11=2,AK11="NG",AB11=1)),IF(ISNUMBER(AL11),AL11&gt;=0,FALSE)),VLOOKUP((10*AH11+AG11),$AQ$53:$AV$61,2+AL11,FALSE),IF(AND(input_test=TRUE,ISNUMBER(AD11),V11&lt;&gt;0),VLOOKUP((10*AH11+AG11),$AQ$53:$AV$61,2,FALSE),"")))</f>
        <v/>
      </c>
      <c r="AU11" s="774">
        <f t="shared" ref="AU11:AU42" si="10">IF(ISNA(Z11),0,IF(OR(J11="NA",Y11=""),0,Y11))</f>
        <v>0</v>
      </c>
      <c r="AV11" s="775" t="str">
        <f t="shared" ref="AV11:AV42" si="11">AR11</f>
        <v/>
      </c>
      <c r="AW11" s="774" t="b">
        <f t="shared" ref="AW11:AW42" si="12">IF(ISNA(Z11),FALSE,IF(OR(AB11=1,G11=0,Z11=1,Z11=2),FALSE,IF(OR(J11="NA",J11&gt;=G11),FALSE,TRUE)))</f>
        <v>0</v>
      </c>
      <c r="AX11" s="776" t="b">
        <f t="shared" ref="AX11:AX42" si="13">IF(ISNA(Z11),FALSE,IF(OR(AB11=0,G11=0,Z11=1,Z11=2,J11="NA"),FALSE,IF(AK11="NG",IF(NOT(ISBLANK(K11)),FALSE,TRUE),IF(J11&gt;=G11,FALSE,TRUE))))</f>
        <v>0</v>
      </c>
      <c r="AY11" s="774" t="b">
        <f t="shared" ref="AY11:AY42" si="14">IF(ISNA(Z11),FALSE,IF(OR(AB11=1,G11&lt;1,Z11=1,Z11=2,AE11=0,ISBLANK(K11)),FALSE,IF(OR(J11="NA",K11&gt;=BI11),FALSE,TRUE)))</f>
        <v>0</v>
      </c>
      <c r="AZ11" s="776" t="b">
        <f t="shared" ref="AZ11:AZ42" si="15">IF(ISNA(Z11),FALSE,IF(OR(AB11=0,G11=0,Z11=1,Z11=2,AE11=0,BI11="NG",K11="",ISBLANK(K11)),FALSE,IF(OR(J11="NA",K11&gt;=AK11),FALSE,TRUE)))</f>
        <v>0</v>
      </c>
      <c r="BA11" s="768" t="b">
        <f t="shared" ref="BA11:BA42" si="16">IF(ISNA(Z11),FALSE,IF(OR(AB11=1,G11&lt;1,Z11=1,Z11=2,AE11=0),FALSE,IF(J11="NA",TRUE,FALSE)))</f>
        <v>0</v>
      </c>
      <c r="BB11" s="768" t="b">
        <f t="shared" ref="BB11:BB42" si="17">IF(ISNA(Z11),FALSE,IF(OR(AB11=0,G11=0,Z11=1,Z11=2),FALSE,IF(J11="NA",TRUE,FALSE)))</f>
        <v>0</v>
      </c>
      <c r="BC11" s="774" t="b">
        <f t="shared" ref="BC11:BC42" si="18">IF(OR(ISNA($Z11),ISNUMBER($Z11),NOT(ISNUMBER($J11)),K11="D"),FALSE,IF(AND(NOT(ISNUMBER($K11)),J11&gt;0),TRUE,FALSE))</f>
        <v>0</v>
      </c>
      <c r="BD11" s="777" t="b">
        <f>IF(OR(ISNA($Z11),ISNUMBER($Z11),NOT(ISNUMBER(K11))),FALSE,OR(NOT(ISNUMBER(J11)),J11=0,AND(J11=0,K11&lt;&gt;0)))</f>
        <v>0</v>
      </c>
      <c r="BE11" s="776" t="b">
        <f t="shared" ref="BE11:BE24" si="19">IF(OR(ISNA($Z11),K11&lt;&gt;"D"),FALSE,IF(OR(AND(H11="NG",J11=0),AND(H11&lt;&gt;"NG",NOT(OR(J11="NA",J11=0)))),TRUE,FALSE))</f>
        <v>0</v>
      </c>
      <c r="BF11" s="778" t="b">
        <f t="shared" ref="BF11:BF33" si="20">IF(OR(ISNA($Z11),H11&lt;&gt;"NG"),FALSE,IF(AND(J11="NA",K11&lt;&gt;""),TRUE,FALSE))</f>
        <v>0</v>
      </c>
      <c r="BG11" s="779" t="b">
        <f t="shared" ref="BG11:BG24" si="21">IF(ISNA($Z11),"NA",IF(OR(AZ11,AY11,AX11,AW11,AP11,BA11,BB11),TRUE,FALSE))</f>
        <v>0</v>
      </c>
      <c r="BH11" s="780" t="str">
        <f>IF(ISNA($Z11),"",IF(OR($Z11=1,$Z11=2),"",$V11))</f>
        <v/>
      </c>
      <c r="BI11" s="779" t="str">
        <f t="shared" ref="BI11:BI42" si="22">IF(ISNA($Z11),"",IF(OR($Z11=1,$Z11=2,$G11=""),"",IF(AB11=0,AH11,$AD11)))</f>
        <v/>
      </c>
      <c r="BJ11" s="779" t="str">
        <f t="shared" ref="BJ11:BJ42" si="23">IF(ISNA(AE11),"",IF(OR(Z11=1,Z11=2),"",IF(OR(AE11=0,AD11="NG"),TEXT(BI11,"0"),CONCATENATE(TEXT(BI11,"0"),"*"))))</f>
        <v/>
      </c>
      <c r="BK11" s="779" t="str">
        <f t="shared" ref="BK11:BK42" si="24">IF(ISNA($Z11),"",IF(OR($Z11=1,$Z11=2,$G11=""),"",IF(AB11=0,AG11,$AC11)))</f>
        <v/>
      </c>
      <c r="BL11" s="780" t="str">
        <f>IF(ISBLANK(BH11),"",IF(BH11=0,"",BH11))</f>
        <v/>
      </c>
      <c r="BM11" s="779" t="str">
        <f t="shared" ref="BM11:BM42" si="25">IF($BH11=0,"",IF($BI11="NG","D",$BI11))</f>
        <v/>
      </c>
      <c r="BN11" s="779" t="str">
        <f t="shared" ref="BN11:BN42" si="26">IF(ISNA(U11),"",IF($BH11=0,"",IF($BI11="NG","D",BK11)))</f>
        <v/>
      </c>
      <c r="BO11" s="781" t="s">
        <v>341</v>
      </c>
      <c r="BP11" s="782"/>
    </row>
    <row r="12" spans="2:73" s="731" customFormat="1" ht="12.95" customHeight="1" x14ac:dyDescent="0.25">
      <c r="B12" s="783">
        <f>IF(ISNA(Z12),"",IF(OR(Z12=1,Z12=2),"    ",MAX($B$11:B11)+1))</f>
        <v>1</v>
      </c>
      <c r="C12" s="1116" t="str">
        <f t="shared" si="0"/>
        <v xml:space="preserve">      - Executive Summary (8.0%)</v>
      </c>
      <c r="D12" s="1116"/>
      <c r="E12" s="1116"/>
      <c r="F12" s="1117"/>
      <c r="G12" s="763">
        <f t="shared" si="1"/>
        <v>1</v>
      </c>
      <c r="H12" s="764" t="str">
        <f t="shared" si="2"/>
        <v>2*</v>
      </c>
      <c r="I12" s="784">
        <f t="shared" si="2"/>
        <v>3</v>
      </c>
      <c r="J12" s="785"/>
      <c r="K12" s="786"/>
      <c r="L12" s="1134"/>
      <c r="M12" s="1135"/>
      <c r="N12" s="1135"/>
      <c r="O12" s="1135"/>
      <c r="P12" s="1135"/>
      <c r="Q12" s="1135"/>
      <c r="R12" s="1136"/>
      <c r="T12" s="727">
        <v>2</v>
      </c>
      <c r="U12" s="716" t="s">
        <v>601</v>
      </c>
      <c r="V12" s="768">
        <v>1</v>
      </c>
      <c r="W12" s="768">
        <v>2.6666660000000002</v>
      </c>
      <c r="X12" s="768" t="s">
        <v>340</v>
      </c>
      <c r="Y12" s="768" t="s">
        <v>340</v>
      </c>
      <c r="Z12" s="777" t="s">
        <v>340</v>
      </c>
      <c r="AA12" s="777">
        <v>2</v>
      </c>
      <c r="AB12" s="777">
        <v>1</v>
      </c>
      <c r="AC12" s="768">
        <v>3</v>
      </c>
      <c r="AD12" s="768">
        <v>2</v>
      </c>
      <c r="AE12" s="768">
        <v>1</v>
      </c>
      <c r="AF12" s="768" t="b">
        <v>1</v>
      </c>
      <c r="AG12" s="768">
        <f t="shared" si="3"/>
        <v>2</v>
      </c>
      <c r="AH12" s="768">
        <f t="shared" si="4"/>
        <v>1</v>
      </c>
      <c r="AI12" s="769">
        <f>IF(NOT(OR(Z12=1,Z12=2)),IF(AQ12&gt;0,$AR$47*AQ12/SUMIF($AQ$11:$AQ$42,"&gt;0"),IF(AU12&gt;0,$AV$47*AU12/SUMIF($AU$11:$AU$42,"&gt;0"),IF(AS12&gt;0,$AT$47*AS12/SUMIF($AS$11:$AS$42,"&gt;0"),""))),IF(SUMIF(AJ13:$AJ$42,"=" &amp; AJ12,AI13:$AI$42)=0,"",SUMIF(AJ13:$AJ$42,"=" &amp; AJ12,AI13:$AI$42)))</f>
        <v>8.0000283297074051E-2</v>
      </c>
      <c r="AJ12" s="770">
        <f>IF(OR(Z12=1,Z12=2,AA12&lt;AA11),AJ11+1,AJ11)</f>
        <v>0</v>
      </c>
      <c r="AK12" s="768">
        <f t="shared" ref="AK12:AK42" si="27">BI12</f>
        <v>2</v>
      </c>
      <c r="AL12" s="777" t="str">
        <f t="shared" ref="AL12:AL42" si="28">IF(ISBLANK(K12),"",K12)</f>
        <v/>
      </c>
      <c r="AM12" s="777" t="str">
        <f>IF(ISNUMBER(AK12),IF(ISNUMBER(AL12),1,""),"")</f>
        <v/>
      </c>
      <c r="AN12" s="777" t="str">
        <f t="shared" si="5"/>
        <v/>
      </c>
      <c r="AO12" s="777" t="str">
        <f t="shared" si="6"/>
        <v/>
      </c>
      <c r="AP12" s="768" t="b">
        <f>IF(ISNA(Z12),"",IF(AND(ISNUMBER(B12),G12&gt;=1,H12&lt;&gt;"NG"),IF(K12&lt;BK12,TRUE,FALSE),IF(AND(G12&gt;=1,J12="NA"),TRUE,IF(AND(AM12=1,G12=0,AL12&lt;BI12),TRUE,""))))</f>
        <v>1</v>
      </c>
      <c r="AQ12" s="771">
        <f t="shared" ref="AQ12:AQ42" si="29">IF(ISNA(Z12),0,IF(OR(J12="NA",W12="",AB12=0),0,W12))</f>
        <v>2.6666660000000002</v>
      </c>
      <c r="AR12" s="772" t="str">
        <f>IF(ISNA(Z12),"",IF(AND(NOT(OR(Z12=1,Z12=2,AK12="NG",AB12=0)),IF(ISNUMBER(AL12),AL12&gt;=0,FALSE)),VLOOKUP((10*AD12+AC12),$AQ$53:$AV$61,2+AL12,FALSE),IF(AND(input_test=TRUE,ISNUMBER(AD12),V12&lt;&gt;0),VLOOKUP((10*AD12+AC12),$AQ$53:$AV$61,2,FALSE),"")))</f>
        <v/>
      </c>
      <c r="AS12" s="773">
        <f t="shared" ref="AS12:AS42" si="30">IF(ISNA(Z12),0,IF(OR(J12="NA",X12="",AB12=1),0,X12))</f>
        <v>0</v>
      </c>
      <c r="AT12" s="772" t="str">
        <f>IF(ISNA(Z12),"",IF(AND(NOT(OR(Z12=1,Z12=2,AK12="NG",AB12=1)),IF(ISNUMBER(AL12),AL12&gt;=0,FALSE)),VLOOKUP((10*AH12+AG12),$AQ$53:$AV$61,2+AL12,FALSE),IF(AND(input_test=TRUE,ISNUMBER(AD12),V12&lt;&gt;0),VLOOKUP((10*AH12+AG12),$AQ$53:$AV$61,2,FALSE),"")))</f>
        <v/>
      </c>
      <c r="AU12" s="774">
        <f t="shared" si="10"/>
        <v>0</v>
      </c>
      <c r="AV12" s="775" t="str">
        <f t="shared" si="11"/>
        <v/>
      </c>
      <c r="AW12" s="774" t="b">
        <f t="shared" si="12"/>
        <v>0</v>
      </c>
      <c r="AX12" s="776" t="b">
        <f t="shared" si="13"/>
        <v>1</v>
      </c>
      <c r="AY12" s="774" t="b">
        <f t="shared" si="14"/>
        <v>0</v>
      </c>
      <c r="AZ12" s="776" t="b">
        <f t="shared" si="15"/>
        <v>0</v>
      </c>
      <c r="BA12" s="768" t="b">
        <f t="shared" si="16"/>
        <v>0</v>
      </c>
      <c r="BB12" s="768" t="b">
        <f t="shared" si="17"/>
        <v>0</v>
      </c>
      <c r="BC12" s="774" t="b">
        <f t="shared" si="18"/>
        <v>0</v>
      </c>
      <c r="BD12" s="777" t="b">
        <f t="shared" ref="BD12:BD42" si="31">IF(OR(ISNA($Z12),ISNUMBER($Z12),NOT(ISNUMBER(K12))),FALSE,OR(NOT(ISNUMBER(J12)),J12=0,AND(J12=0,K12&lt;&gt;0)))</f>
        <v>0</v>
      </c>
      <c r="BE12" s="776" t="b">
        <f t="shared" si="19"/>
        <v>0</v>
      </c>
      <c r="BF12" s="778" t="b">
        <f t="shared" si="20"/>
        <v>0</v>
      </c>
      <c r="BG12" s="779" t="b">
        <f t="shared" si="21"/>
        <v>1</v>
      </c>
      <c r="BH12" s="779">
        <f t="shared" ref="BH12:BH42" si="32">IF(ISNA($Z12),"",IF(OR($Z12=1,$Z12=2),"",$V12))</f>
        <v>1</v>
      </c>
      <c r="BI12" s="779">
        <f t="shared" si="22"/>
        <v>2</v>
      </c>
      <c r="BJ12" s="779" t="str">
        <f t="shared" si="23"/>
        <v>2*</v>
      </c>
      <c r="BK12" s="779">
        <f t="shared" si="24"/>
        <v>3</v>
      </c>
      <c r="BL12" s="780">
        <f t="shared" ref="BL12:BL42" si="33">IF(ISBLANK(BH12),"",IF(BH12=0,"",BH12))</f>
        <v>1</v>
      </c>
      <c r="BM12" s="779">
        <f t="shared" si="25"/>
        <v>2</v>
      </c>
      <c r="BN12" s="779">
        <f t="shared" si="26"/>
        <v>3</v>
      </c>
      <c r="BO12" s="787" t="s">
        <v>343</v>
      </c>
      <c r="BP12" s="788" t="s">
        <v>265</v>
      </c>
    </row>
    <row r="13" spans="2:73" s="731" customFormat="1" ht="12.95" customHeight="1" x14ac:dyDescent="0.25">
      <c r="B13" s="783">
        <f>IF(ISNA(Z13),"",IF(OR(Z13=1,Z13=2),"    ",MAX($B$11:B12)+1))</f>
        <v>2</v>
      </c>
      <c r="C13" s="1116" t="str">
        <f t="shared" si="0"/>
        <v xml:space="preserve">      - Report Org. &amp; Structure (10.0%)</v>
      </c>
      <c r="D13" s="1116"/>
      <c r="E13" s="1116"/>
      <c r="F13" s="1117"/>
      <c r="G13" s="763">
        <f t="shared" si="1"/>
        <v>1</v>
      </c>
      <c r="H13" s="764" t="str">
        <f t="shared" si="2"/>
        <v>2*</v>
      </c>
      <c r="I13" s="784">
        <f t="shared" si="2"/>
        <v>3</v>
      </c>
      <c r="J13" s="789"/>
      <c r="K13" s="786"/>
      <c r="L13" s="1134"/>
      <c r="M13" s="1135"/>
      <c r="N13" s="1135"/>
      <c r="O13" s="1135"/>
      <c r="P13" s="1135"/>
      <c r="Q13" s="1135"/>
      <c r="R13" s="1136"/>
      <c r="T13" s="727">
        <v>3</v>
      </c>
      <c r="U13" s="716" t="s">
        <v>994</v>
      </c>
      <c r="V13" s="768">
        <v>1</v>
      </c>
      <c r="W13" s="768">
        <v>3.3333330000000001</v>
      </c>
      <c r="X13" s="768" t="s">
        <v>340</v>
      </c>
      <c r="Y13" s="768" t="s">
        <v>340</v>
      </c>
      <c r="Z13" s="777" t="s">
        <v>340</v>
      </c>
      <c r="AA13" s="777">
        <v>2</v>
      </c>
      <c r="AB13" s="777">
        <v>1</v>
      </c>
      <c r="AC13" s="768">
        <v>3</v>
      </c>
      <c r="AD13" s="768">
        <v>2</v>
      </c>
      <c r="AE13" s="768">
        <v>1</v>
      </c>
      <c r="AF13" s="768" t="b">
        <v>1</v>
      </c>
      <c r="AG13" s="768">
        <f t="shared" si="3"/>
        <v>2</v>
      </c>
      <c r="AH13" s="768">
        <f t="shared" si="4"/>
        <v>1</v>
      </c>
      <c r="AI13" s="769">
        <f>IF(NOT(OR(Z13=1,Z13=2)),IF(AQ13&gt;0,$AR$47*AQ13/SUMIF($AQ$11:$AQ$42,"&gt;0"),IF(AU13&gt;0,$AV$47*AU13/SUMIF($AU$11:$AU$42,"&gt;0"),IF(AS13&gt;0,$AT$47*AS13/SUMIF($AS$11:$AS$42,"&gt;0"),""))),IF(SUMIF(AJ14:$AJ$42,"=" &amp; AJ13,AI14:$AI$42)=0,"",SUMIF(AJ14:$AJ$42,"=" &amp; AJ13,AI14:$AI$42)))</f>
        <v>0.10000036912139942</v>
      </c>
      <c r="AJ13" s="770">
        <f t="shared" ref="AJ13:AJ42" si="34">IF(OR(Z13=1,Z13=2,AA13&lt;AA12),AJ12+1,AJ12)</f>
        <v>0</v>
      </c>
      <c r="AK13" s="768">
        <f t="shared" si="27"/>
        <v>2</v>
      </c>
      <c r="AL13" s="777" t="str">
        <f t="shared" si="28"/>
        <v/>
      </c>
      <c r="AM13" s="777" t="str">
        <f t="shared" ref="AM13:AM42" si="35">IF(ISNUMBER(AK13),IF(ISNUMBER(AL13),1,""),"")</f>
        <v/>
      </c>
      <c r="AN13" s="777" t="str">
        <f t="shared" si="5"/>
        <v/>
      </c>
      <c r="AO13" s="777" t="str">
        <f t="shared" si="6"/>
        <v/>
      </c>
      <c r="AP13" s="768" t="b">
        <f t="shared" si="7"/>
        <v>1</v>
      </c>
      <c r="AQ13" s="771">
        <f t="shared" si="29"/>
        <v>3.3333330000000001</v>
      </c>
      <c r="AR13" s="772" t="str">
        <f t="shared" si="8"/>
        <v/>
      </c>
      <c r="AS13" s="773">
        <f t="shared" si="30"/>
        <v>0</v>
      </c>
      <c r="AT13" s="772" t="str">
        <f t="shared" si="9"/>
        <v/>
      </c>
      <c r="AU13" s="774">
        <f t="shared" si="10"/>
        <v>0</v>
      </c>
      <c r="AV13" s="775" t="str">
        <f t="shared" si="11"/>
        <v/>
      </c>
      <c r="AW13" s="774" t="b">
        <f t="shared" si="12"/>
        <v>0</v>
      </c>
      <c r="AX13" s="776" t="b">
        <f t="shared" si="13"/>
        <v>1</v>
      </c>
      <c r="AY13" s="774" t="b">
        <f t="shared" si="14"/>
        <v>0</v>
      </c>
      <c r="AZ13" s="776" t="b">
        <f t="shared" si="15"/>
        <v>0</v>
      </c>
      <c r="BA13" s="768" t="b">
        <f t="shared" si="16"/>
        <v>0</v>
      </c>
      <c r="BB13" s="768" t="b">
        <f t="shared" si="17"/>
        <v>0</v>
      </c>
      <c r="BC13" s="774" t="b">
        <f t="shared" si="18"/>
        <v>0</v>
      </c>
      <c r="BD13" s="777" t="b">
        <f t="shared" si="31"/>
        <v>0</v>
      </c>
      <c r="BE13" s="776" t="b">
        <f t="shared" si="19"/>
        <v>0</v>
      </c>
      <c r="BF13" s="778" t="b">
        <f t="shared" si="20"/>
        <v>0</v>
      </c>
      <c r="BG13" s="779" t="b">
        <f t="shared" si="21"/>
        <v>1</v>
      </c>
      <c r="BH13" s="779">
        <f t="shared" si="32"/>
        <v>1</v>
      </c>
      <c r="BI13" s="779">
        <f t="shared" si="22"/>
        <v>2</v>
      </c>
      <c r="BJ13" s="779" t="str">
        <f t="shared" si="23"/>
        <v>2*</v>
      </c>
      <c r="BK13" s="779">
        <f t="shared" si="24"/>
        <v>3</v>
      </c>
      <c r="BL13" s="780">
        <f t="shared" si="33"/>
        <v>1</v>
      </c>
      <c r="BM13" s="779">
        <f t="shared" si="25"/>
        <v>2</v>
      </c>
      <c r="BN13" s="779">
        <f t="shared" si="26"/>
        <v>3</v>
      </c>
      <c r="BO13" s="787">
        <v>0</v>
      </c>
      <c r="BP13" s="788" t="s">
        <v>465</v>
      </c>
    </row>
    <row r="14" spans="2:73" s="731" customFormat="1" ht="12.95" customHeight="1" x14ac:dyDescent="0.25">
      <c r="B14" s="783">
        <f>IF(ISNA(Z14),"",IF(OR(Z14=1,Z14=2),"    ",MAX($B$11:B13)+1))</f>
        <v>3</v>
      </c>
      <c r="C14" s="1116" t="str">
        <f t="shared" si="0"/>
        <v xml:space="preserve">      - Logical Chain of Reasoning (12.0%)</v>
      </c>
      <c r="D14" s="1116"/>
      <c r="E14" s="1116"/>
      <c r="F14" s="1117"/>
      <c r="G14" s="763">
        <f t="shared" si="1"/>
        <v>1</v>
      </c>
      <c r="H14" s="764" t="str">
        <f t="shared" si="2"/>
        <v>2*</v>
      </c>
      <c r="I14" s="784">
        <f t="shared" si="2"/>
        <v>3</v>
      </c>
      <c r="J14" s="789"/>
      <c r="K14" s="786"/>
      <c r="L14" s="1134"/>
      <c r="M14" s="1135"/>
      <c r="N14" s="1135"/>
      <c r="O14" s="1135"/>
      <c r="P14" s="1135"/>
      <c r="Q14" s="1135"/>
      <c r="R14" s="1136"/>
      <c r="T14" s="727">
        <v>4</v>
      </c>
      <c r="U14" s="716" t="s">
        <v>969</v>
      </c>
      <c r="V14" s="768">
        <v>1</v>
      </c>
      <c r="W14" s="768">
        <v>4</v>
      </c>
      <c r="X14" s="768" t="s">
        <v>340</v>
      </c>
      <c r="Y14" s="768" t="s">
        <v>340</v>
      </c>
      <c r="Z14" s="777" t="s">
        <v>340</v>
      </c>
      <c r="AA14" s="777">
        <v>2</v>
      </c>
      <c r="AB14" s="777">
        <v>1</v>
      </c>
      <c r="AC14" s="768">
        <v>3</v>
      </c>
      <c r="AD14" s="768">
        <v>2</v>
      </c>
      <c r="AE14" s="768">
        <v>1</v>
      </c>
      <c r="AF14" s="768" t="b">
        <v>1</v>
      </c>
      <c r="AG14" s="768">
        <f t="shared" si="3"/>
        <v>2</v>
      </c>
      <c r="AH14" s="768">
        <f t="shared" si="4"/>
        <v>1</v>
      </c>
      <c r="AI14" s="769">
        <f>IF(NOT(OR(Z14=1,Z14=2)),IF(AQ14&gt;0,$AR$47*AQ14/SUMIF($AQ$11:$AQ$42,"&gt;0"),IF(AU14&gt;0,$AV$47*AU14/SUMIF($AU$11:$AU$42,"&gt;0"),IF(AS14&gt;0,$AT$47*AS14/SUMIF($AS$11:$AS$42,"&gt;0"),""))),IF(SUMIF(AJ15:$AJ$42,"=" &amp; AJ14,AI15:$AI$42)=0,"",SUMIF(AJ15:$AJ$42,"=" &amp; AJ14,AI15:$AI$42)))</f>
        <v>0.1200004549457248</v>
      </c>
      <c r="AJ14" s="770">
        <f t="shared" si="34"/>
        <v>0</v>
      </c>
      <c r="AK14" s="768">
        <f t="shared" si="27"/>
        <v>2</v>
      </c>
      <c r="AL14" s="777" t="str">
        <f t="shared" si="28"/>
        <v/>
      </c>
      <c r="AM14" s="777" t="str">
        <f t="shared" si="35"/>
        <v/>
      </c>
      <c r="AN14" s="777" t="str">
        <f t="shared" si="5"/>
        <v/>
      </c>
      <c r="AO14" s="777" t="str">
        <f t="shared" si="6"/>
        <v/>
      </c>
      <c r="AP14" s="768" t="b">
        <f t="shared" si="7"/>
        <v>1</v>
      </c>
      <c r="AQ14" s="771">
        <f t="shared" si="29"/>
        <v>4</v>
      </c>
      <c r="AR14" s="772" t="str">
        <f t="shared" si="8"/>
        <v/>
      </c>
      <c r="AS14" s="773">
        <f t="shared" si="30"/>
        <v>0</v>
      </c>
      <c r="AT14" s="772" t="str">
        <f t="shared" si="9"/>
        <v/>
      </c>
      <c r="AU14" s="774">
        <f t="shared" si="10"/>
        <v>0</v>
      </c>
      <c r="AV14" s="775" t="str">
        <f t="shared" si="11"/>
        <v/>
      </c>
      <c r="AW14" s="774" t="b">
        <f t="shared" si="12"/>
        <v>0</v>
      </c>
      <c r="AX14" s="776" t="b">
        <f t="shared" si="13"/>
        <v>1</v>
      </c>
      <c r="AY14" s="774" t="b">
        <f t="shared" si="14"/>
        <v>0</v>
      </c>
      <c r="AZ14" s="776" t="b">
        <f t="shared" si="15"/>
        <v>0</v>
      </c>
      <c r="BA14" s="768" t="b">
        <f t="shared" si="16"/>
        <v>0</v>
      </c>
      <c r="BB14" s="768" t="b">
        <f t="shared" si="17"/>
        <v>0</v>
      </c>
      <c r="BC14" s="774" t="b">
        <f t="shared" si="18"/>
        <v>0</v>
      </c>
      <c r="BD14" s="777" t="b">
        <f t="shared" si="31"/>
        <v>0</v>
      </c>
      <c r="BE14" s="776" t="b">
        <f t="shared" si="19"/>
        <v>0</v>
      </c>
      <c r="BF14" s="778" t="b">
        <f t="shared" si="20"/>
        <v>0</v>
      </c>
      <c r="BG14" s="779" t="b">
        <f t="shared" si="21"/>
        <v>1</v>
      </c>
      <c r="BH14" s="779">
        <f t="shared" si="32"/>
        <v>1</v>
      </c>
      <c r="BI14" s="779">
        <f t="shared" si="22"/>
        <v>2</v>
      </c>
      <c r="BJ14" s="779" t="str">
        <f t="shared" si="23"/>
        <v>2*</v>
      </c>
      <c r="BK14" s="779">
        <f t="shared" si="24"/>
        <v>3</v>
      </c>
      <c r="BL14" s="780">
        <f t="shared" si="33"/>
        <v>1</v>
      </c>
      <c r="BM14" s="779">
        <f t="shared" si="25"/>
        <v>2</v>
      </c>
      <c r="BN14" s="779">
        <f t="shared" si="26"/>
        <v>3</v>
      </c>
      <c r="BO14" s="787">
        <v>1</v>
      </c>
      <c r="BP14" s="788" t="s">
        <v>467</v>
      </c>
    </row>
    <row r="15" spans="2:73" s="731" customFormat="1" ht="12.95" customHeight="1" x14ac:dyDescent="0.25">
      <c r="B15" s="783" t="str">
        <f>IF(ISNA(Z15),"",IF(OR(Z15=1,Z15=2),"    ",MAX($B$11:B14)+1))</f>
        <v xml:space="preserve">    </v>
      </c>
      <c r="C15" s="1116" t="str">
        <f t="shared" si="0"/>
        <v>GTO 1 - Cruise Control (20.0%)</v>
      </c>
      <c r="D15" s="1116"/>
      <c r="E15" s="1116"/>
      <c r="F15" s="1117"/>
      <c r="G15" s="763" t="str">
        <f t="shared" si="1"/>
        <v/>
      </c>
      <c r="H15" s="764" t="str">
        <f t="shared" si="2"/>
        <v/>
      </c>
      <c r="I15" s="784" t="str">
        <f t="shared" si="2"/>
        <v/>
      </c>
      <c r="J15" s="793"/>
      <c r="K15" s="794"/>
      <c r="L15" s="1134"/>
      <c r="M15" s="1135"/>
      <c r="N15" s="1135"/>
      <c r="O15" s="1135"/>
      <c r="P15" s="1135"/>
      <c r="Q15" s="1135"/>
      <c r="R15" s="1136"/>
      <c r="T15" s="727">
        <v>5</v>
      </c>
      <c r="U15" s="716" t="s">
        <v>998</v>
      </c>
      <c r="V15" s="768" t="s">
        <v>340</v>
      </c>
      <c r="W15" s="768" t="s">
        <v>340</v>
      </c>
      <c r="X15" s="768" t="s">
        <v>340</v>
      </c>
      <c r="Y15" s="768" t="s">
        <v>340</v>
      </c>
      <c r="Z15" s="777">
        <v>2</v>
      </c>
      <c r="AA15" s="777">
        <v>1</v>
      </c>
      <c r="AB15" s="777">
        <v>1</v>
      </c>
      <c r="AC15" s="768" t="s">
        <v>340</v>
      </c>
      <c r="AD15" s="768" t="s">
        <v>340</v>
      </c>
      <c r="AE15" s="768" t="s">
        <v>340</v>
      </c>
      <c r="AF15" s="768" t="s">
        <v>340</v>
      </c>
      <c r="AG15" s="768" t="str">
        <f t="shared" si="3"/>
        <v/>
      </c>
      <c r="AH15" s="768" t="str">
        <f t="shared" si="4"/>
        <v/>
      </c>
      <c r="AI15" s="769">
        <f>IF(NOT(OR(Z15=1,Z15=2)),IF(AQ15&gt;0,$AR$47*AQ15/SUMIF($AQ$11:$AQ$42,"&gt;0"),IF(AU15&gt;0,$AV$47*AU15/SUMIF($AU$11:$AU$42,"&gt;0"),IF(AS15&gt;0,$AT$47*AS15/SUMIF($AS$11:$AS$42,"&gt;0"),""))),IF(SUMIF(AJ16:$AJ$42,"=" &amp; AJ15,AI16:$AI$42)=0,"",SUMIF(AJ16:$AJ$42,"=" &amp; AJ15,AI16:$AI$42)))</f>
        <v>0.19999941823779444</v>
      </c>
      <c r="AJ15" s="770">
        <f t="shared" si="34"/>
        <v>1</v>
      </c>
      <c r="AK15" s="768" t="str">
        <f t="shared" si="27"/>
        <v/>
      </c>
      <c r="AL15" s="777" t="str">
        <f t="shared" si="28"/>
        <v/>
      </c>
      <c r="AM15" s="777" t="str">
        <f t="shared" si="35"/>
        <v/>
      </c>
      <c r="AN15" s="777" t="str">
        <f t="shared" si="5"/>
        <v/>
      </c>
      <c r="AO15" s="777" t="str">
        <f t="shared" si="6"/>
        <v/>
      </c>
      <c r="AP15" s="768" t="str">
        <f t="shared" si="7"/>
        <v/>
      </c>
      <c r="AQ15" s="771">
        <f t="shared" si="29"/>
        <v>0</v>
      </c>
      <c r="AR15" s="772" t="str">
        <f t="shared" si="8"/>
        <v/>
      </c>
      <c r="AS15" s="773">
        <f t="shared" si="30"/>
        <v>0</v>
      </c>
      <c r="AT15" s="772" t="str">
        <f t="shared" si="9"/>
        <v/>
      </c>
      <c r="AU15" s="774">
        <f t="shared" si="10"/>
        <v>0</v>
      </c>
      <c r="AV15" s="775" t="str">
        <f t="shared" si="11"/>
        <v/>
      </c>
      <c r="AW15" s="774" t="b">
        <f t="shared" si="12"/>
        <v>0</v>
      </c>
      <c r="AX15" s="776" t="b">
        <f t="shared" si="13"/>
        <v>0</v>
      </c>
      <c r="AY15" s="774" t="b">
        <f t="shared" si="14"/>
        <v>0</v>
      </c>
      <c r="AZ15" s="776" t="b">
        <f t="shared" si="15"/>
        <v>0</v>
      </c>
      <c r="BA15" s="768" t="b">
        <f t="shared" si="16"/>
        <v>0</v>
      </c>
      <c r="BB15" s="768" t="b">
        <f t="shared" si="17"/>
        <v>0</v>
      </c>
      <c r="BC15" s="774" t="b">
        <f t="shared" si="18"/>
        <v>0</v>
      </c>
      <c r="BD15" s="777" t="b">
        <f t="shared" si="31"/>
        <v>0</v>
      </c>
      <c r="BE15" s="776" t="b">
        <f t="shared" si="19"/>
        <v>0</v>
      </c>
      <c r="BF15" s="778" t="b">
        <f t="shared" si="20"/>
        <v>0</v>
      </c>
      <c r="BG15" s="779" t="b">
        <f t="shared" si="21"/>
        <v>0</v>
      </c>
      <c r="BH15" s="779" t="str">
        <f t="shared" si="32"/>
        <v/>
      </c>
      <c r="BI15" s="779" t="str">
        <f t="shared" si="22"/>
        <v/>
      </c>
      <c r="BJ15" s="779" t="str">
        <f t="shared" si="23"/>
        <v/>
      </c>
      <c r="BK15" s="779" t="str">
        <f t="shared" si="24"/>
        <v/>
      </c>
      <c r="BL15" s="780" t="str">
        <f t="shared" si="33"/>
        <v/>
      </c>
      <c r="BM15" s="779" t="str">
        <f t="shared" si="25"/>
        <v/>
      </c>
      <c r="BN15" s="779" t="str">
        <f t="shared" si="26"/>
        <v/>
      </c>
      <c r="BO15" s="787">
        <v>2</v>
      </c>
      <c r="BP15" s="788" t="s">
        <v>350</v>
      </c>
    </row>
    <row r="16" spans="2:73" s="731" customFormat="1" ht="12.95" customHeight="1" x14ac:dyDescent="0.25">
      <c r="B16" s="783">
        <f>IF(ISNA(Z16),"",IF(OR(Z16=1,Z16=2),"    ",MAX($B$11:B15)+1))</f>
        <v>4</v>
      </c>
      <c r="C16" s="1116" t="str">
        <f t="shared" si="0"/>
        <v xml:space="preserve">      - STO 1 - Vehicle Speed (6.7%)</v>
      </c>
      <c r="D16" s="1116"/>
      <c r="E16" s="1116"/>
      <c r="F16" s="1117"/>
      <c r="G16" s="763">
        <f t="shared" si="1"/>
        <v>1</v>
      </c>
      <c r="H16" s="764" t="str">
        <f t="shared" si="2"/>
        <v>2*</v>
      </c>
      <c r="I16" s="784">
        <f t="shared" si="2"/>
        <v>3</v>
      </c>
      <c r="J16" s="789"/>
      <c r="K16" s="786"/>
      <c r="L16" s="1134"/>
      <c r="M16" s="1135"/>
      <c r="N16" s="1135"/>
      <c r="O16" s="1135"/>
      <c r="P16" s="1135"/>
      <c r="Q16" s="1135"/>
      <c r="R16" s="1136"/>
      <c r="T16" s="727">
        <v>6</v>
      </c>
      <c r="U16" s="716" t="s">
        <v>999</v>
      </c>
      <c r="V16" s="768">
        <v>1</v>
      </c>
      <c r="W16" s="768">
        <v>2.2222219999999999</v>
      </c>
      <c r="X16" s="768" t="s">
        <v>340</v>
      </c>
      <c r="Y16" s="768" t="s">
        <v>340</v>
      </c>
      <c r="Z16" s="777" t="s">
        <v>340</v>
      </c>
      <c r="AA16" s="777">
        <v>2</v>
      </c>
      <c r="AB16" s="777">
        <v>1</v>
      </c>
      <c r="AC16" s="768">
        <v>3</v>
      </c>
      <c r="AD16" s="768">
        <v>2</v>
      </c>
      <c r="AE16" s="768">
        <v>1</v>
      </c>
      <c r="AF16" s="768" t="b">
        <v>1</v>
      </c>
      <c r="AG16" s="768">
        <f t="shared" si="3"/>
        <v>2</v>
      </c>
      <c r="AH16" s="768">
        <f t="shared" si="4"/>
        <v>1</v>
      </c>
      <c r="AI16" s="769">
        <f>IF(NOT(OR(Z16=1,Z16=2)),IF(AQ16&gt;0,$AR$47*AQ16/SUMIF($AQ$11:$AQ$42,"&gt;0"),IF(AU16&gt;0,$AV$47*AU16/SUMIF($AU$11:$AU$42,"&gt;0"),IF(AS16&gt;0,$AT$47*AS16/SUMIF($AS$11:$AS$42,"&gt;0"),""))),IF(SUMIF(AJ17:$AJ$42,"=" &amp; AJ16,AI17:$AI$42)=0,"",SUMIF(AJ17:$AJ$42,"=" &amp; AJ16,AI17:$AI$42)))</f>
        <v>6.6666912747599616E-2</v>
      </c>
      <c r="AJ16" s="770">
        <f t="shared" si="34"/>
        <v>1</v>
      </c>
      <c r="AK16" s="768">
        <f t="shared" si="27"/>
        <v>2</v>
      </c>
      <c r="AL16" s="777" t="str">
        <f t="shared" si="28"/>
        <v/>
      </c>
      <c r="AM16" s="777" t="str">
        <f t="shared" si="35"/>
        <v/>
      </c>
      <c r="AN16" s="777" t="str">
        <f t="shared" si="5"/>
        <v/>
      </c>
      <c r="AO16" s="777" t="str">
        <f t="shared" si="6"/>
        <v/>
      </c>
      <c r="AP16" s="768" t="b">
        <f t="shared" si="7"/>
        <v>1</v>
      </c>
      <c r="AQ16" s="771">
        <f t="shared" si="29"/>
        <v>2.2222219999999999</v>
      </c>
      <c r="AR16" s="772" t="str">
        <f t="shared" si="8"/>
        <v/>
      </c>
      <c r="AS16" s="773">
        <f t="shared" si="30"/>
        <v>0</v>
      </c>
      <c r="AT16" s="772" t="str">
        <f t="shared" si="9"/>
        <v/>
      </c>
      <c r="AU16" s="774">
        <f t="shared" si="10"/>
        <v>0</v>
      </c>
      <c r="AV16" s="775" t="str">
        <f t="shared" si="11"/>
        <v/>
      </c>
      <c r="AW16" s="774" t="b">
        <f t="shared" si="12"/>
        <v>0</v>
      </c>
      <c r="AX16" s="776" t="b">
        <f t="shared" si="13"/>
        <v>1</v>
      </c>
      <c r="AY16" s="774" t="b">
        <f t="shared" si="14"/>
        <v>0</v>
      </c>
      <c r="AZ16" s="776" t="b">
        <f t="shared" si="15"/>
        <v>0</v>
      </c>
      <c r="BA16" s="768" t="b">
        <f t="shared" si="16"/>
        <v>0</v>
      </c>
      <c r="BB16" s="768" t="b">
        <f t="shared" si="17"/>
        <v>0</v>
      </c>
      <c r="BC16" s="774" t="b">
        <f t="shared" si="18"/>
        <v>0</v>
      </c>
      <c r="BD16" s="777" t="b">
        <f t="shared" si="31"/>
        <v>0</v>
      </c>
      <c r="BE16" s="776" t="b">
        <f t="shared" si="19"/>
        <v>0</v>
      </c>
      <c r="BF16" s="778" t="b">
        <f t="shared" si="20"/>
        <v>0</v>
      </c>
      <c r="BG16" s="779" t="b">
        <f t="shared" si="21"/>
        <v>1</v>
      </c>
      <c r="BH16" s="779">
        <f t="shared" si="32"/>
        <v>1</v>
      </c>
      <c r="BI16" s="779">
        <f t="shared" si="22"/>
        <v>2</v>
      </c>
      <c r="BJ16" s="779" t="str">
        <f t="shared" si="23"/>
        <v>2*</v>
      </c>
      <c r="BK16" s="779">
        <f t="shared" si="24"/>
        <v>3</v>
      </c>
      <c r="BL16" s="780">
        <f t="shared" si="33"/>
        <v>1</v>
      </c>
      <c r="BM16" s="779">
        <f t="shared" si="25"/>
        <v>2</v>
      </c>
      <c r="BN16" s="779">
        <f t="shared" si="26"/>
        <v>3</v>
      </c>
      <c r="BO16" s="787">
        <v>3</v>
      </c>
      <c r="BP16" s="788" t="s">
        <v>352</v>
      </c>
    </row>
    <row r="17" spans="2:75" s="731" customFormat="1" ht="12.95" customHeight="1" x14ac:dyDescent="0.25">
      <c r="B17" s="783">
        <f>IF(ISNA(Z17),"",IF(OR(Z17=1,Z17=2),"    ",MAX($B$11:B16)+1))</f>
        <v>5</v>
      </c>
      <c r="C17" s="1116" t="str">
        <f t="shared" si="0"/>
        <v xml:space="preserve">      - STO 2 - Cruise Control Accuracy (6.7%)</v>
      </c>
      <c r="D17" s="1116"/>
      <c r="E17" s="1116"/>
      <c r="F17" s="1117"/>
      <c r="G17" s="763">
        <f t="shared" si="1"/>
        <v>1</v>
      </c>
      <c r="H17" s="764" t="str">
        <f t="shared" si="2"/>
        <v>2*</v>
      </c>
      <c r="I17" s="784">
        <f t="shared" si="2"/>
        <v>3</v>
      </c>
      <c r="J17" s="789"/>
      <c r="K17" s="786"/>
      <c r="L17" s="1134"/>
      <c r="M17" s="1135"/>
      <c r="N17" s="1135"/>
      <c r="O17" s="1135"/>
      <c r="P17" s="1135"/>
      <c r="Q17" s="1135"/>
      <c r="R17" s="1136"/>
      <c r="T17" s="727">
        <v>7</v>
      </c>
      <c r="U17" s="716" t="s">
        <v>1000</v>
      </c>
      <c r="V17" s="768">
        <v>1</v>
      </c>
      <c r="W17" s="768">
        <v>2.2222</v>
      </c>
      <c r="X17" s="768" t="s">
        <v>340</v>
      </c>
      <c r="Y17" s="768" t="s">
        <v>340</v>
      </c>
      <c r="Z17" s="777" t="s">
        <v>340</v>
      </c>
      <c r="AA17" s="777">
        <v>2</v>
      </c>
      <c r="AB17" s="777">
        <v>1</v>
      </c>
      <c r="AC17" s="768">
        <v>3</v>
      </c>
      <c r="AD17" s="768">
        <v>2</v>
      </c>
      <c r="AE17" s="768">
        <v>1</v>
      </c>
      <c r="AF17" s="768" t="b">
        <v>1</v>
      </c>
      <c r="AG17" s="768">
        <f t="shared" si="3"/>
        <v>2</v>
      </c>
      <c r="AH17" s="768">
        <f t="shared" si="4"/>
        <v>1</v>
      </c>
      <c r="AI17" s="769">
        <f>IF(NOT(OR(Z17=1,Z17=2)),IF(AQ17&gt;0,$AR$47*AQ17/SUMIF($AQ$11:$AQ$42,"&gt;0"),IF(AU17&gt;0,$AV$47*AU17/SUMIF($AU$11:$AU$42,"&gt;0"),IF(AS17&gt;0,$AT$47*AS17/SUMIF($AS$11:$AS$42,"&gt;0"),""))),IF(SUMIF(AJ18:$AJ$42,"=" &amp; AJ17,AI18:$AI$42)=0,"",SUMIF(AJ18:$AJ$42,"=" &amp; AJ17,AI18:$AI$42)))</f>
        <v>6.666625274509741E-2</v>
      </c>
      <c r="AJ17" s="770">
        <f t="shared" si="34"/>
        <v>1</v>
      </c>
      <c r="AK17" s="768">
        <f t="shared" si="27"/>
        <v>2</v>
      </c>
      <c r="AL17" s="777" t="str">
        <f t="shared" si="28"/>
        <v/>
      </c>
      <c r="AM17" s="777" t="str">
        <f t="shared" si="35"/>
        <v/>
      </c>
      <c r="AN17" s="777" t="str">
        <f t="shared" si="5"/>
        <v/>
      </c>
      <c r="AO17" s="777" t="str">
        <f t="shared" si="6"/>
        <v/>
      </c>
      <c r="AP17" s="768" t="b">
        <f t="shared" si="7"/>
        <v>1</v>
      </c>
      <c r="AQ17" s="771">
        <f t="shared" si="29"/>
        <v>2.2222</v>
      </c>
      <c r="AR17" s="772" t="str">
        <f t="shared" si="8"/>
        <v/>
      </c>
      <c r="AS17" s="773">
        <f t="shared" si="30"/>
        <v>0</v>
      </c>
      <c r="AT17" s="772" t="str">
        <f t="shared" si="9"/>
        <v/>
      </c>
      <c r="AU17" s="774">
        <f t="shared" si="10"/>
        <v>0</v>
      </c>
      <c r="AV17" s="775" t="str">
        <f t="shared" si="11"/>
        <v/>
      </c>
      <c r="AW17" s="774" t="b">
        <f t="shared" si="12"/>
        <v>0</v>
      </c>
      <c r="AX17" s="776" t="b">
        <f t="shared" si="13"/>
        <v>1</v>
      </c>
      <c r="AY17" s="774" t="b">
        <f t="shared" si="14"/>
        <v>0</v>
      </c>
      <c r="AZ17" s="776" t="b">
        <f t="shared" si="15"/>
        <v>0</v>
      </c>
      <c r="BA17" s="768" t="b">
        <f t="shared" si="16"/>
        <v>0</v>
      </c>
      <c r="BB17" s="768" t="b">
        <f t="shared" si="17"/>
        <v>0</v>
      </c>
      <c r="BC17" s="774" t="b">
        <f t="shared" si="18"/>
        <v>0</v>
      </c>
      <c r="BD17" s="777" t="b">
        <f t="shared" si="31"/>
        <v>0</v>
      </c>
      <c r="BE17" s="776" t="b">
        <f t="shared" si="19"/>
        <v>0</v>
      </c>
      <c r="BF17" s="778" t="b">
        <f t="shared" si="20"/>
        <v>0</v>
      </c>
      <c r="BG17" s="779" t="b">
        <f t="shared" si="21"/>
        <v>1</v>
      </c>
      <c r="BH17" s="779">
        <f t="shared" si="32"/>
        <v>1</v>
      </c>
      <c r="BI17" s="779">
        <f t="shared" si="22"/>
        <v>2</v>
      </c>
      <c r="BJ17" s="779" t="str">
        <f t="shared" si="23"/>
        <v>2*</v>
      </c>
      <c r="BK17" s="779">
        <f t="shared" si="24"/>
        <v>3</v>
      </c>
      <c r="BL17" s="780">
        <f t="shared" si="33"/>
        <v>1</v>
      </c>
      <c r="BM17" s="779">
        <f t="shared" si="25"/>
        <v>2</v>
      </c>
      <c r="BN17" s="779">
        <f t="shared" si="26"/>
        <v>3</v>
      </c>
      <c r="BO17" s="787">
        <v>4</v>
      </c>
      <c r="BP17" s="788" t="s">
        <v>354</v>
      </c>
    </row>
    <row r="18" spans="2:75" s="731" customFormat="1" ht="12.95" customHeight="1" x14ac:dyDescent="0.25">
      <c r="B18" s="783">
        <f>IF(ISNA(Z18),"",IF(OR(Z18=1,Z18=2),"    ",MAX($B$11:B17)+1))</f>
        <v>6</v>
      </c>
      <c r="C18" s="1116" t="str">
        <f t="shared" si="0"/>
        <v xml:space="preserve">      - STO 3 - Cruise Control Interface (6.7%)</v>
      </c>
      <c r="D18" s="1116"/>
      <c r="E18" s="1116"/>
      <c r="F18" s="1117"/>
      <c r="G18" s="763">
        <f t="shared" si="1"/>
        <v>1</v>
      </c>
      <c r="H18" s="764" t="str">
        <f t="shared" si="2"/>
        <v>2*</v>
      </c>
      <c r="I18" s="784">
        <f t="shared" si="2"/>
        <v>3</v>
      </c>
      <c r="J18" s="789"/>
      <c r="K18" s="786"/>
      <c r="L18" s="1134"/>
      <c r="M18" s="1135"/>
      <c r="N18" s="1135"/>
      <c r="O18" s="1135"/>
      <c r="P18" s="1135"/>
      <c r="Q18" s="1135"/>
      <c r="R18" s="1136"/>
      <c r="T18" s="727">
        <v>8</v>
      </c>
      <c r="U18" s="716" t="s">
        <v>1001</v>
      </c>
      <c r="V18" s="768">
        <v>1</v>
      </c>
      <c r="W18" s="768">
        <v>2.2222</v>
      </c>
      <c r="X18" s="768" t="s">
        <v>340</v>
      </c>
      <c r="Y18" s="768" t="s">
        <v>340</v>
      </c>
      <c r="Z18" s="777" t="s">
        <v>340</v>
      </c>
      <c r="AA18" s="777">
        <v>2</v>
      </c>
      <c r="AB18" s="777">
        <v>1</v>
      </c>
      <c r="AC18" s="768">
        <v>3</v>
      </c>
      <c r="AD18" s="768">
        <v>2</v>
      </c>
      <c r="AE18" s="768">
        <v>1</v>
      </c>
      <c r="AF18" s="768" t="b">
        <v>1</v>
      </c>
      <c r="AG18" s="768">
        <f t="shared" si="3"/>
        <v>2</v>
      </c>
      <c r="AH18" s="768">
        <f t="shared" si="4"/>
        <v>1</v>
      </c>
      <c r="AI18" s="769">
        <f>IF(NOT(OR(Z18=1,Z18=2)),IF(AQ18&gt;0,$AR$47*AQ18/SUMIF($AQ$11:$AQ$42,"&gt;0"),IF(AU18&gt;0,$AV$47*AU18/SUMIF($AU$11:$AU$42,"&gt;0"),IF(AS18&gt;0,$AT$47*AS18/SUMIF($AS$11:$AS$42,"&gt;0"),""))),IF(SUMIF(AJ19:$AJ$42,"=" &amp; AJ18,AI19:$AI$42)=0,"",SUMIF(AJ19:$AJ$42,"=" &amp; AJ18,AI19:$AI$42)))</f>
        <v>6.666625274509741E-2</v>
      </c>
      <c r="AJ18" s="770">
        <f t="shared" si="34"/>
        <v>1</v>
      </c>
      <c r="AK18" s="768">
        <f t="shared" si="27"/>
        <v>2</v>
      </c>
      <c r="AL18" s="777" t="str">
        <f t="shared" si="28"/>
        <v/>
      </c>
      <c r="AM18" s="777" t="str">
        <f t="shared" si="35"/>
        <v/>
      </c>
      <c r="AN18" s="777" t="str">
        <f t="shared" si="5"/>
        <v/>
      </c>
      <c r="AO18" s="777" t="str">
        <f t="shared" si="6"/>
        <v/>
      </c>
      <c r="AP18" s="768" t="b">
        <f t="shared" si="7"/>
        <v>1</v>
      </c>
      <c r="AQ18" s="771">
        <f t="shared" si="29"/>
        <v>2.2222</v>
      </c>
      <c r="AR18" s="772" t="str">
        <f t="shared" si="8"/>
        <v/>
      </c>
      <c r="AS18" s="773">
        <f t="shared" si="30"/>
        <v>0</v>
      </c>
      <c r="AT18" s="772" t="str">
        <f t="shared" si="9"/>
        <v/>
      </c>
      <c r="AU18" s="774">
        <f t="shared" si="10"/>
        <v>0</v>
      </c>
      <c r="AV18" s="775" t="str">
        <f t="shared" si="11"/>
        <v/>
      </c>
      <c r="AW18" s="774" t="b">
        <f t="shared" si="12"/>
        <v>0</v>
      </c>
      <c r="AX18" s="776" t="b">
        <f t="shared" si="13"/>
        <v>1</v>
      </c>
      <c r="AY18" s="774" t="b">
        <f t="shared" si="14"/>
        <v>0</v>
      </c>
      <c r="AZ18" s="776" t="b">
        <f t="shared" si="15"/>
        <v>0</v>
      </c>
      <c r="BA18" s="768" t="b">
        <f t="shared" si="16"/>
        <v>0</v>
      </c>
      <c r="BB18" s="768" t="b">
        <f t="shared" si="17"/>
        <v>0</v>
      </c>
      <c r="BC18" s="774" t="b">
        <f t="shared" si="18"/>
        <v>0</v>
      </c>
      <c r="BD18" s="777" t="b">
        <f t="shared" si="31"/>
        <v>0</v>
      </c>
      <c r="BE18" s="776" t="b">
        <f t="shared" si="19"/>
        <v>0</v>
      </c>
      <c r="BF18" s="778" t="b">
        <f t="shared" si="20"/>
        <v>0</v>
      </c>
      <c r="BG18" s="779" t="b">
        <f t="shared" si="21"/>
        <v>1</v>
      </c>
      <c r="BH18" s="779">
        <f t="shared" si="32"/>
        <v>1</v>
      </c>
      <c r="BI18" s="779">
        <f t="shared" si="22"/>
        <v>2</v>
      </c>
      <c r="BJ18" s="779" t="str">
        <f t="shared" si="23"/>
        <v>2*</v>
      </c>
      <c r="BK18" s="779">
        <f t="shared" si="24"/>
        <v>3</v>
      </c>
      <c r="BL18" s="780">
        <f t="shared" si="33"/>
        <v>1</v>
      </c>
      <c r="BM18" s="779">
        <f t="shared" si="25"/>
        <v>2</v>
      </c>
      <c r="BN18" s="779">
        <f t="shared" si="26"/>
        <v>3</v>
      </c>
      <c r="BO18" s="719"/>
    </row>
    <row r="19" spans="2:75" s="731" customFormat="1" ht="12.95" customHeight="1" x14ac:dyDescent="0.25">
      <c r="B19" s="783" t="str">
        <f>IF(ISNA(Z19),"",IF(OR(Z19=1,Z19=2),"    ",MAX($B$11:B18)+1))</f>
        <v xml:space="preserve">    </v>
      </c>
      <c r="C19" s="1116" t="str">
        <f t="shared" si="0"/>
        <v>GTO 2 - COTS GPS (20.0%)</v>
      </c>
      <c r="D19" s="1116"/>
      <c r="E19" s="1116"/>
      <c r="F19" s="1117"/>
      <c r="G19" s="763" t="str">
        <f t="shared" si="1"/>
        <v/>
      </c>
      <c r="H19" s="764" t="str">
        <f t="shared" si="2"/>
        <v/>
      </c>
      <c r="I19" s="784" t="str">
        <f t="shared" si="2"/>
        <v/>
      </c>
      <c r="J19" s="793"/>
      <c r="K19" s="794"/>
      <c r="L19" s="1134"/>
      <c r="M19" s="1135"/>
      <c r="N19" s="1135"/>
      <c r="O19" s="1135"/>
      <c r="P19" s="1135"/>
      <c r="Q19" s="1135"/>
      <c r="R19" s="1136"/>
      <c r="T19" s="727">
        <v>9</v>
      </c>
      <c r="U19" s="716" t="s">
        <v>1002</v>
      </c>
      <c r="V19" s="768" t="s">
        <v>340</v>
      </c>
      <c r="W19" s="768" t="s">
        <v>340</v>
      </c>
      <c r="X19" s="768" t="s">
        <v>340</v>
      </c>
      <c r="Y19" s="768" t="s">
        <v>340</v>
      </c>
      <c r="Z19" s="777">
        <v>2</v>
      </c>
      <c r="AA19" s="777">
        <v>1</v>
      </c>
      <c r="AB19" s="777">
        <v>1</v>
      </c>
      <c r="AC19" s="768" t="s">
        <v>340</v>
      </c>
      <c r="AD19" s="768" t="s">
        <v>340</v>
      </c>
      <c r="AE19" s="768" t="s">
        <v>340</v>
      </c>
      <c r="AF19" s="768" t="s">
        <v>340</v>
      </c>
      <c r="AG19" s="768" t="str">
        <f t="shared" si="3"/>
        <v/>
      </c>
      <c r="AH19" s="768" t="str">
        <f t="shared" si="4"/>
        <v/>
      </c>
      <c r="AI19" s="769">
        <f>IF(NOT(OR(Z19=1,Z19=2)),IF(AQ19&gt;0,$AR$47*AQ19/SUMIF($AQ$11:$AQ$42,"&gt;0"),IF(AU19&gt;0,$AV$47*AU19/SUMIF($AU$11:$AU$42,"&gt;0"),IF(AS19&gt;0,$AT$47*AS19/SUMIF($AS$11:$AS$42,"&gt;0"),""))),IF(SUMIF(AJ20:$AJ$42,"=" &amp; AJ19,AI20:$AI$42)=0,"",SUMIF(AJ20:$AJ$42,"=" &amp; AJ19,AI20:$AI$42)))</f>
        <v>0.19999833823369995</v>
      </c>
      <c r="AJ19" s="770">
        <f t="shared" si="34"/>
        <v>2</v>
      </c>
      <c r="AK19" s="768" t="str">
        <f t="shared" si="27"/>
        <v/>
      </c>
      <c r="AL19" s="777" t="str">
        <f t="shared" si="28"/>
        <v/>
      </c>
      <c r="AM19" s="777" t="str">
        <f t="shared" si="35"/>
        <v/>
      </c>
      <c r="AN19" s="777" t="str">
        <f t="shared" si="5"/>
        <v/>
      </c>
      <c r="AO19" s="777" t="str">
        <f t="shared" si="6"/>
        <v/>
      </c>
      <c r="AP19" s="768" t="str">
        <f t="shared" si="7"/>
        <v/>
      </c>
      <c r="AQ19" s="771">
        <f t="shared" si="29"/>
        <v>0</v>
      </c>
      <c r="AR19" s="772" t="str">
        <f t="shared" si="8"/>
        <v/>
      </c>
      <c r="AS19" s="773">
        <f t="shared" si="30"/>
        <v>0</v>
      </c>
      <c r="AT19" s="772" t="str">
        <f t="shared" si="9"/>
        <v/>
      </c>
      <c r="AU19" s="774">
        <f t="shared" si="10"/>
        <v>0</v>
      </c>
      <c r="AV19" s="775" t="str">
        <f t="shared" si="11"/>
        <v/>
      </c>
      <c r="AW19" s="774" t="b">
        <f t="shared" si="12"/>
        <v>0</v>
      </c>
      <c r="AX19" s="776" t="b">
        <f t="shared" si="13"/>
        <v>0</v>
      </c>
      <c r="AY19" s="774" t="b">
        <f t="shared" si="14"/>
        <v>0</v>
      </c>
      <c r="AZ19" s="776" t="b">
        <f t="shared" si="15"/>
        <v>0</v>
      </c>
      <c r="BA19" s="768" t="b">
        <f t="shared" si="16"/>
        <v>0</v>
      </c>
      <c r="BB19" s="768" t="b">
        <f t="shared" si="17"/>
        <v>0</v>
      </c>
      <c r="BC19" s="774" t="b">
        <f t="shared" si="18"/>
        <v>0</v>
      </c>
      <c r="BD19" s="777" t="b">
        <f t="shared" si="31"/>
        <v>0</v>
      </c>
      <c r="BE19" s="776" t="b">
        <f t="shared" si="19"/>
        <v>0</v>
      </c>
      <c r="BF19" s="778" t="b">
        <f t="shared" si="20"/>
        <v>0</v>
      </c>
      <c r="BG19" s="779" t="b">
        <f t="shared" si="21"/>
        <v>0</v>
      </c>
      <c r="BH19" s="779" t="str">
        <f t="shared" si="32"/>
        <v/>
      </c>
      <c r="BI19" s="779" t="str">
        <f t="shared" si="22"/>
        <v/>
      </c>
      <c r="BJ19" s="779" t="str">
        <f t="shared" si="23"/>
        <v/>
      </c>
      <c r="BK19" s="779" t="str">
        <f t="shared" si="24"/>
        <v/>
      </c>
      <c r="BL19" s="780" t="str">
        <f t="shared" si="33"/>
        <v/>
      </c>
      <c r="BM19" s="779" t="str">
        <f t="shared" si="25"/>
        <v/>
      </c>
      <c r="BN19" s="779" t="str">
        <f t="shared" si="26"/>
        <v/>
      </c>
      <c r="BO19" s="787"/>
      <c r="BP19" s="790"/>
    </row>
    <row r="20" spans="2:75" s="731" customFormat="1" ht="12.95" customHeight="1" x14ac:dyDescent="0.25">
      <c r="B20" s="783">
        <f>IF(ISNA(Z20),"",IF(OR(Z20=1,Z20=2),"    ",MAX($B$11:B19)+1))</f>
        <v>7</v>
      </c>
      <c r="C20" s="1116" t="str">
        <f t="shared" si="0"/>
        <v xml:space="preserve">      - STO 1 (5.0%)</v>
      </c>
      <c r="D20" s="1116"/>
      <c r="E20" s="1116"/>
      <c r="F20" s="1117"/>
      <c r="G20" s="763">
        <f t="shared" si="1"/>
        <v>1</v>
      </c>
      <c r="H20" s="764" t="str">
        <f t="shared" si="2"/>
        <v>2*</v>
      </c>
      <c r="I20" s="784">
        <f t="shared" si="2"/>
        <v>3</v>
      </c>
      <c r="J20" s="789"/>
      <c r="K20" s="786"/>
      <c r="L20" s="1134"/>
      <c r="M20" s="1135"/>
      <c r="N20" s="1135"/>
      <c r="O20" s="1135"/>
      <c r="P20" s="1135"/>
      <c r="Q20" s="1135"/>
      <c r="R20" s="1136"/>
      <c r="T20" s="727">
        <v>10</v>
      </c>
      <c r="U20" s="716" t="s">
        <v>1003</v>
      </c>
      <c r="V20" s="768">
        <v>1</v>
      </c>
      <c r="W20" s="768">
        <v>1.6666000000000001</v>
      </c>
      <c r="X20" s="768" t="s">
        <v>340</v>
      </c>
      <c r="Y20" s="768" t="s">
        <v>340</v>
      </c>
      <c r="Z20" s="777" t="s">
        <v>340</v>
      </c>
      <c r="AA20" s="777">
        <v>2</v>
      </c>
      <c r="AB20" s="777">
        <v>1</v>
      </c>
      <c r="AC20" s="768">
        <v>3</v>
      </c>
      <c r="AD20" s="768">
        <v>2</v>
      </c>
      <c r="AE20" s="768">
        <v>1</v>
      </c>
      <c r="AF20" s="768" t="b">
        <v>1</v>
      </c>
      <c r="AG20" s="768">
        <f t="shared" si="3"/>
        <v>2</v>
      </c>
      <c r="AH20" s="768">
        <f t="shared" si="4"/>
        <v>1</v>
      </c>
      <c r="AI20" s="769">
        <f>IF(NOT(OR(Z20=1,Z20=2)),IF(AQ20&gt;0,$AR$47*AQ20/SUMIF($AQ$11:$AQ$42,"&gt;0"),IF(AU20&gt;0,$AV$47*AU20/SUMIF($AU$11:$AU$42,"&gt;0"),IF(AS20&gt;0,$AT$47*AS20/SUMIF($AS$11:$AS$42,"&gt;0"),""))),IF(SUMIF(AJ21:$AJ$42,"=" &amp; AJ20,AI21:$AI$42)=0,"",SUMIF(AJ21:$AJ$42,"=" &amp; AJ20,AI21:$AI$42)))</f>
        <v>4.9998189553136237E-2</v>
      </c>
      <c r="AJ20" s="770">
        <f t="shared" si="34"/>
        <v>2</v>
      </c>
      <c r="AK20" s="768">
        <f t="shared" si="27"/>
        <v>2</v>
      </c>
      <c r="AL20" s="777" t="str">
        <f t="shared" si="28"/>
        <v/>
      </c>
      <c r="AM20" s="777" t="str">
        <f t="shared" si="35"/>
        <v/>
      </c>
      <c r="AN20" s="777" t="str">
        <f t="shared" si="5"/>
        <v/>
      </c>
      <c r="AO20" s="777" t="str">
        <f t="shared" si="6"/>
        <v/>
      </c>
      <c r="AP20" s="768" t="b">
        <f t="shared" si="7"/>
        <v>1</v>
      </c>
      <c r="AQ20" s="771">
        <f t="shared" si="29"/>
        <v>1.6666000000000001</v>
      </c>
      <c r="AR20" s="772" t="str">
        <f t="shared" si="8"/>
        <v/>
      </c>
      <c r="AS20" s="773">
        <f t="shared" si="30"/>
        <v>0</v>
      </c>
      <c r="AT20" s="772" t="str">
        <f t="shared" si="9"/>
        <v/>
      </c>
      <c r="AU20" s="774">
        <f t="shared" si="10"/>
        <v>0</v>
      </c>
      <c r="AV20" s="775" t="str">
        <f t="shared" si="11"/>
        <v/>
      </c>
      <c r="AW20" s="774" t="b">
        <f t="shared" si="12"/>
        <v>0</v>
      </c>
      <c r="AX20" s="776" t="b">
        <f t="shared" si="13"/>
        <v>1</v>
      </c>
      <c r="AY20" s="774" t="b">
        <f t="shared" si="14"/>
        <v>0</v>
      </c>
      <c r="AZ20" s="776" t="b">
        <f t="shared" si="15"/>
        <v>0</v>
      </c>
      <c r="BA20" s="768" t="b">
        <f t="shared" si="16"/>
        <v>0</v>
      </c>
      <c r="BB20" s="768" t="b">
        <f t="shared" si="17"/>
        <v>0</v>
      </c>
      <c r="BC20" s="774" t="b">
        <f t="shared" si="18"/>
        <v>0</v>
      </c>
      <c r="BD20" s="777" t="b">
        <f t="shared" si="31"/>
        <v>0</v>
      </c>
      <c r="BE20" s="776" t="b">
        <f t="shared" si="19"/>
        <v>0</v>
      </c>
      <c r="BF20" s="778" t="b">
        <f t="shared" si="20"/>
        <v>0</v>
      </c>
      <c r="BG20" s="779" t="b">
        <f t="shared" si="21"/>
        <v>1</v>
      </c>
      <c r="BH20" s="779">
        <f t="shared" si="32"/>
        <v>1</v>
      </c>
      <c r="BI20" s="779">
        <f t="shared" si="22"/>
        <v>2</v>
      </c>
      <c r="BJ20" s="779" t="str">
        <f t="shared" si="23"/>
        <v>2*</v>
      </c>
      <c r="BK20" s="779">
        <f t="shared" si="24"/>
        <v>3</v>
      </c>
      <c r="BL20" s="780">
        <f t="shared" si="33"/>
        <v>1</v>
      </c>
      <c r="BM20" s="779">
        <f t="shared" si="25"/>
        <v>2</v>
      </c>
      <c r="BN20" s="779">
        <f t="shared" si="26"/>
        <v>3</v>
      </c>
      <c r="BO20" s="719"/>
    </row>
    <row r="21" spans="2:75" s="731" customFormat="1" ht="12.95" customHeight="1" x14ac:dyDescent="0.25">
      <c r="B21" s="783">
        <f>IF(ISNA(Z21),"",IF(OR(Z21=1,Z21=2),"    ",MAX($B$11:B20)+1))</f>
        <v>8</v>
      </c>
      <c r="C21" s="1116" t="str">
        <f t="shared" si="0"/>
        <v xml:space="preserve">      - STO 2 (NA if unused) (5.0%)</v>
      </c>
      <c r="D21" s="1116"/>
      <c r="E21" s="1116"/>
      <c r="F21" s="1117"/>
      <c r="G21" s="763">
        <f t="shared" si="1"/>
        <v>1</v>
      </c>
      <c r="H21" s="764" t="str">
        <f t="shared" si="2"/>
        <v>2*</v>
      </c>
      <c r="I21" s="784">
        <f t="shared" si="2"/>
        <v>3</v>
      </c>
      <c r="J21" s="789"/>
      <c r="K21" s="786"/>
      <c r="L21" s="1134"/>
      <c r="M21" s="1135"/>
      <c r="N21" s="1135"/>
      <c r="O21" s="1135"/>
      <c r="P21" s="1135"/>
      <c r="Q21" s="1135"/>
      <c r="R21" s="1136"/>
      <c r="T21" s="727">
        <v>11</v>
      </c>
      <c r="U21" s="716" t="s">
        <v>1004</v>
      </c>
      <c r="V21" s="768">
        <v>1</v>
      </c>
      <c r="W21" s="768">
        <v>1.66666</v>
      </c>
      <c r="X21" s="768" t="s">
        <v>340</v>
      </c>
      <c r="Y21" s="768" t="s">
        <v>340</v>
      </c>
      <c r="Z21" s="777" t="s">
        <v>340</v>
      </c>
      <c r="AA21" s="777">
        <v>2</v>
      </c>
      <c r="AB21" s="777">
        <v>1</v>
      </c>
      <c r="AC21" s="768">
        <v>3</v>
      </c>
      <c r="AD21" s="768">
        <v>2</v>
      </c>
      <c r="AE21" s="768">
        <v>1</v>
      </c>
      <c r="AF21" s="768" t="b">
        <v>1</v>
      </c>
      <c r="AG21" s="768">
        <f t="shared" si="3"/>
        <v>2</v>
      </c>
      <c r="AH21" s="768">
        <f t="shared" si="4"/>
        <v>1</v>
      </c>
      <c r="AI21" s="769">
        <f>IF(NOT(OR(Z21=1,Z21=2)),IF(AQ21&gt;0,$AR$47*AQ21/SUMIF($AQ$11:$AQ$42,"&gt;0"),IF(AU21&gt;0,$AV$47*AU21/SUMIF($AU$11:$AU$42,"&gt;0"),IF(AS21&gt;0,$AT$47*AS21/SUMIF($AS$11:$AS$42,"&gt;0"),""))),IF(SUMIF(AJ22:$AJ$42,"=" &amp; AJ21,AI22:$AI$42)=0,"",SUMIF(AJ22:$AJ$42,"=" &amp; AJ21,AI22:$AI$42)))</f>
        <v>4.999998955996042E-2</v>
      </c>
      <c r="AJ21" s="770">
        <f t="shared" si="34"/>
        <v>2</v>
      </c>
      <c r="AK21" s="768">
        <f t="shared" si="27"/>
        <v>2</v>
      </c>
      <c r="AL21" s="777" t="str">
        <f t="shared" si="28"/>
        <v/>
      </c>
      <c r="AM21" s="777" t="str">
        <f t="shared" si="35"/>
        <v/>
      </c>
      <c r="AN21" s="777" t="str">
        <f t="shared" si="5"/>
        <v/>
      </c>
      <c r="AO21" s="777" t="str">
        <f t="shared" si="6"/>
        <v/>
      </c>
      <c r="AP21" s="768" t="b">
        <f t="shared" si="7"/>
        <v>1</v>
      </c>
      <c r="AQ21" s="771">
        <f t="shared" si="29"/>
        <v>1.66666</v>
      </c>
      <c r="AR21" s="772" t="str">
        <f t="shared" si="8"/>
        <v/>
      </c>
      <c r="AS21" s="773">
        <f t="shared" si="30"/>
        <v>0</v>
      </c>
      <c r="AT21" s="772" t="str">
        <f t="shared" si="9"/>
        <v/>
      </c>
      <c r="AU21" s="774">
        <f t="shared" si="10"/>
        <v>0</v>
      </c>
      <c r="AV21" s="775" t="str">
        <f t="shared" si="11"/>
        <v/>
      </c>
      <c r="AW21" s="774" t="b">
        <f t="shared" si="12"/>
        <v>0</v>
      </c>
      <c r="AX21" s="776" t="b">
        <f t="shared" si="13"/>
        <v>1</v>
      </c>
      <c r="AY21" s="774" t="b">
        <f t="shared" si="14"/>
        <v>0</v>
      </c>
      <c r="AZ21" s="776" t="b">
        <f t="shared" si="15"/>
        <v>0</v>
      </c>
      <c r="BA21" s="768" t="b">
        <f t="shared" si="16"/>
        <v>0</v>
      </c>
      <c r="BB21" s="768" t="b">
        <f t="shared" si="17"/>
        <v>0</v>
      </c>
      <c r="BC21" s="774" t="b">
        <f t="shared" si="18"/>
        <v>0</v>
      </c>
      <c r="BD21" s="777" t="b">
        <f t="shared" si="31"/>
        <v>0</v>
      </c>
      <c r="BE21" s="776" t="b">
        <f t="shared" si="19"/>
        <v>0</v>
      </c>
      <c r="BF21" s="778" t="b">
        <f t="shared" si="20"/>
        <v>0</v>
      </c>
      <c r="BG21" s="779" t="b">
        <f t="shared" si="21"/>
        <v>1</v>
      </c>
      <c r="BH21" s="779">
        <f t="shared" si="32"/>
        <v>1</v>
      </c>
      <c r="BI21" s="779">
        <f t="shared" si="22"/>
        <v>2</v>
      </c>
      <c r="BJ21" s="779" t="str">
        <f t="shared" si="23"/>
        <v>2*</v>
      </c>
      <c r="BK21" s="779">
        <f t="shared" si="24"/>
        <v>3</v>
      </c>
      <c r="BL21" s="780">
        <f t="shared" si="33"/>
        <v>1</v>
      </c>
      <c r="BM21" s="779">
        <f t="shared" si="25"/>
        <v>2</v>
      </c>
      <c r="BN21" s="779">
        <f t="shared" si="26"/>
        <v>3</v>
      </c>
      <c r="BO21" s="791"/>
      <c r="BP21" s="790" t="s">
        <v>355</v>
      </c>
      <c r="BQ21" s="792"/>
      <c r="BR21" s="792"/>
      <c r="BS21" s="792"/>
      <c r="BT21" s="792"/>
      <c r="BU21" s="792"/>
    </row>
    <row r="22" spans="2:75" s="731" customFormat="1" ht="12.95" customHeight="1" x14ac:dyDescent="0.25">
      <c r="B22" s="783">
        <f>IF(ISNA(Z22),"",IF(OR(Z22=1,Z22=2),"    ",MAX($B$11:B21)+1))</f>
        <v>9</v>
      </c>
      <c r="C22" s="1116" t="str">
        <f t="shared" si="0"/>
        <v xml:space="preserve">      - STO 3 (NA if unused) (5.0%)</v>
      </c>
      <c r="D22" s="1116"/>
      <c r="E22" s="1116"/>
      <c r="F22" s="1117"/>
      <c r="G22" s="763">
        <f t="shared" si="1"/>
        <v>1</v>
      </c>
      <c r="H22" s="764" t="str">
        <f t="shared" si="2"/>
        <v>2*</v>
      </c>
      <c r="I22" s="784">
        <f t="shared" si="2"/>
        <v>3</v>
      </c>
      <c r="J22" s="789"/>
      <c r="K22" s="786"/>
      <c r="L22" s="1134"/>
      <c r="M22" s="1135"/>
      <c r="N22" s="1135"/>
      <c r="O22" s="1135"/>
      <c r="P22" s="1135"/>
      <c r="Q22" s="1135"/>
      <c r="R22" s="1136"/>
      <c r="T22" s="727">
        <v>12</v>
      </c>
      <c r="U22" s="716" t="s">
        <v>1005</v>
      </c>
      <c r="V22" s="768">
        <v>1</v>
      </c>
      <c r="W22" s="768">
        <v>1.66666</v>
      </c>
      <c r="X22" s="768" t="s">
        <v>340</v>
      </c>
      <c r="Y22" s="768" t="s">
        <v>340</v>
      </c>
      <c r="Z22" s="777" t="s">
        <v>340</v>
      </c>
      <c r="AA22" s="777">
        <v>2</v>
      </c>
      <c r="AB22" s="777">
        <v>1</v>
      </c>
      <c r="AC22" s="768">
        <v>3</v>
      </c>
      <c r="AD22" s="768">
        <v>2</v>
      </c>
      <c r="AE22" s="768">
        <v>1</v>
      </c>
      <c r="AF22" s="768" t="b">
        <v>1</v>
      </c>
      <c r="AG22" s="768">
        <f t="shared" si="3"/>
        <v>2</v>
      </c>
      <c r="AH22" s="768">
        <f t="shared" si="4"/>
        <v>1</v>
      </c>
      <c r="AI22" s="769">
        <f>IF(NOT(OR(Z22=1,Z22=2)),IF(AQ22&gt;0,$AR$47*AQ22/SUMIF($AQ$11:$AQ$42,"&gt;0"),IF(AU22&gt;0,$AV$47*AU22/SUMIF($AU$11:$AU$42,"&gt;0"),IF(AS22&gt;0,$AT$47*AS22/SUMIF($AS$11:$AS$42,"&gt;0"),""))),IF(SUMIF(AJ23:$AJ$42,"=" &amp; AJ22,AI23:$AI$42)=0,"",SUMIF(AJ23:$AJ$42,"=" &amp; AJ22,AI23:$AI$42)))</f>
        <v>4.999998955996042E-2</v>
      </c>
      <c r="AJ22" s="770">
        <f t="shared" si="34"/>
        <v>2</v>
      </c>
      <c r="AK22" s="768">
        <f t="shared" si="27"/>
        <v>2</v>
      </c>
      <c r="AL22" s="777" t="str">
        <f t="shared" si="28"/>
        <v/>
      </c>
      <c r="AM22" s="777" t="str">
        <f t="shared" si="35"/>
        <v/>
      </c>
      <c r="AN22" s="777" t="str">
        <f t="shared" si="5"/>
        <v/>
      </c>
      <c r="AO22" s="777" t="str">
        <f t="shared" si="6"/>
        <v/>
      </c>
      <c r="AP22" s="768" t="b">
        <f t="shared" si="7"/>
        <v>1</v>
      </c>
      <c r="AQ22" s="771">
        <f t="shared" si="29"/>
        <v>1.66666</v>
      </c>
      <c r="AR22" s="772" t="str">
        <f t="shared" si="8"/>
        <v/>
      </c>
      <c r="AS22" s="773">
        <f t="shared" si="30"/>
        <v>0</v>
      </c>
      <c r="AT22" s="772" t="str">
        <f t="shared" si="9"/>
        <v/>
      </c>
      <c r="AU22" s="774">
        <f t="shared" si="10"/>
        <v>0</v>
      </c>
      <c r="AV22" s="775" t="str">
        <f t="shared" si="11"/>
        <v/>
      </c>
      <c r="AW22" s="774" t="b">
        <f t="shared" si="12"/>
        <v>0</v>
      </c>
      <c r="AX22" s="776" t="b">
        <f t="shared" si="13"/>
        <v>1</v>
      </c>
      <c r="AY22" s="774" t="b">
        <f t="shared" si="14"/>
        <v>0</v>
      </c>
      <c r="AZ22" s="776" t="b">
        <f t="shared" si="15"/>
        <v>0</v>
      </c>
      <c r="BA22" s="768" t="b">
        <f t="shared" si="16"/>
        <v>0</v>
      </c>
      <c r="BB22" s="768" t="b">
        <f t="shared" si="17"/>
        <v>0</v>
      </c>
      <c r="BC22" s="774" t="b">
        <f t="shared" si="18"/>
        <v>0</v>
      </c>
      <c r="BD22" s="777" t="b">
        <f t="shared" si="31"/>
        <v>0</v>
      </c>
      <c r="BE22" s="776" t="b">
        <f t="shared" si="19"/>
        <v>0</v>
      </c>
      <c r="BF22" s="778" t="b">
        <f t="shared" si="20"/>
        <v>0</v>
      </c>
      <c r="BG22" s="779" t="b">
        <f t="shared" si="21"/>
        <v>1</v>
      </c>
      <c r="BH22" s="779">
        <f t="shared" si="32"/>
        <v>1</v>
      </c>
      <c r="BI22" s="779">
        <f t="shared" si="22"/>
        <v>2</v>
      </c>
      <c r="BJ22" s="779" t="str">
        <f t="shared" si="23"/>
        <v>2*</v>
      </c>
      <c r="BK22" s="779">
        <f t="shared" si="24"/>
        <v>3</v>
      </c>
      <c r="BL22" s="780">
        <f t="shared" si="33"/>
        <v>1</v>
      </c>
      <c r="BM22" s="779">
        <f t="shared" si="25"/>
        <v>2</v>
      </c>
      <c r="BN22" s="779">
        <f t="shared" si="26"/>
        <v>3</v>
      </c>
      <c r="BO22" s="791"/>
      <c r="BP22" s="782"/>
      <c r="BQ22" s="1140" t="s">
        <v>356</v>
      </c>
      <c r="BR22" s="1140"/>
      <c r="BS22" s="1140"/>
      <c r="BT22" s="1140"/>
      <c r="BU22" s="1140"/>
    </row>
    <row r="23" spans="2:75" s="731" customFormat="1" ht="12.95" customHeight="1" x14ac:dyDescent="0.25">
      <c r="B23" s="783">
        <f>IF(ISNA(Z23),"",IF(OR(Z23=1,Z23=2),"    ",MAX($B$11:B22)+1))</f>
        <v>10</v>
      </c>
      <c r="C23" s="1116" t="str">
        <f t="shared" si="0"/>
        <v xml:space="preserve">      - STO 4 (NA if unused) (5.0%)</v>
      </c>
      <c r="D23" s="1116"/>
      <c r="E23" s="1116"/>
      <c r="F23" s="1117"/>
      <c r="G23" s="763">
        <f t="shared" si="1"/>
        <v>1</v>
      </c>
      <c r="H23" s="764" t="str">
        <f t="shared" si="2"/>
        <v>2*</v>
      </c>
      <c r="I23" s="784">
        <f t="shared" si="2"/>
        <v>3</v>
      </c>
      <c r="J23" s="789"/>
      <c r="K23" s="786"/>
      <c r="L23" s="1134"/>
      <c r="M23" s="1135"/>
      <c r="N23" s="1135"/>
      <c r="O23" s="1135"/>
      <c r="P23" s="1135"/>
      <c r="Q23" s="1135"/>
      <c r="R23" s="1136"/>
      <c r="T23" s="727">
        <v>13</v>
      </c>
      <c r="U23" s="716" t="s">
        <v>1006</v>
      </c>
      <c r="V23" s="768">
        <v>1</v>
      </c>
      <c r="W23" s="768">
        <v>1.666666</v>
      </c>
      <c r="X23" s="768" t="s">
        <v>340</v>
      </c>
      <c r="Y23" s="768" t="s">
        <v>340</v>
      </c>
      <c r="Z23" s="777" t="s">
        <v>340</v>
      </c>
      <c r="AA23" s="777">
        <v>2</v>
      </c>
      <c r="AB23" s="777">
        <v>1</v>
      </c>
      <c r="AC23" s="768">
        <v>3</v>
      </c>
      <c r="AD23" s="768">
        <v>2</v>
      </c>
      <c r="AE23" s="768">
        <v>1</v>
      </c>
      <c r="AF23" s="768" t="b">
        <v>1</v>
      </c>
      <c r="AG23" s="768">
        <f t="shared" si="3"/>
        <v>2</v>
      </c>
      <c r="AH23" s="768">
        <f t="shared" si="4"/>
        <v>1</v>
      </c>
      <c r="AI23" s="769">
        <f>IF(NOT(OR(Z23=1,Z23=2)),IF(AQ23&gt;0,$AR$47*AQ23/SUMIF($AQ$11:$AQ$42,"&gt;0"),IF(AU23&gt;0,$AV$47*AU23/SUMIF($AU$11:$AU$42,"&gt;0"),IF(AS23&gt;0,$AT$47*AS23/SUMIF($AS$11:$AS$42,"&gt;0"),""))),IF(SUMIF(AJ24:$AJ$42,"=" &amp; AJ23,AI24:$AI$42)=0,"",SUMIF(AJ24:$AJ$42,"=" &amp; AJ23,AI24:$AI$42)))</f>
        <v>5.0000169560642842E-2</v>
      </c>
      <c r="AJ23" s="770">
        <f t="shared" si="34"/>
        <v>2</v>
      </c>
      <c r="AK23" s="768">
        <f t="shared" si="27"/>
        <v>2</v>
      </c>
      <c r="AL23" s="777" t="str">
        <f t="shared" si="28"/>
        <v/>
      </c>
      <c r="AM23" s="777" t="str">
        <f t="shared" si="35"/>
        <v/>
      </c>
      <c r="AN23" s="777" t="str">
        <f t="shared" si="5"/>
        <v/>
      </c>
      <c r="AO23" s="777" t="str">
        <f t="shared" si="6"/>
        <v/>
      </c>
      <c r="AP23" s="768" t="b">
        <f t="shared" si="7"/>
        <v>1</v>
      </c>
      <c r="AQ23" s="771">
        <f t="shared" si="29"/>
        <v>1.666666</v>
      </c>
      <c r="AR23" s="772" t="str">
        <f t="shared" si="8"/>
        <v/>
      </c>
      <c r="AS23" s="773">
        <f t="shared" si="30"/>
        <v>0</v>
      </c>
      <c r="AT23" s="772" t="str">
        <f t="shared" si="9"/>
        <v/>
      </c>
      <c r="AU23" s="774">
        <f t="shared" si="10"/>
        <v>0</v>
      </c>
      <c r="AV23" s="775" t="str">
        <f t="shared" si="11"/>
        <v/>
      </c>
      <c r="AW23" s="774" t="b">
        <f t="shared" si="12"/>
        <v>0</v>
      </c>
      <c r="AX23" s="776" t="b">
        <f t="shared" si="13"/>
        <v>1</v>
      </c>
      <c r="AY23" s="774" t="b">
        <f t="shared" si="14"/>
        <v>0</v>
      </c>
      <c r="AZ23" s="776" t="b">
        <f t="shared" si="15"/>
        <v>0</v>
      </c>
      <c r="BA23" s="768" t="b">
        <f t="shared" si="16"/>
        <v>0</v>
      </c>
      <c r="BB23" s="768" t="b">
        <f t="shared" si="17"/>
        <v>0</v>
      </c>
      <c r="BC23" s="774" t="b">
        <f t="shared" si="18"/>
        <v>0</v>
      </c>
      <c r="BD23" s="777" t="b">
        <f t="shared" si="31"/>
        <v>0</v>
      </c>
      <c r="BE23" s="776" t="b">
        <f t="shared" si="19"/>
        <v>0</v>
      </c>
      <c r="BF23" s="778" t="b">
        <f t="shared" si="20"/>
        <v>0</v>
      </c>
      <c r="BG23" s="779" t="b">
        <f t="shared" si="21"/>
        <v>1</v>
      </c>
      <c r="BH23" s="779">
        <f t="shared" si="32"/>
        <v>1</v>
      </c>
      <c r="BI23" s="779">
        <f t="shared" si="22"/>
        <v>2</v>
      </c>
      <c r="BJ23" s="779" t="str">
        <f t="shared" si="23"/>
        <v>2*</v>
      </c>
      <c r="BK23" s="779">
        <f t="shared" si="24"/>
        <v>3</v>
      </c>
      <c r="BL23" s="780">
        <f t="shared" si="33"/>
        <v>1</v>
      </c>
      <c r="BM23" s="779">
        <f t="shared" si="25"/>
        <v>2</v>
      </c>
      <c r="BN23" s="779">
        <f t="shared" si="26"/>
        <v>3</v>
      </c>
      <c r="BO23" s="791"/>
      <c r="BP23" s="791"/>
      <c r="BQ23" s="791">
        <v>0</v>
      </c>
      <c r="BR23" s="791">
        <v>1</v>
      </c>
      <c r="BS23" s="791">
        <v>2</v>
      </c>
      <c r="BT23" s="791">
        <v>3</v>
      </c>
      <c r="BU23" s="791">
        <v>4</v>
      </c>
    </row>
    <row r="24" spans="2:75" s="731" customFormat="1" ht="12.95" customHeight="1" x14ac:dyDescent="0.25">
      <c r="B24" s="783" t="str">
        <f>IF(ISNA(Z24),"",IF(OR(Z24=1,Z24=2),"    ",MAX($B$11:B23)+1))</f>
        <v xml:space="preserve">    </v>
      </c>
      <c r="C24" s="1116" t="str">
        <f t="shared" si="0"/>
        <v>Clarity &amp; Precision (Mechanics) (10.0%)</v>
      </c>
      <c r="D24" s="1116"/>
      <c r="E24" s="1116"/>
      <c r="F24" s="1117"/>
      <c r="G24" s="763" t="str">
        <f t="shared" si="1"/>
        <v/>
      </c>
      <c r="H24" s="764" t="str">
        <f t="shared" si="2"/>
        <v/>
      </c>
      <c r="I24" s="784" t="str">
        <f t="shared" si="2"/>
        <v/>
      </c>
      <c r="J24" s="793"/>
      <c r="K24" s="794"/>
      <c r="L24" s="1134"/>
      <c r="M24" s="1135"/>
      <c r="N24" s="1135"/>
      <c r="O24" s="1135"/>
      <c r="P24" s="1135"/>
      <c r="Q24" s="1135"/>
      <c r="R24" s="1136"/>
      <c r="T24" s="727">
        <v>14</v>
      </c>
      <c r="U24" s="716" t="s">
        <v>970</v>
      </c>
      <c r="V24" s="768" t="s">
        <v>340</v>
      </c>
      <c r="W24" s="768" t="s">
        <v>340</v>
      </c>
      <c r="X24" s="768" t="s">
        <v>340</v>
      </c>
      <c r="Y24" s="768" t="s">
        <v>340</v>
      </c>
      <c r="Z24" s="777">
        <v>2</v>
      </c>
      <c r="AA24" s="777">
        <v>1</v>
      </c>
      <c r="AB24" s="777">
        <v>1</v>
      </c>
      <c r="AC24" s="768" t="s">
        <v>340</v>
      </c>
      <c r="AD24" s="768" t="s">
        <v>340</v>
      </c>
      <c r="AE24" s="768" t="s">
        <v>340</v>
      </c>
      <c r="AF24" s="768" t="s">
        <v>340</v>
      </c>
      <c r="AG24" s="768" t="str">
        <f t="shared" si="3"/>
        <v/>
      </c>
      <c r="AH24" s="768" t="str">
        <f t="shared" si="4"/>
        <v/>
      </c>
      <c r="AI24" s="769">
        <f>IF(NOT(OR(Z24=1,Z24=2)),IF(AQ24&gt;0,$AR$47*AQ24/SUMIF($AQ$11:$AQ$42,"&gt;0"),IF(AU24&gt;0,$AV$47*AU24/SUMIF($AU$11:$AU$42,"&gt;0"),IF(AS24&gt;0,$AT$47*AS24/SUMIF($AS$11:$AS$42,"&gt;0"),""))),IF(SUMIF(AJ25:$AJ$42,"=" &amp; AJ24,AI25:$AI$42)=0,"",SUMIF(AJ25:$AJ$42,"=" &amp; AJ24,AI25:$AI$42)))</f>
        <v>0.10000037812143354</v>
      </c>
      <c r="AJ24" s="770">
        <f t="shared" si="34"/>
        <v>3</v>
      </c>
      <c r="AK24" s="768" t="str">
        <f t="shared" si="27"/>
        <v/>
      </c>
      <c r="AL24" s="777" t="str">
        <f t="shared" si="28"/>
        <v/>
      </c>
      <c r="AM24" s="777" t="str">
        <f t="shared" si="35"/>
        <v/>
      </c>
      <c r="AN24" s="777" t="str">
        <f t="shared" si="5"/>
        <v/>
      </c>
      <c r="AO24" s="777" t="str">
        <f t="shared" si="6"/>
        <v/>
      </c>
      <c r="AP24" s="768" t="str">
        <f t="shared" si="7"/>
        <v/>
      </c>
      <c r="AQ24" s="771">
        <f t="shared" si="29"/>
        <v>0</v>
      </c>
      <c r="AR24" s="772" t="str">
        <f t="shared" si="8"/>
        <v/>
      </c>
      <c r="AS24" s="773">
        <f t="shared" si="30"/>
        <v>0</v>
      </c>
      <c r="AT24" s="772" t="str">
        <f t="shared" si="9"/>
        <v/>
      </c>
      <c r="AU24" s="774">
        <f t="shared" si="10"/>
        <v>0</v>
      </c>
      <c r="AV24" s="775" t="str">
        <f t="shared" si="11"/>
        <v/>
      </c>
      <c r="AW24" s="774" t="b">
        <f t="shared" si="12"/>
        <v>0</v>
      </c>
      <c r="AX24" s="776" t="b">
        <f t="shared" si="13"/>
        <v>0</v>
      </c>
      <c r="AY24" s="774" t="b">
        <f t="shared" si="14"/>
        <v>0</v>
      </c>
      <c r="AZ24" s="776" t="b">
        <f t="shared" si="15"/>
        <v>0</v>
      </c>
      <c r="BA24" s="768" t="b">
        <f t="shared" si="16"/>
        <v>0</v>
      </c>
      <c r="BB24" s="768" t="b">
        <f t="shared" si="17"/>
        <v>0</v>
      </c>
      <c r="BC24" s="774" t="b">
        <f t="shared" si="18"/>
        <v>0</v>
      </c>
      <c r="BD24" s="777" t="b">
        <f t="shared" si="31"/>
        <v>0</v>
      </c>
      <c r="BE24" s="776" t="b">
        <f t="shared" si="19"/>
        <v>0</v>
      </c>
      <c r="BF24" s="778" t="b">
        <f t="shared" si="20"/>
        <v>0</v>
      </c>
      <c r="BG24" s="779" t="b">
        <f t="shared" si="21"/>
        <v>0</v>
      </c>
      <c r="BH24" s="779" t="str">
        <f t="shared" si="32"/>
        <v/>
      </c>
      <c r="BI24" s="779" t="str">
        <f t="shared" si="22"/>
        <v/>
      </c>
      <c r="BJ24" s="779" t="str">
        <f t="shared" si="23"/>
        <v/>
      </c>
      <c r="BK24" s="779" t="str">
        <f t="shared" si="24"/>
        <v/>
      </c>
      <c r="BL24" s="780" t="str">
        <f t="shared" si="33"/>
        <v/>
      </c>
      <c r="BM24" s="779" t="str">
        <f t="shared" si="25"/>
        <v/>
      </c>
      <c r="BN24" s="779" t="str">
        <f t="shared" si="26"/>
        <v/>
      </c>
      <c r="BO24" s="1141" t="s">
        <v>358</v>
      </c>
      <c r="BP24" s="791" t="s">
        <v>359</v>
      </c>
      <c r="BQ24" s="795">
        <f t="shared" ref="BQ24:BU32" si="36">AR53</f>
        <v>0.7</v>
      </c>
      <c r="BR24" s="796">
        <f t="shared" si="36"/>
        <v>0.9</v>
      </c>
      <c r="BS24" s="796">
        <f t="shared" si="36"/>
        <v>0.93330000000000002</v>
      </c>
      <c r="BT24" s="796">
        <f t="shared" si="36"/>
        <v>0.9667</v>
      </c>
      <c r="BU24" s="797">
        <f t="shared" si="36"/>
        <v>1</v>
      </c>
      <c r="BV24" s="798"/>
      <c r="BW24" s="711"/>
    </row>
    <row r="25" spans="2:75" s="731" customFormat="1" ht="12.95" customHeight="1" x14ac:dyDescent="0.25">
      <c r="B25" s="783">
        <f>IF(ISNA(Z25),"",IF(OR(Z25=1,Z25=2),"    ",MAX($B$11:B24)+1))</f>
        <v>11</v>
      </c>
      <c r="C25" s="1116" t="str">
        <f t="shared" si="0"/>
        <v xml:space="preserve">      - Grammar &amp; Syntax (4.0%)</v>
      </c>
      <c r="D25" s="1116"/>
      <c r="E25" s="1116"/>
      <c r="F25" s="1117"/>
      <c r="G25" s="763">
        <f t="shared" si="1"/>
        <v>1</v>
      </c>
      <c r="H25" s="764" t="str">
        <f t="shared" si="2"/>
        <v>2*</v>
      </c>
      <c r="I25" s="784">
        <f t="shared" si="2"/>
        <v>3</v>
      </c>
      <c r="J25" s="789"/>
      <c r="K25" s="786"/>
      <c r="L25" s="1134"/>
      <c r="M25" s="1135"/>
      <c r="N25" s="1135"/>
      <c r="O25" s="1135"/>
      <c r="P25" s="1135"/>
      <c r="Q25" s="1135"/>
      <c r="R25" s="1136"/>
      <c r="T25" s="727">
        <v>15</v>
      </c>
      <c r="U25" s="716" t="s">
        <v>971</v>
      </c>
      <c r="V25" s="768">
        <v>1</v>
      </c>
      <c r="W25" s="768">
        <v>1.3333333000000001</v>
      </c>
      <c r="X25" s="768" t="s">
        <v>340</v>
      </c>
      <c r="Y25" s="768" t="s">
        <v>340</v>
      </c>
      <c r="Z25" s="777" t="s">
        <v>340</v>
      </c>
      <c r="AA25" s="777">
        <v>2</v>
      </c>
      <c r="AB25" s="777">
        <v>1</v>
      </c>
      <c r="AC25" s="768">
        <v>3</v>
      </c>
      <c r="AD25" s="768">
        <v>2</v>
      </c>
      <c r="AE25" s="768">
        <v>1</v>
      </c>
      <c r="AF25" s="768" t="b">
        <v>1</v>
      </c>
      <c r="AG25" s="768">
        <f t="shared" si="3"/>
        <v>2</v>
      </c>
      <c r="AH25" s="768">
        <f t="shared" si="4"/>
        <v>1</v>
      </c>
      <c r="AI25" s="769">
        <f>IF(NOT(OR(Z25=1,Z25=2)),IF(AQ25&gt;0,$AR$47*AQ25/SUMIF($AQ$11:$AQ$42,"&gt;0"),IF(AU25&gt;0,$AV$47*AU25/SUMIF($AU$11:$AU$42,"&gt;0"),IF(AS25&gt;0,$AT$47*AS25/SUMIF($AS$11:$AS$42,"&gt;0"),""))),IF(SUMIF(AJ26:$AJ$42,"=" &amp; AJ25,AI26:$AI$42)=0,"",SUMIF(AJ26:$AJ$42,"=" &amp; AJ25,AI26:$AI$42)))</f>
        <v>4.0000150648571139E-2</v>
      </c>
      <c r="AJ25" s="770">
        <f t="shared" si="34"/>
        <v>3</v>
      </c>
      <c r="AK25" s="768">
        <f t="shared" si="27"/>
        <v>2</v>
      </c>
      <c r="AL25" s="777" t="str">
        <f t="shared" si="28"/>
        <v/>
      </c>
      <c r="AM25" s="777" t="str">
        <f t="shared" si="35"/>
        <v/>
      </c>
      <c r="AN25" s="777" t="str">
        <f t="shared" si="5"/>
        <v/>
      </c>
      <c r="AO25" s="777" t="str">
        <f t="shared" si="6"/>
        <v/>
      </c>
      <c r="AP25" s="768" t="b">
        <f t="shared" si="7"/>
        <v>1</v>
      </c>
      <c r="AQ25" s="771">
        <f t="shared" si="29"/>
        <v>1.3333333000000001</v>
      </c>
      <c r="AR25" s="772" t="str">
        <f t="shared" si="8"/>
        <v/>
      </c>
      <c r="AS25" s="773">
        <f t="shared" si="30"/>
        <v>0</v>
      </c>
      <c r="AT25" s="772" t="str">
        <f t="shared" si="9"/>
        <v/>
      </c>
      <c r="AU25" s="774">
        <f t="shared" si="10"/>
        <v>0</v>
      </c>
      <c r="AV25" s="775" t="str">
        <f t="shared" si="11"/>
        <v/>
      </c>
      <c r="AW25" s="774" t="b">
        <f t="shared" si="12"/>
        <v>0</v>
      </c>
      <c r="AX25" s="776" t="b">
        <f t="shared" si="13"/>
        <v>1</v>
      </c>
      <c r="AY25" s="774" t="b">
        <f t="shared" si="14"/>
        <v>0</v>
      </c>
      <c r="AZ25" s="776" t="b">
        <f t="shared" si="15"/>
        <v>0</v>
      </c>
      <c r="BA25" s="768" t="b">
        <f t="shared" si="16"/>
        <v>0</v>
      </c>
      <c r="BB25" s="768" t="b">
        <f t="shared" si="17"/>
        <v>0</v>
      </c>
      <c r="BC25" s="774" t="b">
        <f t="shared" si="18"/>
        <v>0</v>
      </c>
      <c r="BD25" s="777" t="b">
        <f t="shared" si="31"/>
        <v>0</v>
      </c>
      <c r="BE25" s="776" t="b">
        <f>IF(OR(ISNA($Z25),K25&lt;&gt;"D"),FALSE,IF(OR(AND(H25="NG",J25=0),AND(H25&lt;&gt;"NG",NOT(OR(J25="NA",J25=0)))),TRUE,FALSE))</f>
        <v>0</v>
      </c>
      <c r="BF25" s="778" t="b">
        <f t="shared" si="20"/>
        <v>0</v>
      </c>
      <c r="BG25" s="779" t="b">
        <f>IF(ISNA($Z25),"NA",IF(OR(AZ25,AY25,AX25,AW25,AP25,BA25,BB25),TRUE,FALSE))</f>
        <v>1</v>
      </c>
      <c r="BH25" s="779">
        <f t="shared" si="32"/>
        <v>1</v>
      </c>
      <c r="BI25" s="779">
        <f t="shared" si="22"/>
        <v>2</v>
      </c>
      <c r="BJ25" s="779" t="str">
        <f t="shared" si="23"/>
        <v>2*</v>
      </c>
      <c r="BK25" s="779">
        <f t="shared" si="24"/>
        <v>3</v>
      </c>
      <c r="BL25" s="780">
        <f t="shared" si="33"/>
        <v>1</v>
      </c>
      <c r="BM25" s="779">
        <f t="shared" si="25"/>
        <v>2</v>
      </c>
      <c r="BN25" s="779">
        <f t="shared" si="26"/>
        <v>3</v>
      </c>
      <c r="BO25" s="1141"/>
      <c r="BP25" s="791" t="s">
        <v>360</v>
      </c>
      <c r="BQ25" s="799">
        <f t="shared" si="36"/>
        <v>0.7</v>
      </c>
      <c r="BR25" s="800">
        <f t="shared" si="36"/>
        <v>0.8</v>
      </c>
      <c r="BS25" s="800">
        <f t="shared" si="36"/>
        <v>0.9</v>
      </c>
      <c r="BT25" s="800">
        <f t="shared" si="36"/>
        <v>0.95</v>
      </c>
      <c r="BU25" s="801">
        <f t="shared" si="36"/>
        <v>1</v>
      </c>
      <c r="BV25" s="711"/>
      <c r="BW25" s="802"/>
    </row>
    <row r="26" spans="2:75" s="731" customFormat="1" ht="12.95" customHeight="1" x14ac:dyDescent="0.25">
      <c r="B26" s="783">
        <f>IF(ISNA(Z26),"",IF(OR(Z26=1,Z26=2),"    ",MAX($B$11:B25)+1))</f>
        <v>12</v>
      </c>
      <c r="C26" s="1116" t="str">
        <f t="shared" si="0"/>
        <v xml:space="preserve">      - Punct. Acronyms &amp; Format (3.0%)</v>
      </c>
      <c r="D26" s="1116"/>
      <c r="E26" s="1116"/>
      <c r="F26" s="1117"/>
      <c r="G26" s="763">
        <f t="shared" si="1"/>
        <v>1</v>
      </c>
      <c r="H26" s="764" t="str">
        <f t="shared" si="2"/>
        <v>2*</v>
      </c>
      <c r="I26" s="784">
        <f t="shared" si="2"/>
        <v>3</v>
      </c>
      <c r="J26" s="789"/>
      <c r="K26" s="786"/>
      <c r="L26" s="1134"/>
      <c r="M26" s="1135"/>
      <c r="N26" s="1135"/>
      <c r="O26" s="1135"/>
      <c r="P26" s="1135"/>
      <c r="Q26" s="1135"/>
      <c r="R26" s="1136"/>
      <c r="T26" s="727">
        <v>16</v>
      </c>
      <c r="U26" s="716" t="s">
        <v>990</v>
      </c>
      <c r="V26" s="768">
        <v>1</v>
      </c>
      <c r="W26" s="768">
        <v>1</v>
      </c>
      <c r="X26" s="768" t="s">
        <v>340</v>
      </c>
      <c r="Y26" s="768" t="s">
        <v>340</v>
      </c>
      <c r="Z26" s="777" t="s">
        <v>340</v>
      </c>
      <c r="AA26" s="777">
        <v>2</v>
      </c>
      <c r="AB26" s="777">
        <v>1</v>
      </c>
      <c r="AC26" s="768">
        <v>3</v>
      </c>
      <c r="AD26" s="768">
        <v>2</v>
      </c>
      <c r="AE26" s="768">
        <v>1</v>
      </c>
      <c r="AF26" s="768" t="b">
        <v>1</v>
      </c>
      <c r="AG26" s="768">
        <f t="shared" si="3"/>
        <v>2</v>
      </c>
      <c r="AH26" s="768">
        <f t="shared" si="4"/>
        <v>1</v>
      </c>
      <c r="AI26" s="769">
        <f>IF(NOT(OR(Z26=1,Z26=2)),IF(AQ26&gt;0,$AR$47*AQ26/SUMIF($AQ$11:$AQ$42,"&gt;0"),IF(AU26&gt;0,$AV$47*AU26/SUMIF($AU$11:$AU$42,"&gt;0"),IF(AS26&gt;0,$AT$47*AS26/SUMIF($AS$11:$AS$42,"&gt;0"),""))),IF(SUMIF(AJ27:$AJ$42,"=" &amp; AJ26,AI27:$AI$42)=0,"",SUMIF(AJ27:$AJ$42,"=" &amp; AJ26,AI27:$AI$42)))</f>
        <v>3.0000113736431199E-2</v>
      </c>
      <c r="AJ26" s="770">
        <f t="shared" si="34"/>
        <v>3</v>
      </c>
      <c r="AK26" s="768">
        <f t="shared" si="27"/>
        <v>2</v>
      </c>
      <c r="AL26" s="777" t="str">
        <f t="shared" si="28"/>
        <v/>
      </c>
      <c r="AM26" s="777" t="str">
        <f t="shared" si="35"/>
        <v/>
      </c>
      <c r="AN26" s="777" t="str">
        <f t="shared" si="5"/>
        <v/>
      </c>
      <c r="AO26" s="777" t="str">
        <f t="shared" si="6"/>
        <v/>
      </c>
      <c r="AP26" s="768" t="b">
        <f t="shared" si="7"/>
        <v>1</v>
      </c>
      <c r="AQ26" s="771">
        <f t="shared" si="29"/>
        <v>1</v>
      </c>
      <c r="AR26" s="772" t="str">
        <f t="shared" si="8"/>
        <v/>
      </c>
      <c r="AS26" s="773">
        <f t="shared" si="30"/>
        <v>0</v>
      </c>
      <c r="AT26" s="772" t="str">
        <f t="shared" si="9"/>
        <v/>
      </c>
      <c r="AU26" s="774">
        <f t="shared" si="10"/>
        <v>0</v>
      </c>
      <c r="AV26" s="775" t="str">
        <f t="shared" si="11"/>
        <v/>
      </c>
      <c r="AW26" s="774" t="b">
        <f t="shared" si="12"/>
        <v>0</v>
      </c>
      <c r="AX26" s="776" t="b">
        <f t="shared" si="13"/>
        <v>1</v>
      </c>
      <c r="AY26" s="774" t="b">
        <f t="shared" si="14"/>
        <v>0</v>
      </c>
      <c r="AZ26" s="776" t="b">
        <f t="shared" si="15"/>
        <v>0</v>
      </c>
      <c r="BA26" s="768" t="b">
        <f t="shared" si="16"/>
        <v>0</v>
      </c>
      <c r="BB26" s="768" t="b">
        <f t="shared" si="17"/>
        <v>0</v>
      </c>
      <c r="BC26" s="774" t="b">
        <f t="shared" si="18"/>
        <v>0</v>
      </c>
      <c r="BD26" s="777" t="b">
        <f t="shared" si="31"/>
        <v>0</v>
      </c>
      <c r="BE26" s="776" t="b">
        <f t="shared" ref="BE26:BE42" si="37">IF(OR(ISNA($Z26),K26&lt;&gt;"D"),FALSE,IF(OR(AND(H26="NG",J26=0),AND(H26&lt;&gt;"NG",NOT(OR(J26="NA",J26=0)))),TRUE,FALSE))</f>
        <v>0</v>
      </c>
      <c r="BF26" s="778" t="b">
        <f t="shared" si="20"/>
        <v>0</v>
      </c>
      <c r="BG26" s="779" t="b">
        <f t="shared" ref="BG26:BG42" si="38">IF(ISNA($Z26),"NA",IF(OR(AZ26,AY26,AX26,AW26,AP26,BA26,BB26),TRUE,FALSE))</f>
        <v>1</v>
      </c>
      <c r="BH26" s="779">
        <f t="shared" si="32"/>
        <v>1</v>
      </c>
      <c r="BI26" s="779">
        <f t="shared" si="22"/>
        <v>2</v>
      </c>
      <c r="BJ26" s="779" t="str">
        <f t="shared" si="23"/>
        <v>2*</v>
      </c>
      <c r="BK26" s="779">
        <f t="shared" si="24"/>
        <v>3</v>
      </c>
      <c r="BL26" s="780">
        <f t="shared" si="33"/>
        <v>1</v>
      </c>
      <c r="BM26" s="779">
        <f t="shared" si="25"/>
        <v>2</v>
      </c>
      <c r="BN26" s="779">
        <f t="shared" si="26"/>
        <v>3</v>
      </c>
      <c r="BO26" s="1141"/>
      <c r="BP26" s="791" t="s">
        <v>361</v>
      </c>
      <c r="BQ26" s="799">
        <f t="shared" si="36"/>
        <v>0.7</v>
      </c>
      <c r="BR26" s="800">
        <f t="shared" si="36"/>
        <v>0.76670000000000005</v>
      </c>
      <c r="BS26" s="800">
        <f t="shared" si="36"/>
        <v>0.83330000000000004</v>
      </c>
      <c r="BT26" s="800">
        <f t="shared" si="36"/>
        <v>0.9</v>
      </c>
      <c r="BU26" s="801">
        <f t="shared" si="36"/>
        <v>1</v>
      </c>
      <c r="BV26" s="711"/>
      <c r="BW26" s="802"/>
    </row>
    <row r="27" spans="2:75" s="731" customFormat="1" ht="12.95" customHeight="1" x14ac:dyDescent="0.25">
      <c r="B27" s="783">
        <f>IF(ISNA(Z27),"",IF(OR(Z27=1,Z27=2),"    ",MAX($B$11:B26)+1))</f>
        <v>13</v>
      </c>
      <c r="C27" s="1116" t="str">
        <f t="shared" si="0"/>
        <v xml:space="preserve">      - Profess. Tone &amp; Word Choice (3.0%)</v>
      </c>
      <c r="D27" s="1116"/>
      <c r="E27" s="1116"/>
      <c r="F27" s="1117"/>
      <c r="G27" s="763">
        <f t="shared" si="1"/>
        <v>1</v>
      </c>
      <c r="H27" s="764" t="str">
        <f t="shared" si="2"/>
        <v>2*</v>
      </c>
      <c r="I27" s="784">
        <f t="shared" si="2"/>
        <v>3</v>
      </c>
      <c r="J27" s="789"/>
      <c r="K27" s="786"/>
      <c r="L27" s="1134"/>
      <c r="M27" s="1135"/>
      <c r="N27" s="1135"/>
      <c r="O27" s="1135"/>
      <c r="P27" s="1135"/>
      <c r="Q27" s="1135"/>
      <c r="R27" s="1136"/>
      <c r="T27" s="727">
        <v>17</v>
      </c>
      <c r="U27" s="716" t="s">
        <v>991</v>
      </c>
      <c r="V27" s="768">
        <v>1</v>
      </c>
      <c r="W27" s="768">
        <v>1</v>
      </c>
      <c r="X27" s="768" t="s">
        <v>340</v>
      </c>
      <c r="Y27" s="768" t="s">
        <v>340</v>
      </c>
      <c r="Z27" s="777" t="s">
        <v>340</v>
      </c>
      <c r="AA27" s="777">
        <v>2</v>
      </c>
      <c r="AB27" s="777">
        <v>1</v>
      </c>
      <c r="AC27" s="768">
        <v>3</v>
      </c>
      <c r="AD27" s="768">
        <v>2</v>
      </c>
      <c r="AE27" s="768">
        <v>1</v>
      </c>
      <c r="AF27" s="768" t="b">
        <v>1</v>
      </c>
      <c r="AG27" s="768">
        <f t="shared" si="3"/>
        <v>2</v>
      </c>
      <c r="AH27" s="768">
        <f t="shared" si="4"/>
        <v>1</v>
      </c>
      <c r="AI27" s="769">
        <f>IF(NOT(OR(Z27=1,Z27=2)),IF(AQ27&gt;0,$AR$47*AQ27/SUMIF($AQ$11:$AQ$42,"&gt;0"),IF(AU27&gt;0,$AV$47*AU27/SUMIF($AU$11:$AU$42,"&gt;0"),IF(AS27&gt;0,$AT$47*AS27/SUMIF($AS$11:$AS$42,"&gt;0"),""))),IF(SUMIF(AJ28:$AJ$42,"=" &amp; AJ27,AI28:$AI$42)=0,"",SUMIF(AJ28:$AJ$42,"=" &amp; AJ27,AI28:$AI$42)))</f>
        <v>3.0000113736431199E-2</v>
      </c>
      <c r="AJ27" s="770">
        <f t="shared" si="34"/>
        <v>3</v>
      </c>
      <c r="AK27" s="768">
        <f t="shared" si="27"/>
        <v>2</v>
      </c>
      <c r="AL27" s="777" t="str">
        <f t="shared" si="28"/>
        <v/>
      </c>
      <c r="AM27" s="777" t="str">
        <f t="shared" si="35"/>
        <v/>
      </c>
      <c r="AN27" s="777" t="str">
        <f t="shared" si="5"/>
        <v/>
      </c>
      <c r="AO27" s="777" t="str">
        <f t="shared" si="6"/>
        <v/>
      </c>
      <c r="AP27" s="768" t="b">
        <f t="shared" si="7"/>
        <v>1</v>
      </c>
      <c r="AQ27" s="771">
        <f t="shared" si="29"/>
        <v>1</v>
      </c>
      <c r="AR27" s="772" t="str">
        <f t="shared" si="8"/>
        <v/>
      </c>
      <c r="AS27" s="773">
        <f t="shared" si="30"/>
        <v>0</v>
      </c>
      <c r="AT27" s="772" t="str">
        <f t="shared" si="9"/>
        <v/>
      </c>
      <c r="AU27" s="774">
        <f t="shared" si="10"/>
        <v>0</v>
      </c>
      <c r="AV27" s="775" t="str">
        <f t="shared" si="11"/>
        <v/>
      </c>
      <c r="AW27" s="774" t="b">
        <f t="shared" si="12"/>
        <v>0</v>
      </c>
      <c r="AX27" s="776" t="b">
        <f t="shared" si="13"/>
        <v>1</v>
      </c>
      <c r="AY27" s="774" t="b">
        <f t="shared" si="14"/>
        <v>0</v>
      </c>
      <c r="AZ27" s="776" t="b">
        <f t="shared" si="15"/>
        <v>0</v>
      </c>
      <c r="BA27" s="768" t="b">
        <f t="shared" si="16"/>
        <v>0</v>
      </c>
      <c r="BB27" s="768" t="b">
        <f t="shared" si="17"/>
        <v>0</v>
      </c>
      <c r="BC27" s="774" t="b">
        <f t="shared" si="18"/>
        <v>0</v>
      </c>
      <c r="BD27" s="777" t="b">
        <f t="shared" si="31"/>
        <v>0</v>
      </c>
      <c r="BE27" s="776" t="b">
        <f t="shared" si="37"/>
        <v>0</v>
      </c>
      <c r="BF27" s="778" t="b">
        <f t="shared" si="20"/>
        <v>0</v>
      </c>
      <c r="BG27" s="779" t="b">
        <f t="shared" si="38"/>
        <v>1</v>
      </c>
      <c r="BH27" s="779">
        <f t="shared" si="32"/>
        <v>1</v>
      </c>
      <c r="BI27" s="779">
        <f t="shared" si="22"/>
        <v>2</v>
      </c>
      <c r="BJ27" s="779" t="str">
        <f t="shared" si="23"/>
        <v>2*</v>
      </c>
      <c r="BK27" s="779">
        <f t="shared" si="24"/>
        <v>3</v>
      </c>
      <c r="BL27" s="780">
        <f t="shared" si="33"/>
        <v>1</v>
      </c>
      <c r="BM27" s="779">
        <f t="shared" si="25"/>
        <v>2</v>
      </c>
      <c r="BN27" s="779">
        <f t="shared" si="26"/>
        <v>3</v>
      </c>
      <c r="BO27" s="1141"/>
      <c r="BP27" s="791" t="s">
        <v>362</v>
      </c>
      <c r="BQ27" s="799">
        <f t="shared" si="36"/>
        <v>0.6</v>
      </c>
      <c r="BR27" s="800">
        <f t="shared" si="36"/>
        <v>0.9</v>
      </c>
      <c r="BS27" s="800">
        <f t="shared" si="36"/>
        <v>0.93330000000000002</v>
      </c>
      <c r="BT27" s="800">
        <f t="shared" si="36"/>
        <v>0.9667</v>
      </c>
      <c r="BU27" s="801">
        <f t="shared" si="36"/>
        <v>1</v>
      </c>
      <c r="BV27" s="711"/>
      <c r="BW27" s="802"/>
    </row>
    <row r="28" spans="2:75" s="731" customFormat="1" ht="12.95" customHeight="1" x14ac:dyDescent="0.25">
      <c r="B28" s="783" t="str">
        <f>IF(ISNA(Z28),"",IF(OR(Z28=1,Z28=2),"    ",MAX($B$11:B27)+1))</f>
        <v xml:space="preserve">    </v>
      </c>
      <c r="C28" s="1116" t="str">
        <f t="shared" si="0"/>
        <v>Visual Eng &amp; Data Presentation (20.0%)</v>
      </c>
      <c r="D28" s="1116"/>
      <c r="E28" s="1116"/>
      <c r="F28" s="1117"/>
      <c r="G28" s="763" t="str">
        <f t="shared" si="1"/>
        <v/>
      </c>
      <c r="H28" s="764" t="str">
        <f t="shared" si="2"/>
        <v/>
      </c>
      <c r="I28" s="784" t="str">
        <f t="shared" si="2"/>
        <v/>
      </c>
      <c r="J28" s="793"/>
      <c r="K28" s="794"/>
      <c r="L28" s="1134"/>
      <c r="M28" s="1135"/>
      <c r="N28" s="1135"/>
      <c r="O28" s="1135"/>
      <c r="P28" s="1135"/>
      <c r="Q28" s="1135"/>
      <c r="R28" s="1136"/>
      <c r="T28" s="727">
        <v>18</v>
      </c>
      <c r="U28" s="716" t="s">
        <v>974</v>
      </c>
      <c r="V28" s="768" t="s">
        <v>340</v>
      </c>
      <c r="W28" s="768" t="s">
        <v>340</v>
      </c>
      <c r="X28" s="768" t="s">
        <v>340</v>
      </c>
      <c r="Y28" s="768" t="s">
        <v>340</v>
      </c>
      <c r="Z28" s="777">
        <v>2</v>
      </c>
      <c r="AA28" s="777">
        <v>1</v>
      </c>
      <c r="AB28" s="777">
        <v>1</v>
      </c>
      <c r="AC28" s="768" t="s">
        <v>340</v>
      </c>
      <c r="AD28" s="768" t="s">
        <v>340</v>
      </c>
      <c r="AE28" s="768" t="s">
        <v>340</v>
      </c>
      <c r="AF28" s="768" t="s">
        <v>340</v>
      </c>
      <c r="AG28" s="768" t="str">
        <f t="shared" si="3"/>
        <v/>
      </c>
      <c r="AH28" s="768" t="str">
        <f t="shared" si="4"/>
        <v/>
      </c>
      <c r="AI28" s="769">
        <f>IF(NOT(OR(Z28=1,Z28=2)),IF(AQ28&gt;0,$AR$47*AQ28/SUMIF($AQ$11:$AQ$42,"&gt;0"),IF(AU28&gt;0,$AV$47*AU28/SUMIF($AU$11:$AU$42,"&gt;0"),IF(AS28&gt;0,$AT$47*AS28/SUMIF($AS$11:$AS$42,"&gt;0"),""))),IF(SUMIF(AJ29:$AJ$42,"=" &amp; AJ28,AI29:$AI$42)=0,"",SUMIF(AJ29:$AJ$42,"=" &amp; AJ28,AI29:$AI$42)))</f>
        <v>0.20000075804287393</v>
      </c>
      <c r="AJ28" s="770">
        <f t="shared" si="34"/>
        <v>4</v>
      </c>
      <c r="AK28" s="768" t="str">
        <f t="shared" si="27"/>
        <v/>
      </c>
      <c r="AL28" s="777" t="str">
        <f t="shared" si="28"/>
        <v/>
      </c>
      <c r="AM28" s="777" t="str">
        <f t="shared" si="35"/>
        <v/>
      </c>
      <c r="AN28" s="777" t="str">
        <f t="shared" si="5"/>
        <v/>
      </c>
      <c r="AO28" s="777" t="str">
        <f t="shared" si="6"/>
        <v/>
      </c>
      <c r="AP28" s="768" t="str">
        <f t="shared" si="7"/>
        <v/>
      </c>
      <c r="AQ28" s="771">
        <f t="shared" si="29"/>
        <v>0</v>
      </c>
      <c r="AR28" s="772" t="str">
        <f t="shared" si="8"/>
        <v/>
      </c>
      <c r="AS28" s="773">
        <f t="shared" si="30"/>
        <v>0</v>
      </c>
      <c r="AT28" s="772" t="str">
        <f t="shared" si="9"/>
        <v/>
      </c>
      <c r="AU28" s="774">
        <f t="shared" si="10"/>
        <v>0</v>
      </c>
      <c r="AV28" s="775" t="str">
        <f t="shared" si="11"/>
        <v/>
      </c>
      <c r="AW28" s="774" t="b">
        <f t="shared" si="12"/>
        <v>0</v>
      </c>
      <c r="AX28" s="776" t="b">
        <f t="shared" si="13"/>
        <v>0</v>
      </c>
      <c r="AY28" s="774" t="b">
        <f t="shared" si="14"/>
        <v>0</v>
      </c>
      <c r="AZ28" s="776" t="b">
        <f t="shared" si="15"/>
        <v>0</v>
      </c>
      <c r="BA28" s="768" t="b">
        <f t="shared" si="16"/>
        <v>0</v>
      </c>
      <c r="BB28" s="768" t="b">
        <f t="shared" si="17"/>
        <v>0</v>
      </c>
      <c r="BC28" s="774" t="b">
        <f t="shared" si="18"/>
        <v>0</v>
      </c>
      <c r="BD28" s="777" t="b">
        <f t="shared" si="31"/>
        <v>0</v>
      </c>
      <c r="BE28" s="776" t="b">
        <f t="shared" si="37"/>
        <v>0</v>
      </c>
      <c r="BF28" s="778" t="b">
        <f t="shared" si="20"/>
        <v>0</v>
      </c>
      <c r="BG28" s="779" t="b">
        <f t="shared" si="38"/>
        <v>0</v>
      </c>
      <c r="BH28" s="779" t="str">
        <f t="shared" si="32"/>
        <v/>
      </c>
      <c r="BI28" s="779" t="str">
        <f t="shared" si="22"/>
        <v/>
      </c>
      <c r="BJ28" s="779" t="str">
        <f t="shared" si="23"/>
        <v/>
      </c>
      <c r="BK28" s="779" t="str">
        <f t="shared" si="24"/>
        <v/>
      </c>
      <c r="BL28" s="780" t="str">
        <f t="shared" si="33"/>
        <v/>
      </c>
      <c r="BM28" s="779" t="str">
        <f t="shared" si="25"/>
        <v/>
      </c>
      <c r="BN28" s="779" t="str">
        <f t="shared" si="26"/>
        <v/>
      </c>
      <c r="BO28" s="1141"/>
      <c r="BP28" s="791" t="s">
        <v>363</v>
      </c>
      <c r="BQ28" s="799">
        <f t="shared" si="36"/>
        <v>0.6</v>
      </c>
      <c r="BR28" s="800">
        <f t="shared" si="36"/>
        <v>0.7</v>
      </c>
      <c r="BS28" s="800">
        <f t="shared" si="36"/>
        <v>0.9</v>
      </c>
      <c r="BT28" s="800">
        <f t="shared" si="36"/>
        <v>0.95</v>
      </c>
      <c r="BU28" s="801">
        <f t="shared" si="36"/>
        <v>1</v>
      </c>
      <c r="BV28" s="711"/>
      <c r="BW28" s="802"/>
    </row>
    <row r="29" spans="2:75" s="731" customFormat="1" ht="12.95" customHeight="1" x14ac:dyDescent="0.25">
      <c r="B29" s="783">
        <f>IF(ISNA(Z29),"",IF(OR(Z29=1,Z29=2),"    ",MAX($B$11:B28)+1))</f>
        <v>14</v>
      </c>
      <c r="C29" s="1116" t="str">
        <f t="shared" si="0"/>
        <v xml:space="preserve">      - Anatomy of a Valid Plot/Table (8.0%)</v>
      </c>
      <c r="D29" s="1116"/>
      <c r="E29" s="1116"/>
      <c r="F29" s="1117"/>
      <c r="G29" s="763">
        <f t="shared" si="1"/>
        <v>1</v>
      </c>
      <c r="H29" s="764" t="str">
        <f t="shared" si="2"/>
        <v>2*</v>
      </c>
      <c r="I29" s="784">
        <f t="shared" si="2"/>
        <v>3</v>
      </c>
      <c r="J29" s="789"/>
      <c r="K29" s="786"/>
      <c r="L29" s="1134"/>
      <c r="M29" s="1135"/>
      <c r="N29" s="1135"/>
      <c r="O29" s="1135"/>
      <c r="P29" s="1135"/>
      <c r="Q29" s="1135"/>
      <c r="R29" s="1136"/>
      <c r="T29" s="727">
        <v>19</v>
      </c>
      <c r="U29" s="716" t="s">
        <v>975</v>
      </c>
      <c r="V29" s="768">
        <v>1</v>
      </c>
      <c r="W29" s="768">
        <v>2.6666666600000002</v>
      </c>
      <c r="X29" s="768" t="s">
        <v>340</v>
      </c>
      <c r="Y29" s="768" t="s">
        <v>340</v>
      </c>
      <c r="Z29" s="777" t="s">
        <v>340</v>
      </c>
      <c r="AA29" s="777">
        <v>2</v>
      </c>
      <c r="AB29" s="777">
        <v>1</v>
      </c>
      <c r="AC29" s="768">
        <v>3</v>
      </c>
      <c r="AD29" s="768">
        <v>2</v>
      </c>
      <c r="AE29" s="768">
        <v>1</v>
      </c>
      <c r="AF29" s="768" t="b">
        <v>1</v>
      </c>
      <c r="AG29" s="768">
        <f t="shared" si="3"/>
        <v>2</v>
      </c>
      <c r="AH29" s="768">
        <f t="shared" si="4"/>
        <v>1</v>
      </c>
      <c r="AI29" s="769">
        <f>IF(NOT(OR(Z29=1,Z29=2)),IF(AQ29&gt;0,$AR$47*AQ29/SUMIF($AQ$11:$AQ$42,"&gt;0"),IF(AU29&gt;0,$AV$47*AU29/SUMIF($AU$11:$AU$42,"&gt;0"),IF(AS29&gt;0,$AT$47*AS29/SUMIF($AS$11:$AS$42,"&gt;0"),""))),IF(SUMIF(AJ30:$AJ$42,"=" &amp; AJ29,AI30:$AI$42)=0,"",SUMIF(AJ30:$AJ$42,"=" &amp; AJ29,AI30:$AI$42)))</f>
        <v>8.0000303097149117E-2</v>
      </c>
      <c r="AJ29" s="770">
        <f t="shared" si="34"/>
        <v>4</v>
      </c>
      <c r="AK29" s="768">
        <f t="shared" si="27"/>
        <v>2</v>
      </c>
      <c r="AL29" s="777" t="str">
        <f t="shared" si="28"/>
        <v/>
      </c>
      <c r="AM29" s="777" t="str">
        <f t="shared" si="35"/>
        <v/>
      </c>
      <c r="AN29" s="777" t="str">
        <f t="shared" si="5"/>
        <v/>
      </c>
      <c r="AO29" s="777" t="str">
        <f t="shared" si="6"/>
        <v/>
      </c>
      <c r="AP29" s="768" t="b">
        <f t="shared" si="7"/>
        <v>1</v>
      </c>
      <c r="AQ29" s="771">
        <f t="shared" si="29"/>
        <v>2.6666666600000002</v>
      </c>
      <c r="AR29" s="772" t="str">
        <f t="shared" si="8"/>
        <v/>
      </c>
      <c r="AS29" s="773">
        <f t="shared" si="30"/>
        <v>0</v>
      </c>
      <c r="AT29" s="772" t="str">
        <f t="shared" si="9"/>
        <v/>
      </c>
      <c r="AU29" s="774">
        <f t="shared" si="10"/>
        <v>0</v>
      </c>
      <c r="AV29" s="775" t="str">
        <f t="shared" si="11"/>
        <v/>
      </c>
      <c r="AW29" s="774" t="b">
        <f t="shared" si="12"/>
        <v>0</v>
      </c>
      <c r="AX29" s="776" t="b">
        <f t="shared" si="13"/>
        <v>1</v>
      </c>
      <c r="AY29" s="774" t="b">
        <f t="shared" si="14"/>
        <v>0</v>
      </c>
      <c r="AZ29" s="776" t="b">
        <f t="shared" si="15"/>
        <v>0</v>
      </c>
      <c r="BA29" s="768" t="b">
        <f t="shared" si="16"/>
        <v>0</v>
      </c>
      <c r="BB29" s="768" t="b">
        <f t="shared" si="17"/>
        <v>0</v>
      </c>
      <c r="BC29" s="774" t="b">
        <f t="shared" si="18"/>
        <v>0</v>
      </c>
      <c r="BD29" s="777" t="b">
        <f t="shared" si="31"/>
        <v>0</v>
      </c>
      <c r="BE29" s="776" t="b">
        <f t="shared" si="37"/>
        <v>0</v>
      </c>
      <c r="BF29" s="778" t="b">
        <f t="shared" si="20"/>
        <v>0</v>
      </c>
      <c r="BG29" s="779" t="b">
        <f t="shared" si="38"/>
        <v>1</v>
      </c>
      <c r="BH29" s="779">
        <f t="shared" si="32"/>
        <v>1</v>
      </c>
      <c r="BI29" s="779">
        <f t="shared" si="22"/>
        <v>2</v>
      </c>
      <c r="BJ29" s="779" t="str">
        <f t="shared" si="23"/>
        <v>2*</v>
      </c>
      <c r="BK29" s="779">
        <f t="shared" si="24"/>
        <v>3</v>
      </c>
      <c r="BL29" s="780">
        <f t="shared" si="33"/>
        <v>1</v>
      </c>
      <c r="BM29" s="779">
        <f t="shared" si="25"/>
        <v>2</v>
      </c>
      <c r="BN29" s="779">
        <f t="shared" si="26"/>
        <v>3</v>
      </c>
      <c r="BO29" s="1141"/>
      <c r="BP29" s="791" t="s">
        <v>364</v>
      </c>
      <c r="BQ29" s="799">
        <f t="shared" si="36"/>
        <v>0.6</v>
      </c>
      <c r="BR29" s="800">
        <f t="shared" si="36"/>
        <v>0.7</v>
      </c>
      <c r="BS29" s="800">
        <f t="shared" si="36"/>
        <v>0.8</v>
      </c>
      <c r="BT29" s="800">
        <f t="shared" si="36"/>
        <v>0.9</v>
      </c>
      <c r="BU29" s="801">
        <f t="shared" si="36"/>
        <v>1</v>
      </c>
    </row>
    <row r="30" spans="2:75" s="731" customFormat="1" ht="12.95" customHeight="1" x14ac:dyDescent="0.25">
      <c r="B30" s="783">
        <f>IF(ISNA(Z30),"",IF(OR(Z30=1,Z30=2),"    ",MAX($B$11:B29)+1))</f>
        <v>15</v>
      </c>
      <c r="C30" s="1116" t="str">
        <f t="shared" si="0"/>
        <v xml:space="preserve">      - Data-Ink Ratio &amp; Clarity (6.0%)</v>
      </c>
      <c r="D30" s="1116"/>
      <c r="E30" s="1116"/>
      <c r="F30" s="1117"/>
      <c r="G30" s="763">
        <f t="shared" si="1"/>
        <v>1</v>
      </c>
      <c r="H30" s="764" t="str">
        <f t="shared" si="2"/>
        <v>2*</v>
      </c>
      <c r="I30" s="784">
        <f t="shared" si="2"/>
        <v>3</v>
      </c>
      <c r="J30" s="789"/>
      <c r="K30" s="786"/>
      <c r="L30" s="1134"/>
      <c r="M30" s="1135"/>
      <c r="N30" s="1135"/>
      <c r="O30" s="1135"/>
      <c r="P30" s="1135"/>
      <c r="Q30" s="1135"/>
      <c r="R30" s="1136"/>
      <c r="T30" s="727">
        <v>20</v>
      </c>
      <c r="U30" s="716" t="s">
        <v>976</v>
      </c>
      <c r="V30" s="768">
        <v>1</v>
      </c>
      <c r="W30" s="768">
        <v>2</v>
      </c>
      <c r="X30" s="768" t="s">
        <v>340</v>
      </c>
      <c r="Y30" s="768" t="s">
        <v>340</v>
      </c>
      <c r="Z30" s="777" t="s">
        <v>340</v>
      </c>
      <c r="AA30" s="777">
        <v>2</v>
      </c>
      <c r="AB30" s="777">
        <v>1</v>
      </c>
      <c r="AC30" s="768">
        <v>3</v>
      </c>
      <c r="AD30" s="768">
        <v>2</v>
      </c>
      <c r="AE30" s="768">
        <v>1</v>
      </c>
      <c r="AF30" s="768" t="b">
        <v>1</v>
      </c>
      <c r="AG30" s="768">
        <f t="shared" si="3"/>
        <v>2</v>
      </c>
      <c r="AH30" s="768">
        <f t="shared" si="4"/>
        <v>1</v>
      </c>
      <c r="AI30" s="769">
        <f>IF(NOT(OR(Z30=1,Z30=2)),IF(AQ30&gt;0,$AR$47*AQ30/SUMIF($AQ$11:$AQ$42,"&gt;0"),IF(AU30&gt;0,$AV$47*AU30/SUMIF($AU$11:$AU$42,"&gt;0"),IF(AS30&gt;0,$AT$47*AS30/SUMIF($AS$11:$AS$42,"&gt;0"),""))),IF(SUMIF(AJ31:$AJ$42,"=" &amp; AJ30,AI31:$AI$42)=0,"",SUMIF(AJ31:$AJ$42,"=" &amp; AJ30,AI31:$AI$42)))</f>
        <v>6.0000227472862398E-2</v>
      </c>
      <c r="AJ30" s="770">
        <f t="shared" si="34"/>
        <v>4</v>
      </c>
      <c r="AK30" s="768">
        <f t="shared" si="27"/>
        <v>2</v>
      </c>
      <c r="AL30" s="777" t="str">
        <f t="shared" si="28"/>
        <v/>
      </c>
      <c r="AM30" s="777" t="str">
        <f t="shared" si="35"/>
        <v/>
      </c>
      <c r="AN30" s="777" t="str">
        <f t="shared" si="5"/>
        <v/>
      </c>
      <c r="AO30" s="777" t="str">
        <f t="shared" si="6"/>
        <v/>
      </c>
      <c r="AP30" s="768" t="b">
        <f t="shared" si="7"/>
        <v>1</v>
      </c>
      <c r="AQ30" s="771">
        <f t="shared" si="29"/>
        <v>2</v>
      </c>
      <c r="AR30" s="772" t="str">
        <f t="shared" si="8"/>
        <v/>
      </c>
      <c r="AS30" s="773">
        <f t="shared" si="30"/>
        <v>0</v>
      </c>
      <c r="AT30" s="772" t="str">
        <f t="shared" si="9"/>
        <v/>
      </c>
      <c r="AU30" s="774">
        <f t="shared" si="10"/>
        <v>0</v>
      </c>
      <c r="AV30" s="775" t="str">
        <f t="shared" si="11"/>
        <v/>
      </c>
      <c r="AW30" s="774" t="b">
        <f t="shared" si="12"/>
        <v>0</v>
      </c>
      <c r="AX30" s="776" t="b">
        <f t="shared" si="13"/>
        <v>1</v>
      </c>
      <c r="AY30" s="774" t="b">
        <f t="shared" si="14"/>
        <v>0</v>
      </c>
      <c r="AZ30" s="776" t="b">
        <f t="shared" si="15"/>
        <v>0</v>
      </c>
      <c r="BA30" s="768" t="b">
        <f t="shared" si="16"/>
        <v>0</v>
      </c>
      <c r="BB30" s="768" t="b">
        <f t="shared" si="17"/>
        <v>0</v>
      </c>
      <c r="BC30" s="774" t="b">
        <f t="shared" si="18"/>
        <v>0</v>
      </c>
      <c r="BD30" s="777" t="b">
        <f t="shared" si="31"/>
        <v>0</v>
      </c>
      <c r="BE30" s="776" t="b">
        <f t="shared" si="37"/>
        <v>0</v>
      </c>
      <c r="BF30" s="778" t="b">
        <f t="shared" si="20"/>
        <v>0</v>
      </c>
      <c r="BG30" s="779" t="b">
        <f t="shared" si="38"/>
        <v>1</v>
      </c>
      <c r="BH30" s="779">
        <f t="shared" si="32"/>
        <v>1</v>
      </c>
      <c r="BI30" s="779">
        <f t="shared" si="22"/>
        <v>2</v>
      </c>
      <c r="BJ30" s="779" t="str">
        <f t="shared" si="23"/>
        <v>2*</v>
      </c>
      <c r="BK30" s="779">
        <f t="shared" si="24"/>
        <v>3</v>
      </c>
      <c r="BL30" s="780">
        <f t="shared" si="33"/>
        <v>1</v>
      </c>
      <c r="BM30" s="779">
        <f t="shared" si="25"/>
        <v>2</v>
      </c>
      <c r="BN30" s="779">
        <f t="shared" si="26"/>
        <v>3</v>
      </c>
      <c r="BO30" s="1141"/>
      <c r="BP30" s="791" t="s">
        <v>365</v>
      </c>
      <c r="BQ30" s="799">
        <f t="shared" si="36"/>
        <v>0.3</v>
      </c>
      <c r="BR30" s="800">
        <f t="shared" si="36"/>
        <v>0.6</v>
      </c>
      <c r="BS30" s="800">
        <f t="shared" si="36"/>
        <v>0.9</v>
      </c>
      <c r="BT30" s="800">
        <f t="shared" si="36"/>
        <v>0.95</v>
      </c>
      <c r="BU30" s="801">
        <f t="shared" si="36"/>
        <v>1</v>
      </c>
    </row>
    <row r="31" spans="2:75" s="731" customFormat="1" ht="12.95" customHeight="1" x14ac:dyDescent="0.25">
      <c r="B31" s="783">
        <f>IF(ISNA(Z31),"",IF(OR(Z31=1,Z31=2),"    ",MAX($B$11:B30)+1))</f>
        <v>16</v>
      </c>
      <c r="C31" s="1116" t="str">
        <f t="shared" si="0"/>
        <v xml:space="preserve">      - Data Honesty &amp; Context (6.0%)</v>
      </c>
      <c r="D31" s="1116"/>
      <c r="E31" s="1116"/>
      <c r="F31" s="1117"/>
      <c r="G31" s="763">
        <f t="shared" si="1"/>
        <v>1</v>
      </c>
      <c r="H31" s="764" t="str">
        <f t="shared" si="2"/>
        <v>2*</v>
      </c>
      <c r="I31" s="784">
        <f t="shared" si="2"/>
        <v>3</v>
      </c>
      <c r="J31" s="789"/>
      <c r="K31" s="786"/>
      <c r="L31" s="1134"/>
      <c r="M31" s="1135"/>
      <c r="N31" s="1135"/>
      <c r="O31" s="1135"/>
      <c r="P31" s="1135"/>
      <c r="Q31" s="1135"/>
      <c r="R31" s="1136"/>
      <c r="T31" s="727">
        <v>21</v>
      </c>
      <c r="U31" s="716" t="s">
        <v>992</v>
      </c>
      <c r="V31" s="768">
        <v>1</v>
      </c>
      <c r="W31" s="768">
        <v>2</v>
      </c>
      <c r="X31" s="768" t="s">
        <v>340</v>
      </c>
      <c r="Y31" s="768" t="s">
        <v>340</v>
      </c>
      <c r="Z31" s="777" t="s">
        <v>340</v>
      </c>
      <c r="AA31" s="777">
        <v>2</v>
      </c>
      <c r="AB31" s="777">
        <v>1</v>
      </c>
      <c r="AC31" s="768">
        <v>3</v>
      </c>
      <c r="AD31" s="768">
        <v>2</v>
      </c>
      <c r="AE31" s="768">
        <v>1</v>
      </c>
      <c r="AF31" s="768" t="b">
        <v>1</v>
      </c>
      <c r="AG31" s="768">
        <f t="shared" si="3"/>
        <v>2</v>
      </c>
      <c r="AH31" s="768">
        <f t="shared" si="4"/>
        <v>1</v>
      </c>
      <c r="AI31" s="769">
        <f>IF(NOT(OR(Z31=1,Z31=2)),IF(AQ31&gt;0,$AR$47*AQ31/SUMIF($AQ$11:$AQ$42,"&gt;0"),IF(AU31&gt;0,$AV$47*AU31/SUMIF($AU$11:$AU$42,"&gt;0"),IF(AS31&gt;0,$AT$47*AS31/SUMIF($AS$11:$AS$42,"&gt;0"),""))),IF(SUMIF(AJ32:$AJ$42,"=" &amp; AJ31,AI32:$AI$42)=0,"",SUMIF(AJ32:$AJ$42,"=" &amp; AJ31,AI32:$AI$42)))</f>
        <v>6.0000227472862398E-2</v>
      </c>
      <c r="AJ31" s="770">
        <f t="shared" si="34"/>
        <v>4</v>
      </c>
      <c r="AK31" s="768">
        <f t="shared" si="27"/>
        <v>2</v>
      </c>
      <c r="AL31" s="777" t="str">
        <f t="shared" si="28"/>
        <v/>
      </c>
      <c r="AM31" s="777" t="str">
        <f t="shared" si="35"/>
        <v/>
      </c>
      <c r="AN31" s="777" t="str">
        <f t="shared" si="5"/>
        <v/>
      </c>
      <c r="AO31" s="777" t="str">
        <f t="shared" si="6"/>
        <v/>
      </c>
      <c r="AP31" s="768" t="b">
        <f t="shared" si="7"/>
        <v>1</v>
      </c>
      <c r="AQ31" s="771">
        <f t="shared" si="29"/>
        <v>2</v>
      </c>
      <c r="AR31" s="772" t="str">
        <f t="shared" si="8"/>
        <v/>
      </c>
      <c r="AS31" s="773">
        <f t="shared" si="30"/>
        <v>0</v>
      </c>
      <c r="AT31" s="772" t="str">
        <f t="shared" si="9"/>
        <v/>
      </c>
      <c r="AU31" s="774">
        <f t="shared" si="10"/>
        <v>0</v>
      </c>
      <c r="AV31" s="775" t="str">
        <f t="shared" si="11"/>
        <v/>
      </c>
      <c r="AW31" s="774" t="b">
        <f t="shared" si="12"/>
        <v>0</v>
      </c>
      <c r="AX31" s="776" t="b">
        <f t="shared" si="13"/>
        <v>1</v>
      </c>
      <c r="AY31" s="774" t="b">
        <f t="shared" si="14"/>
        <v>0</v>
      </c>
      <c r="AZ31" s="776" t="b">
        <f t="shared" si="15"/>
        <v>0</v>
      </c>
      <c r="BA31" s="768" t="b">
        <f t="shared" si="16"/>
        <v>0</v>
      </c>
      <c r="BB31" s="768" t="b">
        <f t="shared" si="17"/>
        <v>0</v>
      </c>
      <c r="BC31" s="774" t="b">
        <f t="shared" si="18"/>
        <v>0</v>
      </c>
      <c r="BD31" s="777" t="b">
        <f t="shared" si="31"/>
        <v>0</v>
      </c>
      <c r="BE31" s="776" t="b">
        <f t="shared" si="37"/>
        <v>0</v>
      </c>
      <c r="BF31" s="778" t="b">
        <f t="shared" si="20"/>
        <v>0</v>
      </c>
      <c r="BG31" s="779" t="b">
        <f t="shared" si="38"/>
        <v>1</v>
      </c>
      <c r="BH31" s="779">
        <f t="shared" si="32"/>
        <v>1</v>
      </c>
      <c r="BI31" s="779">
        <f t="shared" si="22"/>
        <v>2</v>
      </c>
      <c r="BJ31" s="779" t="str">
        <f t="shared" si="23"/>
        <v>2*</v>
      </c>
      <c r="BK31" s="779">
        <f t="shared" si="24"/>
        <v>3</v>
      </c>
      <c r="BL31" s="780">
        <f t="shared" si="33"/>
        <v>1</v>
      </c>
      <c r="BM31" s="779">
        <f t="shared" si="25"/>
        <v>2</v>
      </c>
      <c r="BN31" s="779">
        <f t="shared" si="26"/>
        <v>3</v>
      </c>
      <c r="BO31" s="1141"/>
      <c r="BP31" s="791" t="s">
        <v>366</v>
      </c>
      <c r="BQ31" s="799">
        <f t="shared" si="36"/>
        <v>0.3</v>
      </c>
      <c r="BR31" s="800">
        <f t="shared" si="36"/>
        <v>0.6</v>
      </c>
      <c r="BS31" s="800">
        <f t="shared" si="36"/>
        <v>0.7</v>
      </c>
      <c r="BT31" s="800">
        <f t="shared" si="36"/>
        <v>0.9</v>
      </c>
      <c r="BU31" s="801">
        <f t="shared" si="36"/>
        <v>1</v>
      </c>
    </row>
    <row r="32" spans="2:75" s="731" customFormat="1" ht="12.95" customHeight="1" x14ac:dyDescent="0.25">
      <c r="B32" s="783" t="str">
        <f>IF(ISNA(Z32),"",IF(OR(Z32=1,Z32=2),"    ",MAX($B$11:B31)+1))</f>
        <v/>
      </c>
      <c r="C32" s="1116" t="str">
        <f t="shared" si="0"/>
        <v/>
      </c>
      <c r="D32" s="1116"/>
      <c r="E32" s="1116"/>
      <c r="F32" s="1117"/>
      <c r="G32" s="763" t="str">
        <f t="shared" si="1"/>
        <v/>
      </c>
      <c r="H32" s="764" t="str">
        <f t="shared" si="2"/>
        <v/>
      </c>
      <c r="I32" s="784" t="str">
        <f t="shared" si="2"/>
        <v/>
      </c>
      <c r="J32" s="793"/>
      <c r="K32" s="794"/>
      <c r="L32" s="1134"/>
      <c r="M32" s="1135"/>
      <c r="N32" s="1135"/>
      <c r="O32" s="1135"/>
      <c r="P32" s="1135"/>
      <c r="Q32" s="1135"/>
      <c r="R32" s="1136"/>
      <c r="T32" s="727">
        <v>22</v>
      </c>
      <c r="U32" s="716" t="e">
        <v>#N/A</v>
      </c>
      <c r="V32" s="768" t="e">
        <v>#N/A</v>
      </c>
      <c r="W32" s="768" t="e">
        <v>#N/A</v>
      </c>
      <c r="X32" s="768" t="e">
        <v>#N/A</v>
      </c>
      <c r="Y32" s="768" t="e">
        <v>#N/A</v>
      </c>
      <c r="Z32" s="777" t="e">
        <v>#N/A</v>
      </c>
      <c r="AA32" s="777" t="e">
        <v>#N/A</v>
      </c>
      <c r="AB32" s="777" t="e">
        <v>#N/A</v>
      </c>
      <c r="AC32" s="768" t="e">
        <v>#N/A</v>
      </c>
      <c r="AD32" s="768" t="e">
        <v>#N/A</v>
      </c>
      <c r="AE32" s="768" t="e">
        <v>#N/A</v>
      </c>
      <c r="AF32" s="768" t="e">
        <v>#N/A</v>
      </c>
      <c r="AG32" s="768" t="e">
        <f t="shared" si="3"/>
        <v>#N/A</v>
      </c>
      <c r="AH32" s="768" t="str">
        <f t="shared" si="4"/>
        <v/>
      </c>
      <c r="AI32" s="769" t="e">
        <f>IF(NOT(OR(Z32=1,Z32=2)),IF(AQ32&gt;0,$AR$47*AQ32/SUMIF($AQ$11:$AQ$42,"&gt;0"),IF(AU32&gt;0,$AV$47*AU32/SUMIF($AU$11:$AU$42,"&gt;0"),IF(AS32&gt;0,$AT$47*AS32/SUMIF($AS$11:$AS$42,"&gt;0"),""))),IF(SUMIF(AJ33:$AJ$42,"=" &amp; AJ32,AI33:$AI$42)=0,"",SUMIF(AJ33:$AJ$42,"=" &amp; AJ32,AI33:$AI$42)))</f>
        <v>#N/A</v>
      </c>
      <c r="AJ32" s="770" t="e">
        <f t="shared" si="34"/>
        <v>#N/A</v>
      </c>
      <c r="AK32" s="768" t="str">
        <f t="shared" si="27"/>
        <v/>
      </c>
      <c r="AL32" s="777" t="str">
        <f t="shared" si="28"/>
        <v/>
      </c>
      <c r="AM32" s="777" t="str">
        <f t="shared" si="35"/>
        <v/>
      </c>
      <c r="AN32" s="777" t="str">
        <f t="shared" si="5"/>
        <v/>
      </c>
      <c r="AO32" s="777" t="e">
        <f t="shared" si="6"/>
        <v>#N/A</v>
      </c>
      <c r="AP32" s="768" t="str">
        <f t="shared" si="7"/>
        <v/>
      </c>
      <c r="AQ32" s="771">
        <f t="shared" si="29"/>
        <v>0</v>
      </c>
      <c r="AR32" s="772" t="str">
        <f t="shared" si="8"/>
        <v/>
      </c>
      <c r="AS32" s="773">
        <f t="shared" si="30"/>
        <v>0</v>
      </c>
      <c r="AT32" s="772" t="str">
        <f t="shared" si="9"/>
        <v/>
      </c>
      <c r="AU32" s="774">
        <f t="shared" si="10"/>
        <v>0</v>
      </c>
      <c r="AV32" s="775" t="str">
        <f t="shared" si="11"/>
        <v/>
      </c>
      <c r="AW32" s="774" t="b">
        <f t="shared" si="12"/>
        <v>0</v>
      </c>
      <c r="AX32" s="776" t="b">
        <f t="shared" si="13"/>
        <v>0</v>
      </c>
      <c r="AY32" s="774" t="b">
        <f t="shared" si="14"/>
        <v>0</v>
      </c>
      <c r="AZ32" s="776" t="b">
        <f t="shared" si="15"/>
        <v>0</v>
      </c>
      <c r="BA32" s="768" t="b">
        <f t="shared" si="16"/>
        <v>0</v>
      </c>
      <c r="BB32" s="768" t="b">
        <f t="shared" si="17"/>
        <v>0</v>
      </c>
      <c r="BC32" s="774" t="b">
        <f t="shared" si="18"/>
        <v>0</v>
      </c>
      <c r="BD32" s="777" t="b">
        <f t="shared" si="31"/>
        <v>0</v>
      </c>
      <c r="BE32" s="776" t="b">
        <f t="shared" si="37"/>
        <v>0</v>
      </c>
      <c r="BF32" s="778" t="b">
        <f t="shared" si="20"/>
        <v>0</v>
      </c>
      <c r="BG32" s="779" t="str">
        <f t="shared" si="38"/>
        <v>NA</v>
      </c>
      <c r="BH32" s="779" t="str">
        <f t="shared" si="32"/>
        <v/>
      </c>
      <c r="BI32" s="779" t="str">
        <f t="shared" si="22"/>
        <v/>
      </c>
      <c r="BJ32" s="779" t="str">
        <f t="shared" si="23"/>
        <v/>
      </c>
      <c r="BK32" s="779" t="str">
        <f t="shared" si="24"/>
        <v/>
      </c>
      <c r="BL32" s="780" t="str">
        <f t="shared" si="33"/>
        <v/>
      </c>
      <c r="BM32" s="779" t="str">
        <f t="shared" si="25"/>
        <v/>
      </c>
      <c r="BN32" s="779" t="str">
        <f t="shared" si="26"/>
        <v/>
      </c>
      <c r="BO32" s="1141"/>
      <c r="BP32" s="791" t="s">
        <v>367</v>
      </c>
      <c r="BQ32" s="803">
        <f t="shared" si="36"/>
        <v>0</v>
      </c>
      <c r="BR32" s="804">
        <f t="shared" si="36"/>
        <v>0.3</v>
      </c>
      <c r="BS32" s="804">
        <f t="shared" si="36"/>
        <v>0.6</v>
      </c>
      <c r="BT32" s="804">
        <f t="shared" si="36"/>
        <v>0.9</v>
      </c>
      <c r="BU32" s="805">
        <f t="shared" si="36"/>
        <v>1</v>
      </c>
    </row>
    <row r="33" spans="2:73 1271:1271" s="731" customFormat="1" ht="12.95" customHeight="1" x14ac:dyDescent="0.25">
      <c r="B33" s="783" t="str">
        <f>IF(ISNA(Z33),"",IF(OR(Z33=1,Z33=2),"    ",MAX($B$11:B32)+1))</f>
        <v/>
      </c>
      <c r="C33" s="1116" t="str">
        <f t="shared" si="0"/>
        <v/>
      </c>
      <c r="D33" s="1116"/>
      <c r="E33" s="1116"/>
      <c r="F33" s="1117"/>
      <c r="G33" s="763" t="str">
        <f t="shared" si="1"/>
        <v/>
      </c>
      <c r="H33" s="764" t="str">
        <f t="shared" si="2"/>
        <v/>
      </c>
      <c r="I33" s="784" t="str">
        <f t="shared" si="2"/>
        <v/>
      </c>
      <c r="J33" s="793"/>
      <c r="K33" s="794"/>
      <c r="L33" s="1134"/>
      <c r="M33" s="1135"/>
      <c r="N33" s="1135"/>
      <c r="O33" s="1135"/>
      <c r="P33" s="1135"/>
      <c r="Q33" s="1135"/>
      <c r="R33" s="1136"/>
      <c r="T33" s="727">
        <v>23</v>
      </c>
      <c r="U33" s="716" t="e">
        <v>#N/A</v>
      </c>
      <c r="V33" s="768" t="e">
        <v>#N/A</v>
      </c>
      <c r="W33" s="768" t="e">
        <v>#N/A</v>
      </c>
      <c r="X33" s="768" t="e">
        <v>#N/A</v>
      </c>
      <c r="Y33" s="768" t="e">
        <v>#N/A</v>
      </c>
      <c r="Z33" s="777" t="e">
        <v>#N/A</v>
      </c>
      <c r="AA33" s="777" t="e">
        <v>#N/A</v>
      </c>
      <c r="AB33" s="777" t="e">
        <v>#N/A</v>
      </c>
      <c r="AC33" s="768" t="e">
        <v>#N/A</v>
      </c>
      <c r="AD33" s="768" t="e">
        <v>#N/A</v>
      </c>
      <c r="AE33" s="768" t="e">
        <v>#N/A</v>
      </c>
      <c r="AF33" s="768" t="e">
        <v>#N/A</v>
      </c>
      <c r="AG33" s="768" t="e">
        <f t="shared" si="3"/>
        <v>#N/A</v>
      </c>
      <c r="AH33" s="768" t="str">
        <f t="shared" si="4"/>
        <v/>
      </c>
      <c r="AI33" s="769" t="e">
        <f>IF(NOT(OR(Z33=1,Z33=2)),IF(AQ33&gt;0,$AR$47*AQ33/SUMIF($AQ$11:$AQ$42,"&gt;0"),IF(AU33&gt;0,$AV$47*AU33/SUMIF($AU$11:$AU$42,"&gt;0"),IF(AS33&gt;0,$AT$47*AS33/SUMIF($AS$11:$AS$42,"&gt;0"),""))),IF(SUMIF(AJ34:$AJ$42,"=" &amp; AJ33,AI34:$AI$42)=0,"",SUMIF(AJ34:$AJ$42,"=" &amp; AJ33,AI34:$AI$42)))</f>
        <v>#N/A</v>
      </c>
      <c r="AJ33" s="770" t="e">
        <f t="shared" si="34"/>
        <v>#N/A</v>
      </c>
      <c r="AK33" s="768" t="str">
        <f t="shared" si="27"/>
        <v/>
      </c>
      <c r="AL33" s="777" t="str">
        <f t="shared" si="28"/>
        <v/>
      </c>
      <c r="AM33" s="777" t="str">
        <f t="shared" si="35"/>
        <v/>
      </c>
      <c r="AN33" s="777" t="str">
        <f t="shared" si="5"/>
        <v/>
      </c>
      <c r="AO33" s="777" t="e">
        <f t="shared" si="6"/>
        <v>#N/A</v>
      </c>
      <c r="AP33" s="768" t="str">
        <f t="shared" si="7"/>
        <v/>
      </c>
      <c r="AQ33" s="771">
        <f t="shared" si="29"/>
        <v>0</v>
      </c>
      <c r="AR33" s="772" t="str">
        <f t="shared" si="8"/>
        <v/>
      </c>
      <c r="AS33" s="773">
        <f t="shared" si="30"/>
        <v>0</v>
      </c>
      <c r="AT33" s="772" t="str">
        <f t="shared" si="9"/>
        <v/>
      </c>
      <c r="AU33" s="774">
        <f t="shared" si="10"/>
        <v>0</v>
      </c>
      <c r="AV33" s="775" t="str">
        <f t="shared" si="11"/>
        <v/>
      </c>
      <c r="AW33" s="774" t="b">
        <f t="shared" si="12"/>
        <v>0</v>
      </c>
      <c r="AX33" s="776" t="b">
        <f t="shared" si="13"/>
        <v>0</v>
      </c>
      <c r="AY33" s="774" t="b">
        <f t="shared" si="14"/>
        <v>0</v>
      </c>
      <c r="AZ33" s="776" t="b">
        <f t="shared" si="15"/>
        <v>0</v>
      </c>
      <c r="BA33" s="768" t="b">
        <f t="shared" si="16"/>
        <v>0</v>
      </c>
      <c r="BB33" s="768" t="b">
        <f t="shared" si="17"/>
        <v>0</v>
      </c>
      <c r="BC33" s="774" t="b">
        <f t="shared" si="18"/>
        <v>0</v>
      </c>
      <c r="BD33" s="777" t="b">
        <f t="shared" si="31"/>
        <v>0</v>
      </c>
      <c r="BE33" s="776" t="b">
        <f t="shared" si="37"/>
        <v>0</v>
      </c>
      <c r="BF33" s="778" t="b">
        <f t="shared" si="20"/>
        <v>0</v>
      </c>
      <c r="BG33" s="779" t="str">
        <f t="shared" si="38"/>
        <v>NA</v>
      </c>
      <c r="BH33" s="779" t="str">
        <f t="shared" si="32"/>
        <v/>
      </c>
      <c r="BI33" s="779" t="str">
        <f t="shared" si="22"/>
        <v/>
      </c>
      <c r="BJ33" s="779" t="str">
        <f t="shared" si="23"/>
        <v/>
      </c>
      <c r="BK33" s="779" t="str">
        <f t="shared" si="24"/>
        <v/>
      </c>
      <c r="BL33" s="780" t="str">
        <f t="shared" si="33"/>
        <v/>
      </c>
      <c r="BM33" s="779" t="str">
        <f t="shared" si="25"/>
        <v/>
      </c>
      <c r="BN33" s="779" t="str">
        <f t="shared" si="26"/>
        <v/>
      </c>
      <c r="BO33" s="719"/>
    </row>
    <row r="34" spans="2:73 1271:1271" s="731" customFormat="1" ht="12.95" customHeight="1" x14ac:dyDescent="0.25">
      <c r="B34" s="783" t="str">
        <f>IF(ISNA(Z34),"",IF(OR(Z34=1,Z34=2),"    ",MAX($B$11:B33)+1))</f>
        <v/>
      </c>
      <c r="C34" s="1116" t="str">
        <f t="shared" si="0"/>
        <v/>
      </c>
      <c r="D34" s="1116"/>
      <c r="E34" s="1116"/>
      <c r="F34" s="1117"/>
      <c r="G34" s="763" t="str">
        <f t="shared" si="1"/>
        <v/>
      </c>
      <c r="H34" s="764" t="str">
        <f t="shared" si="2"/>
        <v/>
      </c>
      <c r="I34" s="784" t="str">
        <f t="shared" si="2"/>
        <v/>
      </c>
      <c r="J34" s="793"/>
      <c r="K34" s="794"/>
      <c r="L34" s="1134"/>
      <c r="M34" s="1135"/>
      <c r="N34" s="1135"/>
      <c r="O34" s="1135"/>
      <c r="P34" s="1135"/>
      <c r="Q34" s="1135"/>
      <c r="R34" s="1136"/>
      <c r="T34" s="727">
        <v>24</v>
      </c>
      <c r="U34" s="716" t="e">
        <v>#N/A</v>
      </c>
      <c r="V34" s="768" t="e">
        <v>#N/A</v>
      </c>
      <c r="W34" s="768" t="e">
        <v>#N/A</v>
      </c>
      <c r="X34" s="768" t="e">
        <v>#N/A</v>
      </c>
      <c r="Y34" s="768" t="e">
        <v>#N/A</v>
      </c>
      <c r="Z34" s="777" t="e">
        <v>#N/A</v>
      </c>
      <c r="AA34" s="777" t="e">
        <v>#N/A</v>
      </c>
      <c r="AB34" s="777" t="e">
        <v>#N/A</v>
      </c>
      <c r="AC34" s="768" t="e">
        <v>#N/A</v>
      </c>
      <c r="AD34" s="768" t="e">
        <v>#N/A</v>
      </c>
      <c r="AE34" s="768" t="e">
        <v>#N/A</v>
      </c>
      <c r="AF34" s="768" t="e">
        <v>#N/A</v>
      </c>
      <c r="AG34" s="768" t="e">
        <f t="shared" si="3"/>
        <v>#N/A</v>
      </c>
      <c r="AH34" s="768" t="str">
        <f t="shared" si="4"/>
        <v/>
      </c>
      <c r="AI34" s="769" t="e">
        <f>IF(NOT(OR(Z34=1,Z34=2)),IF(AQ34&gt;0,$AR$47*AQ34/SUMIF($AQ$11:$AQ$42,"&gt;0"),IF(AU34&gt;0,$AV$47*AU34/SUMIF($AU$11:$AU$42,"&gt;0"),IF(AS34&gt;0,$AT$47*AS34/SUMIF($AS$11:$AS$42,"&gt;0"),""))),IF(SUMIF(AJ35:$AJ$42,"=" &amp; AJ34,AI35:$AI$42)=0,"",SUMIF(AJ35:$AJ$42,"=" &amp; AJ34,AI35:$AI$42)))</f>
        <v>#N/A</v>
      </c>
      <c r="AJ34" s="770" t="e">
        <f t="shared" si="34"/>
        <v>#N/A</v>
      </c>
      <c r="AK34" s="768" t="str">
        <f t="shared" si="27"/>
        <v/>
      </c>
      <c r="AL34" s="777" t="str">
        <f t="shared" si="28"/>
        <v/>
      </c>
      <c r="AM34" s="777" t="str">
        <f t="shared" si="35"/>
        <v/>
      </c>
      <c r="AN34" s="777" t="str">
        <f t="shared" si="5"/>
        <v/>
      </c>
      <c r="AO34" s="777" t="e">
        <f t="shared" si="6"/>
        <v>#N/A</v>
      </c>
      <c r="AP34" s="768" t="str">
        <f t="shared" si="7"/>
        <v/>
      </c>
      <c r="AQ34" s="771">
        <f t="shared" si="29"/>
        <v>0</v>
      </c>
      <c r="AR34" s="772" t="str">
        <f t="shared" si="8"/>
        <v/>
      </c>
      <c r="AS34" s="773">
        <f t="shared" si="30"/>
        <v>0</v>
      </c>
      <c r="AT34" s="772" t="str">
        <f t="shared" si="9"/>
        <v/>
      </c>
      <c r="AU34" s="774">
        <f t="shared" si="10"/>
        <v>0</v>
      </c>
      <c r="AV34" s="775" t="str">
        <f t="shared" si="11"/>
        <v/>
      </c>
      <c r="AW34" s="774" t="b">
        <f t="shared" si="12"/>
        <v>0</v>
      </c>
      <c r="AX34" s="776" t="b">
        <f t="shared" si="13"/>
        <v>0</v>
      </c>
      <c r="AY34" s="774" t="b">
        <f t="shared" si="14"/>
        <v>0</v>
      </c>
      <c r="AZ34" s="776" t="b">
        <f t="shared" si="15"/>
        <v>0</v>
      </c>
      <c r="BA34" s="768" t="b">
        <f t="shared" si="16"/>
        <v>0</v>
      </c>
      <c r="BB34" s="768" t="b">
        <f t="shared" si="17"/>
        <v>0</v>
      </c>
      <c r="BC34" s="774" t="b">
        <f t="shared" si="18"/>
        <v>0</v>
      </c>
      <c r="BD34" s="777" t="b">
        <f>IF(OR(ISNA($Z34),ISNUMBER($Z34),NOT(ISNUMBER(K34))),FALSE,OR(NOT(ISNUMBER(J34)),J34=0,AND(J34=0,K34&lt;&gt;0)))</f>
        <v>0</v>
      </c>
      <c r="BE34" s="776" t="b">
        <f t="shared" si="37"/>
        <v>0</v>
      </c>
      <c r="BF34" s="778" t="b">
        <f>IF(OR(ISNA($Z34),H34&lt;&gt;"NG"),FALSE,IF(AND(J34="NA",K34&lt;&gt;""),TRUE,FALSE))</f>
        <v>0</v>
      </c>
      <c r="BG34" s="779" t="str">
        <f t="shared" si="38"/>
        <v>NA</v>
      </c>
      <c r="BH34" s="779" t="str">
        <f t="shared" si="32"/>
        <v/>
      </c>
      <c r="BI34" s="779" t="str">
        <f t="shared" si="22"/>
        <v/>
      </c>
      <c r="BJ34" s="779" t="str">
        <f t="shared" si="23"/>
        <v/>
      </c>
      <c r="BK34" s="779" t="str">
        <f t="shared" si="24"/>
        <v/>
      </c>
      <c r="BL34" s="780" t="str">
        <f t="shared" si="33"/>
        <v/>
      </c>
      <c r="BM34" s="779" t="str">
        <f t="shared" si="25"/>
        <v/>
      </c>
      <c r="BN34" s="779" t="str">
        <f t="shared" si="26"/>
        <v/>
      </c>
      <c r="BO34" s="787" t="s">
        <v>368</v>
      </c>
      <c r="BP34" s="792" t="s">
        <v>369</v>
      </c>
    </row>
    <row r="35" spans="2:73 1271:1271" s="731" customFormat="1" ht="12.95" customHeight="1" x14ac:dyDescent="0.25">
      <c r="B35" s="783" t="str">
        <f>IF(ISNA(Z35),"",IF(OR(Z35=1,Z35=2),"    ",MAX($B$11:B34)+1))</f>
        <v/>
      </c>
      <c r="C35" s="1116" t="str">
        <f t="shared" si="0"/>
        <v/>
      </c>
      <c r="D35" s="1116"/>
      <c r="E35" s="1116"/>
      <c r="F35" s="1117"/>
      <c r="G35" s="763" t="str">
        <f t="shared" si="1"/>
        <v/>
      </c>
      <c r="H35" s="764" t="str">
        <f t="shared" si="2"/>
        <v/>
      </c>
      <c r="I35" s="784" t="str">
        <f t="shared" si="2"/>
        <v/>
      </c>
      <c r="J35" s="793"/>
      <c r="K35" s="794"/>
      <c r="L35" s="1134"/>
      <c r="M35" s="1135"/>
      <c r="N35" s="1135"/>
      <c r="O35" s="1135"/>
      <c r="P35" s="1135"/>
      <c r="Q35" s="1135"/>
      <c r="R35" s="1136"/>
      <c r="T35" s="727">
        <v>25</v>
      </c>
      <c r="U35" s="716" t="e">
        <v>#N/A</v>
      </c>
      <c r="V35" s="768" t="e">
        <v>#N/A</v>
      </c>
      <c r="W35" s="768" t="e">
        <v>#N/A</v>
      </c>
      <c r="X35" s="768" t="e">
        <v>#N/A</v>
      </c>
      <c r="Y35" s="768" t="e">
        <v>#N/A</v>
      </c>
      <c r="Z35" s="777" t="e">
        <v>#N/A</v>
      </c>
      <c r="AA35" s="777" t="e">
        <v>#N/A</v>
      </c>
      <c r="AB35" s="777" t="e">
        <v>#N/A</v>
      </c>
      <c r="AC35" s="768" t="e">
        <v>#N/A</v>
      </c>
      <c r="AD35" s="768" t="e">
        <v>#N/A</v>
      </c>
      <c r="AE35" s="768" t="e">
        <v>#N/A</v>
      </c>
      <c r="AF35" s="768" t="e">
        <v>#N/A</v>
      </c>
      <c r="AG35" s="768" t="e">
        <f t="shared" si="3"/>
        <v>#N/A</v>
      </c>
      <c r="AH35" s="768" t="str">
        <f t="shared" si="4"/>
        <v/>
      </c>
      <c r="AI35" s="769" t="e">
        <f>IF(NOT(OR(Z35=1,Z35=2)),IF(AQ35&gt;0,$AR$47*AQ35/SUMIF($AQ$11:$AQ$42,"&gt;0"),IF(AU35&gt;0,$AV$47*AU35/SUMIF($AU$11:$AU$42,"&gt;0"),IF(AS35&gt;0,$AT$47*AS35/SUMIF($AS$11:$AS$42,"&gt;0"),""))),IF(SUMIF(AJ36:$AJ$42,"=" &amp; AJ35,AI36:$AI$42)=0,"",SUMIF(AJ36:$AJ$42,"=" &amp; AJ35,AI36:$AI$42)))</f>
        <v>#N/A</v>
      </c>
      <c r="AJ35" s="770" t="e">
        <f t="shared" si="34"/>
        <v>#N/A</v>
      </c>
      <c r="AK35" s="768" t="str">
        <f t="shared" si="27"/>
        <v/>
      </c>
      <c r="AL35" s="777" t="str">
        <f t="shared" si="28"/>
        <v/>
      </c>
      <c r="AM35" s="777" t="str">
        <f t="shared" si="35"/>
        <v/>
      </c>
      <c r="AN35" s="777" t="str">
        <f t="shared" si="5"/>
        <v/>
      </c>
      <c r="AO35" s="777" t="e">
        <f t="shared" si="6"/>
        <v>#N/A</v>
      </c>
      <c r="AP35" s="768" t="str">
        <f t="shared" si="7"/>
        <v/>
      </c>
      <c r="AQ35" s="771">
        <f t="shared" si="29"/>
        <v>0</v>
      </c>
      <c r="AR35" s="772" t="str">
        <f t="shared" si="8"/>
        <v/>
      </c>
      <c r="AS35" s="773">
        <f t="shared" si="30"/>
        <v>0</v>
      </c>
      <c r="AT35" s="772" t="str">
        <f t="shared" si="9"/>
        <v/>
      </c>
      <c r="AU35" s="774">
        <f t="shared" si="10"/>
        <v>0</v>
      </c>
      <c r="AV35" s="775" t="str">
        <f t="shared" si="11"/>
        <v/>
      </c>
      <c r="AW35" s="774" t="b">
        <f t="shared" si="12"/>
        <v>0</v>
      </c>
      <c r="AX35" s="776" t="b">
        <f t="shared" si="13"/>
        <v>0</v>
      </c>
      <c r="AY35" s="774" t="b">
        <f t="shared" si="14"/>
        <v>0</v>
      </c>
      <c r="AZ35" s="776" t="b">
        <f t="shared" si="15"/>
        <v>0</v>
      </c>
      <c r="BA35" s="768" t="b">
        <f t="shared" si="16"/>
        <v>0</v>
      </c>
      <c r="BB35" s="768" t="b">
        <f t="shared" si="17"/>
        <v>0</v>
      </c>
      <c r="BC35" s="774" t="b">
        <f t="shared" si="18"/>
        <v>0</v>
      </c>
      <c r="BD35" s="777" t="b">
        <f t="shared" si="31"/>
        <v>0</v>
      </c>
      <c r="BE35" s="776" t="b">
        <f t="shared" si="37"/>
        <v>0</v>
      </c>
      <c r="BF35" s="778" t="b">
        <f t="shared" ref="BF35:BF42" si="39">IF(OR(ISNA($Z35),H35&lt;&gt;"NG"),FALSE,IF(AND(J35="NA",K35&lt;&gt;""),TRUE,FALSE))</f>
        <v>0</v>
      </c>
      <c r="BG35" s="779" t="str">
        <f t="shared" si="38"/>
        <v>NA</v>
      </c>
      <c r="BH35" s="779" t="str">
        <f t="shared" si="32"/>
        <v/>
      </c>
      <c r="BI35" s="779" t="str">
        <f t="shared" si="22"/>
        <v/>
      </c>
      <c r="BJ35" s="779" t="str">
        <f t="shared" si="23"/>
        <v/>
      </c>
      <c r="BK35" s="779" t="str">
        <f t="shared" si="24"/>
        <v/>
      </c>
      <c r="BL35" s="780" t="str">
        <f t="shared" si="33"/>
        <v/>
      </c>
      <c r="BM35" s="779" t="str">
        <f t="shared" si="25"/>
        <v/>
      </c>
      <c r="BN35" s="779" t="str">
        <f t="shared" si="26"/>
        <v/>
      </c>
      <c r="BO35" s="787" t="s">
        <v>370</v>
      </c>
      <c r="BP35" s="792" t="s">
        <v>371</v>
      </c>
    </row>
    <row r="36" spans="2:73 1271:1271" s="731" customFormat="1" ht="12.95" customHeight="1" x14ac:dyDescent="0.25">
      <c r="B36" s="783" t="str">
        <f>IF(ISNA(Z36),"",IF(OR(Z36=1,Z36=2),"    ",MAX($B$11:B35)+1))</f>
        <v/>
      </c>
      <c r="C36" s="1116" t="str">
        <f t="shared" si="0"/>
        <v/>
      </c>
      <c r="D36" s="1116"/>
      <c r="E36" s="1116"/>
      <c r="F36" s="1117"/>
      <c r="G36" s="763" t="str">
        <f t="shared" si="1"/>
        <v/>
      </c>
      <c r="H36" s="764" t="str">
        <f t="shared" si="2"/>
        <v/>
      </c>
      <c r="I36" s="784" t="str">
        <f t="shared" si="2"/>
        <v/>
      </c>
      <c r="J36" s="793"/>
      <c r="K36" s="794"/>
      <c r="L36" s="1134"/>
      <c r="M36" s="1135"/>
      <c r="N36" s="1135"/>
      <c r="O36" s="1135"/>
      <c r="P36" s="1135"/>
      <c r="Q36" s="1135"/>
      <c r="R36" s="1136"/>
      <c r="T36" s="727">
        <v>26</v>
      </c>
      <c r="U36" s="716" t="e">
        <v>#N/A</v>
      </c>
      <c r="V36" s="768" t="e">
        <v>#N/A</v>
      </c>
      <c r="W36" s="768" t="e">
        <v>#N/A</v>
      </c>
      <c r="X36" s="768" t="e">
        <v>#N/A</v>
      </c>
      <c r="Y36" s="768" t="e">
        <v>#N/A</v>
      </c>
      <c r="Z36" s="777" t="e">
        <v>#N/A</v>
      </c>
      <c r="AA36" s="777" t="e">
        <v>#N/A</v>
      </c>
      <c r="AB36" s="777" t="e">
        <v>#N/A</v>
      </c>
      <c r="AC36" s="768" t="e">
        <v>#N/A</v>
      </c>
      <c r="AD36" s="768" t="e">
        <v>#N/A</v>
      </c>
      <c r="AE36" s="768" t="e">
        <v>#N/A</v>
      </c>
      <c r="AF36" s="768" t="e">
        <v>#N/A</v>
      </c>
      <c r="AG36" s="768" t="e">
        <f t="shared" si="3"/>
        <v>#N/A</v>
      </c>
      <c r="AH36" s="768" t="str">
        <f t="shared" si="4"/>
        <v/>
      </c>
      <c r="AI36" s="769" t="e">
        <f>IF(NOT(OR(Z36=1,Z36=2)),IF(AQ36&gt;0,$AR$47*AQ36/SUMIF($AQ$11:$AQ$42,"&gt;0"),IF(AU36&gt;0,$AV$47*AU36/SUMIF($AU$11:$AU$42,"&gt;0"),IF(AS36&gt;0,$AT$47*AS36/SUMIF($AS$11:$AS$42,"&gt;0"),""))),IF(SUMIF(AJ37:$AJ$42,"=" &amp; AJ36,AI37:$AI$42)=0,"",SUMIF(AJ37:$AJ$42,"=" &amp; AJ36,AI37:$AI$42)))</f>
        <v>#N/A</v>
      </c>
      <c r="AJ36" s="770" t="e">
        <f t="shared" si="34"/>
        <v>#N/A</v>
      </c>
      <c r="AK36" s="768" t="str">
        <f t="shared" si="27"/>
        <v/>
      </c>
      <c r="AL36" s="777" t="str">
        <f t="shared" si="28"/>
        <v/>
      </c>
      <c r="AM36" s="777" t="str">
        <f t="shared" si="35"/>
        <v/>
      </c>
      <c r="AN36" s="777" t="str">
        <f t="shared" si="5"/>
        <v/>
      </c>
      <c r="AO36" s="777" t="e">
        <f t="shared" si="6"/>
        <v>#N/A</v>
      </c>
      <c r="AP36" s="768" t="str">
        <f t="shared" si="7"/>
        <v/>
      </c>
      <c r="AQ36" s="771">
        <f t="shared" si="29"/>
        <v>0</v>
      </c>
      <c r="AR36" s="772" t="str">
        <f t="shared" si="8"/>
        <v/>
      </c>
      <c r="AS36" s="773">
        <f t="shared" si="30"/>
        <v>0</v>
      </c>
      <c r="AT36" s="772" t="str">
        <f t="shared" si="9"/>
        <v/>
      </c>
      <c r="AU36" s="774">
        <f t="shared" si="10"/>
        <v>0</v>
      </c>
      <c r="AV36" s="775" t="str">
        <f t="shared" si="11"/>
        <v/>
      </c>
      <c r="AW36" s="774" t="b">
        <f t="shared" si="12"/>
        <v>0</v>
      </c>
      <c r="AX36" s="776" t="b">
        <f t="shared" si="13"/>
        <v>0</v>
      </c>
      <c r="AY36" s="774" t="b">
        <f t="shared" si="14"/>
        <v>0</v>
      </c>
      <c r="AZ36" s="776" t="b">
        <f t="shared" si="15"/>
        <v>0</v>
      </c>
      <c r="BA36" s="768" t="b">
        <f t="shared" si="16"/>
        <v>0</v>
      </c>
      <c r="BB36" s="768" t="b">
        <f t="shared" si="17"/>
        <v>0</v>
      </c>
      <c r="BC36" s="774" t="b">
        <f t="shared" si="18"/>
        <v>0</v>
      </c>
      <c r="BD36" s="777" t="b">
        <f t="shared" si="31"/>
        <v>0</v>
      </c>
      <c r="BE36" s="776" t="b">
        <f t="shared" si="37"/>
        <v>0</v>
      </c>
      <c r="BF36" s="778" t="b">
        <f t="shared" si="39"/>
        <v>0</v>
      </c>
      <c r="BG36" s="779" t="str">
        <f t="shared" si="38"/>
        <v>NA</v>
      </c>
      <c r="BH36" s="779" t="str">
        <f t="shared" si="32"/>
        <v/>
      </c>
      <c r="BI36" s="779" t="str">
        <f t="shared" si="22"/>
        <v/>
      </c>
      <c r="BJ36" s="779" t="str">
        <f t="shared" si="23"/>
        <v/>
      </c>
      <c r="BK36" s="779" t="str">
        <f t="shared" si="24"/>
        <v/>
      </c>
      <c r="BL36" s="780" t="str">
        <f t="shared" si="33"/>
        <v/>
      </c>
      <c r="BM36" s="779" t="str">
        <f t="shared" si="25"/>
        <v/>
      </c>
      <c r="BN36" s="779" t="str">
        <f t="shared" si="26"/>
        <v/>
      </c>
      <c r="BO36" s="782" t="s">
        <v>372</v>
      </c>
      <c r="BP36" s="792"/>
      <c r="BQ36" s="792"/>
      <c r="BR36" s="792"/>
      <c r="BS36" s="792"/>
      <c r="BT36" s="792"/>
      <c r="BU36" s="792"/>
    </row>
    <row r="37" spans="2:73 1271:1271" s="731" customFormat="1" ht="12.95" customHeight="1" x14ac:dyDescent="0.25">
      <c r="B37" s="783" t="str">
        <f>IF(ISNA(Z37),"",IF(OR(Z37=1,Z37=2),"    ",MAX($B$11:B36)+1))</f>
        <v/>
      </c>
      <c r="C37" s="1116" t="str">
        <f t="shared" si="0"/>
        <v/>
      </c>
      <c r="D37" s="1116"/>
      <c r="E37" s="1116"/>
      <c r="F37" s="1117"/>
      <c r="G37" s="763" t="str">
        <f t="shared" si="1"/>
        <v/>
      </c>
      <c r="H37" s="764" t="str">
        <f t="shared" si="2"/>
        <v/>
      </c>
      <c r="I37" s="784" t="str">
        <f t="shared" si="2"/>
        <v/>
      </c>
      <c r="J37" s="793"/>
      <c r="K37" s="794"/>
      <c r="L37" s="1134"/>
      <c r="M37" s="1135"/>
      <c r="N37" s="1135"/>
      <c r="O37" s="1135"/>
      <c r="P37" s="1135"/>
      <c r="Q37" s="1135"/>
      <c r="R37" s="1136"/>
      <c r="T37" s="727">
        <v>27</v>
      </c>
      <c r="U37" s="716" t="e">
        <v>#N/A</v>
      </c>
      <c r="V37" s="768" t="e">
        <v>#N/A</v>
      </c>
      <c r="W37" s="768" t="e">
        <v>#N/A</v>
      </c>
      <c r="X37" s="768" t="e">
        <v>#N/A</v>
      </c>
      <c r="Y37" s="768" t="e">
        <v>#N/A</v>
      </c>
      <c r="Z37" s="777" t="e">
        <v>#N/A</v>
      </c>
      <c r="AA37" s="777" t="e">
        <v>#N/A</v>
      </c>
      <c r="AB37" s="777" t="e">
        <v>#N/A</v>
      </c>
      <c r="AC37" s="768" t="e">
        <v>#N/A</v>
      </c>
      <c r="AD37" s="768" t="e">
        <v>#N/A</v>
      </c>
      <c r="AE37" s="768" t="e">
        <v>#N/A</v>
      </c>
      <c r="AF37" s="768" t="e">
        <v>#N/A</v>
      </c>
      <c r="AG37" s="768" t="e">
        <f t="shared" si="3"/>
        <v>#N/A</v>
      </c>
      <c r="AH37" s="768" t="str">
        <f t="shared" si="4"/>
        <v/>
      </c>
      <c r="AI37" s="769" t="e">
        <f>IF(NOT(OR(Z37=1,Z37=2)),IF(AQ37&gt;0,$AR$47*AQ37/SUMIF($AQ$11:$AQ$42,"&gt;0"),IF(AU37&gt;0,$AV$47*AU37/SUMIF($AU$11:$AU$42,"&gt;0"),IF(AS37&gt;0,$AT$47*AS37/SUMIF($AS$11:$AS$42,"&gt;0"),""))),IF(SUMIF(AJ38:$AJ$42,"=" &amp; AJ37,AI38:$AI$42)=0,"",SUMIF(AJ38:$AJ$42,"=" &amp; AJ37,AI38:$AI$42)))</f>
        <v>#N/A</v>
      </c>
      <c r="AJ37" s="770" t="e">
        <f t="shared" si="34"/>
        <v>#N/A</v>
      </c>
      <c r="AK37" s="768" t="str">
        <f t="shared" si="27"/>
        <v/>
      </c>
      <c r="AL37" s="777" t="str">
        <f t="shared" si="28"/>
        <v/>
      </c>
      <c r="AM37" s="777" t="str">
        <f t="shared" si="35"/>
        <v/>
      </c>
      <c r="AN37" s="777" t="str">
        <f t="shared" si="5"/>
        <v/>
      </c>
      <c r="AO37" s="777" t="e">
        <f t="shared" si="6"/>
        <v>#N/A</v>
      </c>
      <c r="AP37" s="768" t="str">
        <f t="shared" si="7"/>
        <v/>
      </c>
      <c r="AQ37" s="771">
        <f t="shared" si="29"/>
        <v>0</v>
      </c>
      <c r="AR37" s="772" t="str">
        <f t="shared" si="8"/>
        <v/>
      </c>
      <c r="AS37" s="773">
        <f t="shared" si="30"/>
        <v>0</v>
      </c>
      <c r="AT37" s="772" t="str">
        <f t="shared" si="9"/>
        <v/>
      </c>
      <c r="AU37" s="774">
        <f t="shared" si="10"/>
        <v>0</v>
      </c>
      <c r="AV37" s="775" t="str">
        <f t="shared" si="11"/>
        <v/>
      </c>
      <c r="AW37" s="774" t="b">
        <f t="shared" si="12"/>
        <v>0</v>
      </c>
      <c r="AX37" s="776" t="b">
        <f t="shared" si="13"/>
        <v>0</v>
      </c>
      <c r="AY37" s="774" t="b">
        <f t="shared" si="14"/>
        <v>0</v>
      </c>
      <c r="AZ37" s="776" t="b">
        <f t="shared" si="15"/>
        <v>0</v>
      </c>
      <c r="BA37" s="768" t="b">
        <f t="shared" si="16"/>
        <v>0</v>
      </c>
      <c r="BB37" s="768" t="b">
        <f t="shared" si="17"/>
        <v>0</v>
      </c>
      <c r="BC37" s="774" t="b">
        <f t="shared" si="18"/>
        <v>0</v>
      </c>
      <c r="BD37" s="777" t="b">
        <f t="shared" si="31"/>
        <v>0</v>
      </c>
      <c r="BE37" s="776" t="b">
        <f t="shared" si="37"/>
        <v>0</v>
      </c>
      <c r="BF37" s="778" t="b">
        <f t="shared" si="39"/>
        <v>0</v>
      </c>
      <c r="BG37" s="779" t="str">
        <f t="shared" si="38"/>
        <v>NA</v>
      </c>
      <c r="BH37" s="779" t="str">
        <f t="shared" si="32"/>
        <v/>
      </c>
      <c r="BI37" s="779" t="str">
        <f t="shared" si="22"/>
        <v/>
      </c>
      <c r="BJ37" s="779" t="str">
        <f t="shared" si="23"/>
        <v/>
      </c>
      <c r="BK37" s="779" t="str">
        <f t="shared" si="24"/>
        <v/>
      </c>
      <c r="BL37" s="780" t="str">
        <f t="shared" si="33"/>
        <v/>
      </c>
      <c r="BM37" s="779" t="str">
        <f t="shared" si="25"/>
        <v/>
      </c>
      <c r="BN37" s="779" t="str">
        <f t="shared" si="26"/>
        <v/>
      </c>
      <c r="BO37" s="1142"/>
      <c r="BP37" s="1143"/>
      <c r="BQ37" s="1143"/>
      <c r="BR37" s="1143"/>
      <c r="BS37" s="1143"/>
      <c r="BT37" s="1143"/>
      <c r="BU37" s="1144"/>
    </row>
    <row r="38" spans="2:73 1271:1271" s="731" customFormat="1" ht="12.95" customHeight="1" x14ac:dyDescent="0.25">
      <c r="B38" s="783" t="str">
        <f>IF(ISNA(Z38),"",IF(OR(Z38=1,Z38=2),"    ",MAX($B$11:B37)+1))</f>
        <v/>
      </c>
      <c r="C38" s="1116" t="str">
        <f t="shared" si="0"/>
        <v/>
      </c>
      <c r="D38" s="1116"/>
      <c r="E38" s="1116"/>
      <c r="F38" s="1117"/>
      <c r="G38" s="763" t="str">
        <f t="shared" si="1"/>
        <v/>
      </c>
      <c r="H38" s="764" t="str">
        <f t="shared" si="2"/>
        <v/>
      </c>
      <c r="I38" s="784" t="str">
        <f t="shared" si="2"/>
        <v/>
      </c>
      <c r="J38" s="793"/>
      <c r="K38" s="794"/>
      <c r="L38" s="1134"/>
      <c r="M38" s="1135"/>
      <c r="N38" s="1135"/>
      <c r="O38" s="1135"/>
      <c r="P38" s="1135"/>
      <c r="Q38" s="1135"/>
      <c r="R38" s="1136"/>
      <c r="T38" s="727">
        <v>28</v>
      </c>
      <c r="U38" s="716" t="e">
        <v>#N/A</v>
      </c>
      <c r="V38" s="768" t="e">
        <v>#N/A</v>
      </c>
      <c r="W38" s="768" t="e">
        <v>#N/A</v>
      </c>
      <c r="X38" s="768" t="e">
        <v>#N/A</v>
      </c>
      <c r="Y38" s="768" t="e">
        <v>#N/A</v>
      </c>
      <c r="Z38" s="777" t="e">
        <v>#N/A</v>
      </c>
      <c r="AA38" s="777" t="e">
        <v>#N/A</v>
      </c>
      <c r="AB38" s="777" t="e">
        <v>#N/A</v>
      </c>
      <c r="AC38" s="768" t="e">
        <v>#N/A</v>
      </c>
      <c r="AD38" s="768" t="e">
        <v>#N/A</v>
      </c>
      <c r="AE38" s="768" t="e">
        <v>#N/A</v>
      </c>
      <c r="AF38" s="768" t="e">
        <v>#N/A</v>
      </c>
      <c r="AG38" s="768" t="e">
        <f t="shared" si="3"/>
        <v>#N/A</v>
      </c>
      <c r="AH38" s="768" t="str">
        <f t="shared" si="4"/>
        <v/>
      </c>
      <c r="AI38" s="769" t="e">
        <f>IF(NOT(OR(Z38=1,Z38=2)),IF(AQ38&gt;0,$AR$47*AQ38/SUMIF($AQ$11:$AQ$42,"&gt;0"),IF(AU38&gt;0,$AV$47*AU38/SUMIF($AU$11:$AU$42,"&gt;0"),IF(AS38&gt;0,$AT$47*AS38/SUMIF($AS$11:$AS$42,"&gt;0"),""))),IF(SUMIF(AJ39:$AJ$42,"=" &amp; AJ38,AI39:$AI$42)=0,"",SUMIF(AJ39:$AJ$42,"=" &amp; AJ38,AI39:$AI$42)))</f>
        <v>#N/A</v>
      </c>
      <c r="AJ38" s="770" t="e">
        <f t="shared" si="34"/>
        <v>#N/A</v>
      </c>
      <c r="AK38" s="768" t="str">
        <f t="shared" si="27"/>
        <v/>
      </c>
      <c r="AL38" s="777" t="str">
        <f t="shared" si="28"/>
        <v/>
      </c>
      <c r="AM38" s="777" t="str">
        <f t="shared" si="35"/>
        <v/>
      </c>
      <c r="AN38" s="777" t="str">
        <f t="shared" si="5"/>
        <v/>
      </c>
      <c r="AO38" s="777" t="e">
        <f t="shared" si="6"/>
        <v>#N/A</v>
      </c>
      <c r="AP38" s="768" t="str">
        <f t="shared" si="7"/>
        <v/>
      </c>
      <c r="AQ38" s="771">
        <f t="shared" si="29"/>
        <v>0</v>
      </c>
      <c r="AR38" s="772" t="str">
        <f t="shared" si="8"/>
        <v/>
      </c>
      <c r="AS38" s="773">
        <f t="shared" si="30"/>
        <v>0</v>
      </c>
      <c r="AT38" s="772" t="str">
        <f t="shared" si="9"/>
        <v/>
      </c>
      <c r="AU38" s="774">
        <f t="shared" si="10"/>
        <v>0</v>
      </c>
      <c r="AV38" s="775" t="str">
        <f t="shared" si="11"/>
        <v/>
      </c>
      <c r="AW38" s="774" t="b">
        <f t="shared" si="12"/>
        <v>0</v>
      </c>
      <c r="AX38" s="776" t="b">
        <f t="shared" si="13"/>
        <v>0</v>
      </c>
      <c r="AY38" s="774" t="b">
        <f t="shared" si="14"/>
        <v>0</v>
      </c>
      <c r="AZ38" s="776" t="b">
        <f t="shared" si="15"/>
        <v>0</v>
      </c>
      <c r="BA38" s="768" t="b">
        <f t="shared" si="16"/>
        <v>0</v>
      </c>
      <c r="BB38" s="768" t="b">
        <f t="shared" si="17"/>
        <v>0</v>
      </c>
      <c r="BC38" s="774" t="b">
        <f t="shared" si="18"/>
        <v>0</v>
      </c>
      <c r="BD38" s="777" t="b">
        <f t="shared" si="31"/>
        <v>0</v>
      </c>
      <c r="BE38" s="776" t="b">
        <f t="shared" si="37"/>
        <v>0</v>
      </c>
      <c r="BF38" s="778" t="b">
        <f t="shared" si="39"/>
        <v>0</v>
      </c>
      <c r="BG38" s="779" t="str">
        <f t="shared" si="38"/>
        <v>NA</v>
      </c>
      <c r="BH38" s="779" t="str">
        <f t="shared" si="32"/>
        <v/>
      </c>
      <c r="BI38" s="779" t="str">
        <f t="shared" si="22"/>
        <v/>
      </c>
      <c r="BJ38" s="779" t="str">
        <f t="shared" si="23"/>
        <v/>
      </c>
      <c r="BK38" s="779" t="str">
        <f t="shared" si="24"/>
        <v/>
      </c>
      <c r="BL38" s="780" t="str">
        <f t="shared" si="33"/>
        <v/>
      </c>
      <c r="BM38" s="779" t="str">
        <f t="shared" si="25"/>
        <v/>
      </c>
      <c r="BN38" s="779" t="str">
        <f t="shared" si="26"/>
        <v/>
      </c>
      <c r="BO38" s="1145"/>
      <c r="BP38" s="1146"/>
      <c r="BQ38" s="1146"/>
      <c r="BR38" s="1146"/>
      <c r="BS38" s="1146"/>
      <c r="BT38" s="1146"/>
      <c r="BU38" s="1147"/>
    </row>
    <row r="39" spans="2:73 1271:1271" s="731" customFormat="1" ht="12.95" customHeight="1" x14ac:dyDescent="0.25">
      <c r="B39" s="783" t="str">
        <f>IF(ISNA(Z39),"",IF(OR(Z39=1,Z39=2),"    ",MAX($B$11:B38)+1))</f>
        <v/>
      </c>
      <c r="C39" s="1116" t="str">
        <f t="shared" si="0"/>
        <v/>
      </c>
      <c r="D39" s="1116"/>
      <c r="E39" s="1116"/>
      <c r="F39" s="1117"/>
      <c r="G39" s="763" t="str">
        <f t="shared" si="1"/>
        <v/>
      </c>
      <c r="H39" s="764" t="str">
        <f t="shared" si="2"/>
        <v/>
      </c>
      <c r="I39" s="784" t="str">
        <f t="shared" si="2"/>
        <v/>
      </c>
      <c r="J39" s="793"/>
      <c r="K39" s="794"/>
      <c r="L39" s="1134"/>
      <c r="M39" s="1135"/>
      <c r="N39" s="1135"/>
      <c r="O39" s="1135"/>
      <c r="P39" s="1135"/>
      <c r="Q39" s="1135"/>
      <c r="R39" s="1136"/>
      <c r="T39" s="727">
        <v>29</v>
      </c>
      <c r="U39" s="716" t="e">
        <v>#N/A</v>
      </c>
      <c r="V39" s="768" t="e">
        <v>#N/A</v>
      </c>
      <c r="W39" s="768" t="e">
        <v>#N/A</v>
      </c>
      <c r="X39" s="768" t="e">
        <v>#N/A</v>
      </c>
      <c r="Y39" s="768" t="e">
        <v>#N/A</v>
      </c>
      <c r="Z39" s="777" t="e">
        <v>#N/A</v>
      </c>
      <c r="AA39" s="777" t="e">
        <v>#N/A</v>
      </c>
      <c r="AB39" s="777" t="e">
        <v>#N/A</v>
      </c>
      <c r="AC39" s="768" t="e">
        <v>#N/A</v>
      </c>
      <c r="AD39" s="768" t="e">
        <v>#N/A</v>
      </c>
      <c r="AE39" s="768" t="e">
        <v>#N/A</v>
      </c>
      <c r="AF39" s="768" t="e">
        <v>#N/A</v>
      </c>
      <c r="AG39" s="768" t="e">
        <f t="shared" si="3"/>
        <v>#N/A</v>
      </c>
      <c r="AH39" s="768" t="str">
        <f t="shared" si="4"/>
        <v/>
      </c>
      <c r="AI39" s="769" t="e">
        <f>IF(NOT(OR(Z39=1,Z39=2)),IF(AQ39&gt;0,$AR$47*AQ39/SUMIF($AQ$11:$AQ$42,"&gt;0"),IF(AU39&gt;0,$AV$47*AU39/SUMIF($AU$11:$AU$42,"&gt;0"),IF(AS39&gt;0,$AT$47*AS39/SUMIF($AS$11:$AS$42,"&gt;0"),""))),IF(SUMIF(AJ40:$AJ$42,"=" &amp; AJ39,AI40:$AI$42)=0,"",SUMIF(AJ40:$AJ$42,"=" &amp; AJ39,AI40:$AI$42)))</f>
        <v>#N/A</v>
      </c>
      <c r="AJ39" s="770" t="e">
        <f t="shared" si="34"/>
        <v>#N/A</v>
      </c>
      <c r="AK39" s="768" t="str">
        <f t="shared" si="27"/>
        <v/>
      </c>
      <c r="AL39" s="777" t="str">
        <f t="shared" si="28"/>
        <v/>
      </c>
      <c r="AM39" s="777" t="str">
        <f t="shared" si="35"/>
        <v/>
      </c>
      <c r="AN39" s="777" t="str">
        <f t="shared" si="5"/>
        <v/>
      </c>
      <c r="AO39" s="777" t="e">
        <f t="shared" si="6"/>
        <v>#N/A</v>
      </c>
      <c r="AP39" s="768" t="str">
        <f t="shared" si="7"/>
        <v/>
      </c>
      <c r="AQ39" s="771">
        <f t="shared" si="29"/>
        <v>0</v>
      </c>
      <c r="AR39" s="772" t="str">
        <f t="shared" si="8"/>
        <v/>
      </c>
      <c r="AS39" s="773">
        <f t="shared" si="30"/>
        <v>0</v>
      </c>
      <c r="AT39" s="772" t="str">
        <f t="shared" si="9"/>
        <v/>
      </c>
      <c r="AU39" s="774">
        <f t="shared" si="10"/>
        <v>0</v>
      </c>
      <c r="AV39" s="775" t="str">
        <f t="shared" si="11"/>
        <v/>
      </c>
      <c r="AW39" s="774" t="b">
        <f t="shared" si="12"/>
        <v>0</v>
      </c>
      <c r="AX39" s="776" t="b">
        <f t="shared" si="13"/>
        <v>0</v>
      </c>
      <c r="AY39" s="774" t="b">
        <f t="shared" si="14"/>
        <v>0</v>
      </c>
      <c r="AZ39" s="776" t="b">
        <f t="shared" si="15"/>
        <v>0</v>
      </c>
      <c r="BA39" s="768" t="b">
        <f t="shared" si="16"/>
        <v>0</v>
      </c>
      <c r="BB39" s="768" t="b">
        <f t="shared" si="17"/>
        <v>0</v>
      </c>
      <c r="BC39" s="774" t="b">
        <f t="shared" si="18"/>
        <v>0</v>
      </c>
      <c r="BD39" s="777" t="b">
        <f t="shared" si="31"/>
        <v>0</v>
      </c>
      <c r="BE39" s="776" t="b">
        <f t="shared" si="37"/>
        <v>0</v>
      </c>
      <c r="BF39" s="778" t="b">
        <f t="shared" si="39"/>
        <v>0</v>
      </c>
      <c r="BG39" s="779" t="str">
        <f t="shared" si="38"/>
        <v>NA</v>
      </c>
      <c r="BH39" s="779" t="str">
        <f t="shared" si="32"/>
        <v/>
      </c>
      <c r="BI39" s="779" t="str">
        <f t="shared" si="22"/>
        <v/>
      </c>
      <c r="BJ39" s="779" t="str">
        <f t="shared" si="23"/>
        <v/>
      </c>
      <c r="BK39" s="779" t="str">
        <f t="shared" si="24"/>
        <v/>
      </c>
      <c r="BL39" s="780" t="str">
        <f t="shared" si="33"/>
        <v/>
      </c>
      <c r="BM39" s="779" t="str">
        <f t="shared" si="25"/>
        <v/>
      </c>
      <c r="BN39" s="779" t="str">
        <f t="shared" si="26"/>
        <v/>
      </c>
      <c r="BO39" s="1145"/>
      <c r="BP39" s="1146"/>
      <c r="BQ39" s="1146"/>
      <c r="BR39" s="1146"/>
      <c r="BS39" s="1146"/>
      <c r="BT39" s="1146"/>
      <c r="BU39" s="1147"/>
    </row>
    <row r="40" spans="2:73 1271:1271" s="731" customFormat="1" ht="12.95" customHeight="1" x14ac:dyDescent="0.25">
      <c r="B40" s="783" t="str">
        <f>IF(ISNA(Z40),"",IF(OR(Z40=1,Z40=2),"    ",MAX($B$11:B39)+1))</f>
        <v/>
      </c>
      <c r="C40" s="1116" t="str">
        <f>IF(ISNA(Z40),"",CONCATENATE($U40,IF(ISNUMBER(AI40),TEXT(ROUND($AI40,3)," (0.0%)"),""),IF(AU40&gt;0," Bonus","")))</f>
        <v/>
      </c>
      <c r="D40" s="1116"/>
      <c r="E40" s="1116"/>
      <c r="F40" s="1117"/>
      <c r="G40" s="763" t="str">
        <f t="shared" si="1"/>
        <v/>
      </c>
      <c r="H40" s="764" t="str">
        <f t="shared" si="2"/>
        <v/>
      </c>
      <c r="I40" s="784" t="str">
        <f t="shared" si="2"/>
        <v/>
      </c>
      <c r="J40" s="793"/>
      <c r="K40" s="794"/>
      <c r="L40" s="1134"/>
      <c r="M40" s="1135"/>
      <c r="N40" s="1135"/>
      <c r="O40" s="1135"/>
      <c r="P40" s="1135"/>
      <c r="Q40" s="1135"/>
      <c r="R40" s="1136"/>
      <c r="T40" s="727">
        <v>30</v>
      </c>
      <c r="U40" s="716" t="e">
        <v>#N/A</v>
      </c>
      <c r="V40" s="768" t="e">
        <v>#N/A</v>
      </c>
      <c r="W40" s="768" t="e">
        <v>#N/A</v>
      </c>
      <c r="X40" s="768" t="e">
        <v>#N/A</v>
      </c>
      <c r="Y40" s="768" t="e">
        <v>#N/A</v>
      </c>
      <c r="Z40" s="777" t="e">
        <v>#N/A</v>
      </c>
      <c r="AA40" s="777" t="e">
        <v>#N/A</v>
      </c>
      <c r="AB40" s="777" t="e">
        <v>#N/A</v>
      </c>
      <c r="AC40" s="768" t="e">
        <v>#N/A</v>
      </c>
      <c r="AD40" s="768" t="e">
        <v>#N/A</v>
      </c>
      <c r="AE40" s="768" t="e">
        <v>#N/A</v>
      </c>
      <c r="AF40" s="768" t="e">
        <v>#N/A</v>
      </c>
      <c r="AG40" s="768" t="e">
        <f t="shared" si="3"/>
        <v>#N/A</v>
      </c>
      <c r="AH40" s="768" t="str">
        <f t="shared" si="4"/>
        <v/>
      </c>
      <c r="AI40" s="769" t="e">
        <f>IF(NOT(OR(Z40=1,Z40=2)),IF(AQ40&gt;0,$AR$47*AQ40/SUMIF($AQ$11:$AQ$42,"&gt;0"),IF(AU40&gt;0,$AV$47*AU40/SUMIF($AU$11:$AU$42,"&gt;0"),IF(AS40&gt;0,$AT$47*AS40/SUMIF($AS$11:$AS$42,"&gt;0"),""))),IF(SUMIF(AJ41:$AJ$42,"=" &amp; AJ40,AI41:$AI$42)=0,"",SUMIF(AJ41:$AJ$42,"=" &amp; AJ40,AI41:$AI$42)))</f>
        <v>#N/A</v>
      </c>
      <c r="AJ40" s="770" t="e">
        <f t="shared" si="34"/>
        <v>#N/A</v>
      </c>
      <c r="AK40" s="768" t="str">
        <f t="shared" si="27"/>
        <v/>
      </c>
      <c r="AL40" s="777" t="str">
        <f t="shared" si="28"/>
        <v/>
      </c>
      <c r="AM40" s="777" t="str">
        <f t="shared" si="35"/>
        <v/>
      </c>
      <c r="AN40" s="777" t="str">
        <f>IF(ISNUMBER(AH40),IF(AND(AB40=0,ISNUMBER(AC40),ISNUMBER(AL40)),1,""),"")</f>
        <v/>
      </c>
      <c r="AO40" s="777" t="e">
        <f t="shared" si="6"/>
        <v>#N/A</v>
      </c>
      <c r="AP40" s="768" t="str">
        <f>IF(ISNA(Z40),"",IF(AND(ISNUMBER(B40),G40&gt;=1,H40&lt;&gt;"NG"),IF(K40&lt;BK40,TRUE,FALSE),IF(AND(G40&gt;=1,J40="NA"),TRUE,IF(AND(AM40=1,G40=0,AL40&lt;BI40),TRUE,""))))</f>
        <v/>
      </c>
      <c r="AQ40" s="771">
        <f>IF(ISNA(Z40),0,IF(OR(J40="NA",W40="",AB40=0),0,W40))</f>
        <v>0</v>
      </c>
      <c r="AR40" s="772" t="str">
        <f t="shared" si="8"/>
        <v/>
      </c>
      <c r="AS40" s="773">
        <f>IF(ISNA(Z40),0,IF(OR(J40="NA",X40="",AB40=1),0,X40))</f>
        <v>0</v>
      </c>
      <c r="AT40" s="772" t="str">
        <f t="shared" si="9"/>
        <v/>
      </c>
      <c r="AU40" s="774">
        <f>IF(ISNA(Z40),0,IF(OR(J40="NA",Y40=""),0,Y40))</f>
        <v>0</v>
      </c>
      <c r="AV40" s="775" t="str">
        <f t="shared" si="11"/>
        <v/>
      </c>
      <c r="AW40" s="774" t="b">
        <f>IF(ISNA(Z40),FALSE,IF(OR(AB40=1,G40=0,Z40=1,Z40=2),FALSE,IF(OR(J40="NA",J40&gt;=G40),FALSE,TRUE)))</f>
        <v>0</v>
      </c>
      <c r="AX40" s="776" t="b">
        <f>IF(ISNA(Z40),FALSE,IF(OR(AB40=0,G40=0,Z40=1,Z40=2,J40="NA"),FALSE,IF(AK40="NG",IF(NOT(ISBLANK(K40)),FALSE,TRUE),IF(J40&gt;=G40,FALSE,TRUE))))</f>
        <v>0</v>
      </c>
      <c r="AY40" s="774" t="b">
        <f>IF(ISNA(Z40),FALSE,IF(OR(AB40=1,G40&lt;1,Z40=1,Z40=2,AE40=0,ISBLANK(K40)),FALSE,IF(OR(J40="NA",K40&gt;=BI40),FALSE,TRUE)))</f>
        <v>0</v>
      </c>
      <c r="AZ40" s="776" t="b">
        <f>IF(ISNA(Z40),FALSE,IF(OR(AB40=0,G40=0,Z40=1,Z40=2,AE40=0,BI40="NG",K40="",ISBLANK(K40)),FALSE,IF(OR(J40="NA",K40&gt;=AK40),FALSE,TRUE)))</f>
        <v>0</v>
      </c>
      <c r="BA40" s="768" t="b">
        <f>IF(ISNA(Z40),FALSE,IF(OR(AB40=1,G40&lt;1,Z40=1,Z40=2,AE40=0),FALSE,IF(J40="NA",TRUE,FALSE)))</f>
        <v>0</v>
      </c>
      <c r="BB40" s="768" t="b">
        <f>IF(ISNA(Z40),FALSE,IF(OR(AB40=0,G40=0,Z40=1,Z40=2),FALSE,IF(J40="NA",TRUE,FALSE)))</f>
        <v>0</v>
      </c>
      <c r="BC40" s="774" t="b">
        <f>IF(OR(ISNA($Z40),ISNUMBER($Z40),NOT(ISNUMBER($J40)),K40="D"),FALSE,IF(AND(NOT(ISNUMBER($K40)),J40&gt;0),TRUE,FALSE))</f>
        <v>0</v>
      </c>
      <c r="BD40" s="777" t="b">
        <f>IF(OR(ISNA($Z40),ISNUMBER($Z40),NOT(ISNUMBER(K40))),FALSE,OR(NOT(ISNUMBER(J40)),J40=0,AND(J40=0,K40&lt;&gt;0)))</f>
        <v>0</v>
      </c>
      <c r="BE40" s="776" t="b">
        <f>IF(OR(ISNA($Z40),K40&lt;&gt;"D"),FALSE,IF(OR(AND(H40="NG",J40=0),AND(H40&lt;&gt;"NG",NOT(OR(J40="NA",J40=0)))),TRUE,FALSE))</f>
        <v>0</v>
      </c>
      <c r="BF40" s="778" t="b">
        <f>IF(OR(ISNA($Z40),H40&lt;&gt;"NG"),FALSE,IF(AND(J40="NA",K40&lt;&gt;""),TRUE,FALSE))</f>
        <v>0</v>
      </c>
      <c r="BG40" s="779" t="str">
        <f t="shared" si="38"/>
        <v>NA</v>
      </c>
      <c r="BH40" s="779" t="str">
        <f t="shared" si="32"/>
        <v/>
      </c>
      <c r="BI40" s="779" t="str">
        <f t="shared" si="22"/>
        <v/>
      </c>
      <c r="BJ40" s="779" t="str">
        <f t="shared" si="23"/>
        <v/>
      </c>
      <c r="BK40" s="779" t="str">
        <f t="shared" si="24"/>
        <v/>
      </c>
      <c r="BL40" s="780" t="str">
        <f t="shared" si="33"/>
        <v/>
      </c>
      <c r="BM40" s="779" t="str">
        <f t="shared" si="25"/>
        <v/>
      </c>
      <c r="BN40" s="779" t="str">
        <f t="shared" si="26"/>
        <v/>
      </c>
      <c r="BO40" s="1148"/>
      <c r="BP40" s="1149"/>
      <c r="BQ40" s="1149"/>
      <c r="BR40" s="1149"/>
      <c r="BS40" s="1149"/>
      <c r="BT40" s="1149"/>
      <c r="BU40" s="1150"/>
    </row>
    <row r="41" spans="2:73 1271:1271" s="731" customFormat="1" ht="12.95" customHeight="1" x14ac:dyDescent="0.25">
      <c r="B41" s="783" t="str">
        <f>IF(ISNA(Z41),"",IF(OR(Z41=1,Z41=2),"    ",MAX($B$11:B40)+1))</f>
        <v/>
      </c>
      <c r="C41" s="1116" t="str">
        <f t="shared" ref="C41:C42" si="40">IF(ISNA(Z41),"",CONCATENATE($U41,IF(ISNUMBER(AI41),TEXT(ROUND($AI41,3)," (0.0%)"),""),IF(AU41&gt;0," Bonus","")))</f>
        <v/>
      </c>
      <c r="D41" s="1116"/>
      <c r="E41" s="1116"/>
      <c r="F41" s="1117"/>
      <c r="G41" s="763" t="str">
        <f t="shared" si="1"/>
        <v/>
      </c>
      <c r="H41" s="764" t="str">
        <f t="shared" si="2"/>
        <v/>
      </c>
      <c r="I41" s="784" t="str">
        <f t="shared" si="2"/>
        <v/>
      </c>
      <c r="J41" s="793"/>
      <c r="K41" s="794"/>
      <c r="L41" s="1134"/>
      <c r="M41" s="1135"/>
      <c r="N41" s="1135"/>
      <c r="O41" s="1135"/>
      <c r="P41" s="1135"/>
      <c r="Q41" s="1135"/>
      <c r="R41" s="1136"/>
      <c r="T41" s="727">
        <v>31</v>
      </c>
      <c r="U41" s="716" t="e">
        <v>#N/A</v>
      </c>
      <c r="V41" s="768" t="e">
        <v>#N/A</v>
      </c>
      <c r="W41" s="768" t="e">
        <v>#N/A</v>
      </c>
      <c r="X41" s="768" t="e">
        <v>#N/A</v>
      </c>
      <c r="Y41" s="768" t="e">
        <v>#N/A</v>
      </c>
      <c r="Z41" s="777" t="e">
        <v>#N/A</v>
      </c>
      <c r="AA41" s="777" t="e">
        <v>#N/A</v>
      </c>
      <c r="AB41" s="777" t="e">
        <v>#N/A</v>
      </c>
      <c r="AC41" s="768" t="e">
        <v>#N/A</v>
      </c>
      <c r="AD41" s="768" t="e">
        <v>#N/A</v>
      </c>
      <c r="AE41" s="768" t="e">
        <v>#N/A</v>
      </c>
      <c r="AF41" s="768" t="e">
        <v>#N/A</v>
      </c>
      <c r="AG41" s="768" t="e">
        <f t="shared" si="3"/>
        <v>#N/A</v>
      </c>
      <c r="AH41" s="768" t="str">
        <f t="shared" si="4"/>
        <v/>
      </c>
      <c r="AI41" s="769" t="e">
        <f>IF(NOT(OR(Z41=1,Z41=2)),IF(AQ41&gt;0,$AR$47*AQ41/SUMIF($AQ$11:$AQ$42,"&gt;0"),IF(AU41&gt;0,$AV$47*AU41/SUMIF($AU$11:$AU$42,"&gt;0"),IF(AS41&gt;0,$AT$47*AS41/SUMIF($AS$11:$AS$42,"&gt;0"),""))),IF(SUMIF(AJ42:$AJ$42,"=" &amp; AJ41,AI42:$AI$42)=0,"",SUMIF(AJ42:$AJ$42,"=" &amp; AJ41,AI42:$AI$42)))</f>
        <v>#N/A</v>
      </c>
      <c r="AJ41" s="770" t="e">
        <f t="shared" si="34"/>
        <v>#N/A</v>
      </c>
      <c r="AK41" s="768" t="str">
        <f t="shared" si="27"/>
        <v/>
      </c>
      <c r="AL41" s="777" t="str">
        <f t="shared" si="28"/>
        <v/>
      </c>
      <c r="AM41" s="777" t="str">
        <f t="shared" si="35"/>
        <v/>
      </c>
      <c r="AN41" s="777" t="str">
        <f>IF(ISNUMBER(AH41),IF(AND(AB41=0,ISNUMBER(AC41),ISNUMBER(AL41)),1,""),"")</f>
        <v/>
      </c>
      <c r="AO41" s="777" t="e">
        <f t="shared" si="6"/>
        <v>#N/A</v>
      </c>
      <c r="AP41" s="768" t="str">
        <f>IF(ISNA(Z41),"",IF(AND(ISNUMBER(B41),G41&gt;=1,H41&lt;&gt;"NG"),IF(K41&lt;BK41,TRUE,FALSE),IF(AND(G41&gt;=1,J41="NA"),TRUE,IF(AND(AM41=1,G41=0,AL41&lt;BI41),TRUE,""))))</f>
        <v/>
      </c>
      <c r="AQ41" s="771">
        <f>IF(ISNA(Z41),0,IF(OR(J41="NA",W41="",AB41=0),0,W41))</f>
        <v>0</v>
      </c>
      <c r="AR41" s="772" t="str">
        <f t="shared" si="8"/>
        <v/>
      </c>
      <c r="AS41" s="773">
        <f>IF(ISNA(Z41),0,IF(OR(J41="NA",X41="",AB41=1),0,X41))</f>
        <v>0</v>
      </c>
      <c r="AT41" s="772" t="str">
        <f t="shared" si="9"/>
        <v/>
      </c>
      <c r="AU41" s="774">
        <f>IF(ISNA(Z41),0,IF(OR(J41="NA",Y41=""),0,Y41))</f>
        <v>0</v>
      </c>
      <c r="AV41" s="775" t="str">
        <f t="shared" si="11"/>
        <v/>
      </c>
      <c r="AW41" s="774" t="b">
        <f>IF(ISNA(Z41),FALSE,IF(OR(AB41=1,G41=0,Z41=1,Z41=2),FALSE,IF(OR(J41="NA",J41&gt;=G41),FALSE,TRUE)))</f>
        <v>0</v>
      </c>
      <c r="AX41" s="776" t="b">
        <f>IF(ISNA(Z41),FALSE,IF(OR(AB41=0,G41=0,Z41=1,Z41=2,J41="NA"),FALSE,IF(AK41="NG",IF(NOT(ISBLANK(K41)),FALSE,TRUE),IF(J41&gt;=G41,FALSE,TRUE))))</f>
        <v>0</v>
      </c>
      <c r="AY41" s="774" t="b">
        <f>IF(ISNA(Z41),FALSE,IF(OR(AB41=1,G41&lt;1,Z41=1,Z41=2,AE41=0,ISBLANK(K41)),FALSE,IF(OR(J41="NA",K41&gt;=BI41),FALSE,TRUE)))</f>
        <v>0</v>
      </c>
      <c r="AZ41" s="776" t="b">
        <f>IF(ISNA(Z41),FALSE,IF(OR(AB41=0,G41=0,Z41=1,Z41=2,AE41=0,BI41="NG",K41="",ISBLANK(K41)),FALSE,IF(OR(J41="NA",K41&gt;=AK41),FALSE,TRUE)))</f>
        <v>0</v>
      </c>
      <c r="BA41" s="768" t="b">
        <f>IF(ISNA(Z41),FALSE,IF(OR(AB41=1,G41&lt;1,Z41=1,Z41=2,AE41=0),FALSE,IF(J41="NA",TRUE,FALSE)))</f>
        <v>0</v>
      </c>
      <c r="BB41" s="768" t="b">
        <f>IF(ISNA(Z41),FALSE,IF(OR(AB41=0,G41=0,Z41=1,Z41=2),FALSE,IF(J41="NA",TRUE,FALSE)))</f>
        <v>0</v>
      </c>
      <c r="BC41" s="774" t="b">
        <f>IF(OR(ISNA($Z41),ISNUMBER($Z41),NOT(ISNUMBER($J41)),K41="D"),FALSE,IF(AND(NOT(ISNUMBER($K41)),J41&gt;0),TRUE,FALSE))</f>
        <v>0</v>
      </c>
      <c r="BD41" s="777" t="b">
        <f>IF(OR(ISNA($Z41),ISNUMBER($Z41),NOT(ISNUMBER(K41))),FALSE,OR(NOT(ISNUMBER(J41)),J41=0,AND(J41=0,K41&lt;&gt;0)))</f>
        <v>0</v>
      </c>
      <c r="BE41" s="776" t="b">
        <f>IF(OR(ISNA($Z41),K41&lt;&gt;"D"),FALSE,IF(OR(AND(H41="NG",J41=0),AND(H41&lt;&gt;"NG",NOT(OR(J41="NA",J41=0)))),TRUE,FALSE))</f>
        <v>0</v>
      </c>
      <c r="BF41" s="778" t="b">
        <f>IF(OR(ISNA($Z41),H41&lt;&gt;"NG"),FALSE,IF(AND(J41="NA",K41&lt;&gt;""),TRUE,FALSE))</f>
        <v>0</v>
      </c>
      <c r="BG41" s="779" t="str">
        <f t="shared" si="38"/>
        <v>NA</v>
      </c>
      <c r="BH41" s="779" t="str">
        <f t="shared" si="32"/>
        <v/>
      </c>
      <c r="BI41" s="779" t="str">
        <f t="shared" si="22"/>
        <v/>
      </c>
      <c r="BJ41" s="779" t="str">
        <f t="shared" si="23"/>
        <v/>
      </c>
      <c r="BK41" s="779" t="str">
        <f t="shared" si="24"/>
        <v/>
      </c>
      <c r="BL41" s="780" t="str">
        <f t="shared" si="33"/>
        <v/>
      </c>
      <c r="BM41" s="779" t="str">
        <f t="shared" si="25"/>
        <v/>
      </c>
      <c r="BN41" s="779" t="str">
        <f t="shared" si="26"/>
        <v/>
      </c>
      <c r="BO41" s="782" t="s">
        <v>373</v>
      </c>
      <c r="BP41" s="782"/>
      <c r="BQ41" s="782"/>
      <c r="BR41" s="782"/>
      <c r="BS41" s="782"/>
      <c r="BT41" s="782"/>
      <c r="BU41" s="782"/>
    </row>
    <row r="42" spans="2:73 1271:1271" s="731" customFormat="1" ht="12.95" customHeight="1" thickBot="1" x14ac:dyDescent="0.3">
      <c r="B42" s="783" t="str">
        <f>IF(ISNA(Z42),"",IF(OR(Z42=1,Z42=2),"    ",MAX($B$11:B41)+1))</f>
        <v/>
      </c>
      <c r="C42" s="1116" t="str">
        <f t="shared" si="40"/>
        <v/>
      </c>
      <c r="D42" s="1116"/>
      <c r="E42" s="1116"/>
      <c r="F42" s="1117"/>
      <c r="G42" s="808" t="str">
        <f t="shared" si="1"/>
        <v/>
      </c>
      <c r="H42" s="764" t="str">
        <f t="shared" si="2"/>
        <v/>
      </c>
      <c r="I42" s="809" t="str">
        <f t="shared" si="2"/>
        <v/>
      </c>
      <c r="J42" s="793"/>
      <c r="K42" s="794"/>
      <c r="L42" s="1137"/>
      <c r="M42" s="1138"/>
      <c r="N42" s="1138"/>
      <c r="O42" s="1138"/>
      <c r="P42" s="1138"/>
      <c r="Q42" s="1138"/>
      <c r="R42" s="1139"/>
      <c r="T42" s="727">
        <v>32</v>
      </c>
      <c r="U42" s="716" t="e">
        <v>#N/A</v>
      </c>
      <c r="V42" s="768" t="e">
        <v>#N/A</v>
      </c>
      <c r="W42" s="768" t="e">
        <v>#N/A</v>
      </c>
      <c r="X42" s="768" t="e">
        <v>#N/A</v>
      </c>
      <c r="Y42" s="768" t="e">
        <v>#N/A</v>
      </c>
      <c r="Z42" s="777" t="e">
        <v>#N/A</v>
      </c>
      <c r="AA42" s="777" t="e">
        <v>#N/A</v>
      </c>
      <c r="AB42" s="777" t="e">
        <v>#N/A</v>
      </c>
      <c r="AC42" s="768" t="e">
        <v>#N/A</v>
      </c>
      <c r="AD42" s="768" t="e">
        <v>#N/A</v>
      </c>
      <c r="AE42" s="768" t="e">
        <v>#N/A</v>
      </c>
      <c r="AF42" s="768" t="e">
        <v>#N/A</v>
      </c>
      <c r="AG42" s="768" t="e">
        <f t="shared" si="3"/>
        <v>#N/A</v>
      </c>
      <c r="AH42" s="768" t="str">
        <f t="shared" si="4"/>
        <v/>
      </c>
      <c r="AI42" s="769" t="e">
        <f>IF(NOT(OR(Z42=1,Z42=2)),IF(AQ42&gt;0,$AR$47*AQ42/SUMIF($AQ$11:$AQ$42,"&gt;0"),IF(AU42&gt;0,$AV$47*AU42/SUMIF($AU$11:$AU$42,"&gt;0"),IF(AS42&gt;0,$AT$47*AS42/SUMIF($AS$11:$AS$42,"&gt;0"),""))),IF(SUMIF(AJ$42:$AJ43,"=" &amp; AJ42,AI$42:$AI43)=0,"",SUMIF(AJ$42:$AJ43,"=" &amp; AJ42,AI$42:$AI43)))</f>
        <v>#N/A</v>
      </c>
      <c r="AJ42" s="770" t="e">
        <f t="shared" si="34"/>
        <v>#N/A</v>
      </c>
      <c r="AK42" s="768" t="str">
        <f t="shared" si="27"/>
        <v/>
      </c>
      <c r="AL42" s="777" t="str">
        <f t="shared" si="28"/>
        <v/>
      </c>
      <c r="AM42" s="777" t="str">
        <f t="shared" si="35"/>
        <v/>
      </c>
      <c r="AN42" s="777" t="str">
        <f>IF(ISNUMBER(AH42),IF(AND(AB42=0,ISNUMBER(AC42),ISNUMBER(AL42)),1,""),"")</f>
        <v/>
      </c>
      <c r="AO42" s="777" t="e">
        <f t="shared" si="6"/>
        <v>#N/A</v>
      </c>
      <c r="AP42" s="768" t="str">
        <f t="shared" si="7"/>
        <v/>
      </c>
      <c r="AQ42" s="771">
        <f t="shared" si="29"/>
        <v>0</v>
      </c>
      <c r="AR42" s="772" t="str">
        <f t="shared" si="8"/>
        <v/>
      </c>
      <c r="AS42" s="773">
        <f t="shared" si="30"/>
        <v>0</v>
      </c>
      <c r="AT42" s="772" t="str">
        <f t="shared" si="9"/>
        <v/>
      </c>
      <c r="AU42" s="774">
        <f t="shared" si="10"/>
        <v>0</v>
      </c>
      <c r="AV42" s="775" t="str">
        <f t="shared" si="11"/>
        <v/>
      </c>
      <c r="AW42" s="774" t="b">
        <f t="shared" si="12"/>
        <v>0</v>
      </c>
      <c r="AX42" s="776" t="b">
        <f t="shared" si="13"/>
        <v>0</v>
      </c>
      <c r="AY42" s="774" t="b">
        <f t="shared" si="14"/>
        <v>0</v>
      </c>
      <c r="AZ42" s="776" t="b">
        <f t="shared" si="15"/>
        <v>0</v>
      </c>
      <c r="BA42" s="768" t="b">
        <f t="shared" si="16"/>
        <v>0</v>
      </c>
      <c r="BB42" s="768" t="b">
        <f t="shared" si="17"/>
        <v>0</v>
      </c>
      <c r="BC42" s="774" t="b">
        <f t="shared" si="18"/>
        <v>0</v>
      </c>
      <c r="BD42" s="777" t="b">
        <f t="shared" si="31"/>
        <v>0</v>
      </c>
      <c r="BE42" s="776" t="b">
        <f t="shared" si="37"/>
        <v>0</v>
      </c>
      <c r="BF42" s="778" t="b">
        <f t="shared" si="39"/>
        <v>0</v>
      </c>
      <c r="BG42" s="779" t="str">
        <f t="shared" si="38"/>
        <v>NA</v>
      </c>
      <c r="BH42" s="779" t="str">
        <f t="shared" si="32"/>
        <v/>
      </c>
      <c r="BI42" s="779" t="str">
        <f t="shared" si="22"/>
        <v/>
      </c>
      <c r="BJ42" s="779" t="str">
        <f t="shared" si="23"/>
        <v/>
      </c>
      <c r="BK42" s="779" t="str">
        <f t="shared" si="24"/>
        <v/>
      </c>
      <c r="BL42" s="779" t="str">
        <f t="shared" si="33"/>
        <v/>
      </c>
      <c r="BM42" s="779" t="str">
        <f t="shared" si="25"/>
        <v/>
      </c>
      <c r="BN42" s="779" t="str">
        <f t="shared" si="26"/>
        <v/>
      </c>
      <c r="BO42" s="1142"/>
      <c r="BP42" s="1143"/>
      <c r="BQ42" s="1143"/>
      <c r="BR42" s="1143"/>
      <c r="BS42" s="1143"/>
      <c r="BT42" s="1143"/>
      <c r="BU42" s="1144"/>
    </row>
    <row r="43" spans="2:73 1271:1271" s="720" customFormat="1" ht="8.25" customHeight="1" x14ac:dyDescent="0.25">
      <c r="B43" s="1151" t="s">
        <v>374</v>
      </c>
      <c r="C43" s="1152"/>
      <c r="D43" s="1153"/>
      <c r="E43" s="812" t="s">
        <v>375</v>
      </c>
      <c r="F43" s="1154" t="s">
        <v>376</v>
      </c>
      <c r="G43" s="1155"/>
      <c r="H43" s="1155" t="s">
        <v>377</v>
      </c>
      <c r="I43" s="1155"/>
      <c r="J43" s="1156" t="s">
        <v>378</v>
      </c>
      <c r="K43" s="1157"/>
      <c r="L43" s="813" t="s">
        <v>379</v>
      </c>
      <c r="M43" s="1158" t="s">
        <v>380</v>
      </c>
      <c r="N43" s="1158"/>
      <c r="O43" s="1159" t="str">
        <f>IF(U47,"DO REVIEW","DO REV N/A")</f>
        <v>DO REV N/A</v>
      </c>
      <c r="P43" s="1160"/>
      <c r="Q43" s="814" t="str">
        <f>IF(U48,"ED REVIEW","ED REV N/A")</f>
        <v>ED REVIEW</v>
      </c>
      <c r="R43" s="815"/>
      <c r="S43" s="816">
        <v>0</v>
      </c>
      <c r="AI43" s="817"/>
      <c r="AJ43" s="721"/>
      <c r="AK43" s="721"/>
      <c r="AL43" s="721"/>
      <c r="AM43" s="721"/>
      <c r="AN43" s="721"/>
      <c r="AO43" s="718"/>
      <c r="AP43" s="721"/>
      <c r="AQ43" s="818"/>
      <c r="AR43" s="721"/>
      <c r="AS43" s="818"/>
      <c r="AT43" s="721"/>
      <c r="AU43" s="818"/>
      <c r="AV43" s="819"/>
      <c r="AW43" s="721"/>
      <c r="AX43" s="721"/>
      <c r="AY43" s="721"/>
      <c r="AZ43" s="721"/>
      <c r="BA43" s="721"/>
      <c r="BB43" s="721"/>
      <c r="BC43" s="721"/>
      <c r="BD43" s="721"/>
      <c r="BE43" s="721"/>
      <c r="BF43" s="721"/>
      <c r="BG43" s="721"/>
      <c r="BH43" s="718"/>
      <c r="BI43" s="718"/>
      <c r="BJ43" s="718"/>
      <c r="BK43" s="718"/>
      <c r="BL43" s="718"/>
      <c r="BM43" s="718"/>
      <c r="BN43" s="718"/>
      <c r="BO43" s="1145"/>
      <c r="BP43" s="1146"/>
      <c r="BQ43" s="1146"/>
      <c r="BR43" s="1146"/>
      <c r="BS43" s="1146"/>
      <c r="BT43" s="1146"/>
      <c r="BU43" s="1147"/>
    </row>
    <row r="44" spans="2:73 1271:1271" ht="18.75" customHeight="1" thickBot="1" x14ac:dyDescent="0.3">
      <c r="B44" s="1161" t="str">
        <f>IF(ISERROR(AR49),"",TEXT(AR48,"0.0%"))</f>
        <v>0.0%</v>
      </c>
      <c r="C44" s="1162"/>
      <c r="D44" s="1163"/>
      <c r="E44" s="820" t="str">
        <f>IF(AU44=0,"N/A",CONCATENATE(TEXT(AV48,"0.0%")," of ",TEXT(AV47,"0.0%")))</f>
        <v>N/A</v>
      </c>
      <c r="F44" s="1165" t="str">
        <f>IF((graded_aca_events+graded_amn_events)&lt;1,"---",IF(AND(AW7,AX7),"INCOMPLETE",IF(AND(NOT(AW7),AX7),"ACA INC",IF(AND(AW7,NOT(AX7)),"AMN INC","COMPLETE"))))</f>
        <v>---</v>
      </c>
      <c r="G44" s="1165"/>
      <c r="H44" s="1165" t="str">
        <f>IF(AU7,IF(OR(AY7="UNK",NOT(AN9)),"---",IF(AY7,"UNSAT",IF(AVERAGEIFS(AT11:AT42,AS11:AS42,"&gt;0")&lt;0.9,"MARG","SAT"))),"N/A")</f>
        <v>N/A</v>
      </c>
      <c r="I44" s="1165"/>
      <c r="J44" s="1166" t="str">
        <f>IF(OR(AZ7="UNK",NOT(AM9)),"---",IF(OR(AZ7,AR48&lt;0.7),"FAIL","PASS"))</f>
        <v>---</v>
      </c>
      <c r="K44" s="1167"/>
      <c r="L44" s="821"/>
      <c r="M44" s="1168"/>
      <c r="N44" s="1168"/>
      <c r="O44" s="1306" t="s">
        <v>265</v>
      </c>
      <c r="P44" s="1306"/>
      <c r="Q44" s="1306" t="s">
        <v>265</v>
      </c>
      <c r="R44" s="1307"/>
      <c r="S44" s="802"/>
      <c r="T44" s="727" t="s">
        <v>381</v>
      </c>
      <c r="U44" s="777" t="s">
        <v>382</v>
      </c>
      <c r="V44" s="822"/>
      <c r="W44" s="822"/>
      <c r="X44" s="822"/>
      <c r="Y44" s="822"/>
      <c r="Z44" s="822"/>
      <c r="AA44" s="822"/>
      <c r="AB44" s="822"/>
      <c r="AC44" s="822"/>
      <c r="AD44" s="822"/>
      <c r="AE44" s="822"/>
      <c r="AF44" s="822"/>
      <c r="AG44" s="822"/>
      <c r="AH44" s="822"/>
      <c r="AI44" s="713"/>
      <c r="AJ44" s="712"/>
      <c r="AK44" s="822"/>
      <c r="AL44" s="822"/>
      <c r="AM44" s="822">
        <f>SUM(AM11:AM42)</f>
        <v>0</v>
      </c>
      <c r="AN44" s="822">
        <f>SUM(AN11:AN42)</f>
        <v>0</v>
      </c>
      <c r="AO44" s="727"/>
      <c r="AP44" s="712"/>
      <c r="AQ44" s="823">
        <f>SUMIF(AQ11:AQ42,"&gt;0")</f>
        <v>33.333206959999998</v>
      </c>
      <c r="AR44" s="824">
        <f>IF(AQ44=0,0,SUMPRODUCT($AQ$11:$AQ$42,AR11:AR42)/SUM($AQ$11:$AQ$42))</f>
        <v>0</v>
      </c>
      <c r="AS44" s="825">
        <f>SUMIF(AS11:AS42,"&gt;0")</f>
        <v>0</v>
      </c>
      <c r="AT44" s="824">
        <f>IF(AS44=0,0,SUMPRODUCT($AS$11:$AS$42,AT11:AT42)/SUM($AS$11:$AS$42))</f>
        <v>0</v>
      </c>
      <c r="AU44" s="825">
        <f>SUM(AU12:AU42)</f>
        <v>0</v>
      </c>
      <c r="AV44" s="824">
        <f>IF(AU44=0,0,SUMPRODUCT($AU$11:$AU$42,AV11:AV42)/SUM($AU$11:$AU$42))</f>
        <v>0</v>
      </c>
      <c r="AW44" s="826"/>
      <c r="AX44" s="826"/>
      <c r="AY44" s="826"/>
      <c r="AZ44" s="826"/>
      <c r="BA44" s="826"/>
      <c r="BB44" s="826"/>
      <c r="BC44" s="716" t="s">
        <v>383</v>
      </c>
      <c r="BD44" s="716" t="s">
        <v>384</v>
      </c>
      <c r="BE44" s="716" t="s">
        <v>385</v>
      </c>
      <c r="BF44" s="716"/>
      <c r="BG44" s="718"/>
      <c r="BO44" s="1145"/>
      <c r="BP44" s="1146"/>
      <c r="BQ44" s="1146"/>
      <c r="BR44" s="1146"/>
      <c r="BS44" s="1146"/>
      <c r="BT44" s="1146"/>
      <c r="BU44" s="1147"/>
      <c r="AVW44" s="827"/>
    </row>
    <row r="45" spans="2:73 1271:1271" ht="7.5" customHeight="1" thickTop="1" x14ac:dyDescent="0.25">
      <c r="L45" s="1164" t="s">
        <v>889</v>
      </c>
      <c r="M45" s="1164"/>
      <c r="N45" s="1164"/>
      <c r="O45" s="1164"/>
      <c r="P45" s="1164"/>
      <c r="Q45" s="1164"/>
      <c r="R45" s="1164"/>
      <c r="AP45" s="822"/>
      <c r="AQ45" s="712"/>
      <c r="AR45" s="712"/>
      <c r="AT45" s="824"/>
      <c r="AU45" s="824"/>
      <c r="AV45" s="824"/>
      <c r="AW45" s="712"/>
      <c r="AX45" s="824"/>
      <c r="BE45" s="716"/>
      <c r="BF45" s="716"/>
      <c r="BO45" s="1148"/>
      <c r="BP45" s="1149"/>
      <c r="BQ45" s="1149"/>
      <c r="BR45" s="1149"/>
      <c r="BS45" s="1149"/>
      <c r="BT45" s="1149"/>
      <c r="BU45" s="1150"/>
    </row>
    <row r="46" spans="2:73 1271:1271" ht="30.75" customHeight="1" x14ac:dyDescent="0.25">
      <c r="T46" s="828" t="s">
        <v>386</v>
      </c>
      <c r="U46" s="777" t="b">
        <v>0</v>
      </c>
      <c r="AI46" s="717">
        <f ca="1">SUMIF(AJ11:$AJ$42,"=" &amp; AJ11,AI12:$AI$42)</f>
        <v>0.50000052560199271</v>
      </c>
      <c r="AK46" s="718"/>
      <c r="AL46" s="718"/>
      <c r="AM46" s="718"/>
      <c r="AN46" s="718"/>
      <c r="AO46" s="829"/>
      <c r="AQ46" s="718"/>
      <c r="AR46" s="718"/>
      <c r="AS46" s="748" t="s">
        <v>387</v>
      </c>
      <c r="AT46" s="830">
        <f>SUMIF(X11:X42,"&gt;0")/SUMIF(W11:W42,"&gt;0")</f>
        <v>0</v>
      </c>
      <c r="AU46" s="748" t="s">
        <v>388</v>
      </c>
      <c r="AV46" s="831">
        <f>SUMIF(AU11:AU42,"&gt;0")/SUMIF(AQ11:AQ42,"&gt;0")</f>
        <v>0</v>
      </c>
      <c r="AW46" s="832"/>
      <c r="AY46" s="718"/>
      <c r="AZ46" s="718"/>
      <c r="BE46" s="716" t="b">
        <f>AND(ISBLANK($K33),J33&gt;0)</f>
        <v>0</v>
      </c>
      <c r="BF46" s="716"/>
      <c r="BH46" s="716"/>
      <c r="BO46" s="718"/>
      <c r="BP46" s="718"/>
      <c r="BQ46" s="719"/>
    </row>
    <row r="47" spans="2:73 1271:1271" ht="30.75" customHeight="1" x14ac:dyDescent="0.25">
      <c r="J47" s="833"/>
      <c r="T47" s="834" t="s">
        <v>389</v>
      </c>
      <c r="U47" s="716" t="b">
        <f>IF(AND(Flight?,OR(AW7,AY7,BA7,AZ7,AR48&lt;0.7,H44="MARG")),TRUE,FALSE)</f>
        <v>0</v>
      </c>
      <c r="AK47" s="718"/>
      <c r="AL47" s="718"/>
      <c r="AM47" s="718"/>
      <c r="AN47" s="718"/>
      <c r="AO47" s="835"/>
      <c r="AP47" s="718"/>
      <c r="AQ47" s="748" t="s">
        <v>390</v>
      </c>
      <c r="AR47" s="836">
        <f>1-AT47</f>
        <v>1</v>
      </c>
      <c r="AS47" s="748" t="s">
        <v>391</v>
      </c>
      <c r="AT47" s="830">
        <f>MIN(AT46,AT9)</f>
        <v>0</v>
      </c>
      <c r="AU47" s="748" t="s">
        <v>392</v>
      </c>
      <c r="AV47" s="837">
        <f>MIN(AV46,AV9)</f>
        <v>0</v>
      </c>
      <c r="AZ47" s="718"/>
      <c r="BE47" s="716"/>
      <c r="BF47" s="716"/>
      <c r="BH47" s="716"/>
      <c r="BO47" s="718"/>
      <c r="BP47" s="718"/>
      <c r="BQ47" s="719"/>
    </row>
    <row r="48" spans="2:73 1271:1271" ht="26.25" x14ac:dyDescent="0.25">
      <c r="T48" s="834" t="s">
        <v>393</v>
      </c>
      <c r="U48" s="716" t="b">
        <f>IF(OR(AX7,AY7,AZ7,BB7,AR48&lt;0.7),TRUE,FALSE)</f>
        <v>1</v>
      </c>
      <c r="Y48" s="842"/>
      <c r="AK48" s="718"/>
      <c r="AL48" s="718"/>
      <c r="AM48" s="718"/>
      <c r="AN48" s="718"/>
      <c r="AO48" s="838"/>
      <c r="AP48" s="718"/>
      <c r="AQ48" s="748" t="s">
        <v>394</v>
      </c>
      <c r="AR48" s="717">
        <f>AR44*(1-AT47)+(AT44*AT47)</f>
        <v>0</v>
      </c>
      <c r="AU48" s="718" t="s">
        <v>324</v>
      </c>
      <c r="AV48" s="837">
        <f>AV44*AV47</f>
        <v>0</v>
      </c>
      <c r="AY48" s="718"/>
      <c r="AZ48" s="718"/>
      <c r="BE48" s="716"/>
      <c r="BF48" s="716"/>
      <c r="BH48" s="716"/>
      <c r="BO48" s="718"/>
      <c r="BP48" s="718"/>
      <c r="BQ48" s="719"/>
    </row>
    <row r="49" spans="20:69" ht="26.25" x14ac:dyDescent="0.25">
      <c r="T49" s="834" t="s">
        <v>395</v>
      </c>
      <c r="U49" s="716" t="b">
        <v>0</v>
      </c>
      <c r="AK49" s="718"/>
      <c r="AL49" s="718"/>
      <c r="AM49" s="718"/>
      <c r="AN49" s="718"/>
      <c r="AO49" s="838"/>
      <c r="AP49" s="718"/>
      <c r="AQ49" s="748" t="s">
        <v>396</v>
      </c>
      <c r="AR49" s="837">
        <f>MIN(1,IF(NOT(OR(AY7,AZ7)),AR48+AV48,MIN(0.69,AR48+AV48)))</f>
        <v>0</v>
      </c>
      <c r="AY49" s="718"/>
      <c r="BE49" s="716"/>
      <c r="BF49" s="716"/>
      <c r="BI49" s="716"/>
      <c r="BO49" s="718"/>
      <c r="BP49" s="718"/>
      <c r="BQ49" s="719"/>
    </row>
    <row r="50" spans="20:69" x14ac:dyDescent="0.25">
      <c r="T50" s="834" t="s">
        <v>397</v>
      </c>
      <c r="U50" s="716" t="b">
        <f>IF(NOT(Flight?),TRUE,NOT(OR(ISBLANK(comments),ISBLANK(hdr_class),ISBLANK(hdr_date),ISBLANK(hdr_stud),ISBLANK(hdr_instr),ISBLANK(hdr_acft),ISBLANK(hdr_time),F44="---")))</f>
        <v>1</v>
      </c>
      <c r="AK50" s="718"/>
      <c r="AL50" s="718"/>
      <c r="AM50" s="718"/>
      <c r="AN50" s="718"/>
      <c r="AO50" s="838"/>
      <c r="AP50" s="718"/>
      <c r="AQ50" s="718"/>
      <c r="AR50" s="839"/>
      <c r="AS50" s="837"/>
      <c r="AU50" s="718"/>
      <c r="AV50" s="718"/>
      <c r="AW50" s="718"/>
    </row>
    <row r="51" spans="20:69" x14ac:dyDescent="0.25">
      <c r="T51" s="834" t="s">
        <v>398</v>
      </c>
      <c r="U51" s="716" t="b">
        <f>IF(Flight?,TRUE,NOT(OR(ISBLANK(comments),ISBLANK(hdr_class),ISBLANK(hdr_date),ISBLANK(hdr_stud),ISBLANK(hdr_instr),F44="---")))</f>
        <v>0</v>
      </c>
      <c r="AK51" s="718"/>
      <c r="AL51" s="718"/>
      <c r="AM51" s="718"/>
      <c r="AN51" s="718"/>
      <c r="AO51" s="835"/>
      <c r="AP51" s="712" t="s">
        <v>399</v>
      </c>
      <c r="AQ51" s="712"/>
      <c r="AR51" s="712"/>
      <c r="AS51" s="712"/>
      <c r="AT51" s="712"/>
      <c r="AU51" s="718"/>
      <c r="AV51" s="718"/>
      <c r="AW51" s="718"/>
    </row>
    <row r="52" spans="20:69" x14ac:dyDescent="0.25">
      <c r="T52" s="834" t="s">
        <v>400</v>
      </c>
      <c r="U52" s="716" t="b">
        <f>AND(U50:U51)</f>
        <v>0</v>
      </c>
      <c r="AK52" s="718"/>
      <c r="AL52" s="718"/>
      <c r="AM52" s="718"/>
      <c r="AN52" s="718"/>
      <c r="AO52" s="835"/>
      <c r="AP52" s="712"/>
      <c r="AQ52" s="712"/>
      <c r="AR52" s="712">
        <v>0</v>
      </c>
      <c r="AS52" s="712">
        <v>1</v>
      </c>
      <c r="AT52" s="712">
        <v>2</v>
      </c>
      <c r="AU52" s="712">
        <v>3</v>
      </c>
      <c r="AV52" s="712">
        <v>4</v>
      </c>
      <c r="AW52" s="718"/>
    </row>
    <row r="53" spans="20:69" x14ac:dyDescent="0.25">
      <c r="AK53" s="718"/>
      <c r="AL53" s="718"/>
      <c r="AM53" s="718"/>
      <c r="AN53" s="718"/>
      <c r="AO53" s="835"/>
      <c r="AP53" s="712" t="s">
        <v>359</v>
      </c>
      <c r="AQ53" s="712">
        <v>1</v>
      </c>
      <c r="AR53" s="840">
        <v>0.7</v>
      </c>
      <c r="AS53" s="840">
        <v>0.9</v>
      </c>
      <c r="AT53" s="840">
        <v>0.93330000000000002</v>
      </c>
      <c r="AU53" s="840">
        <v>0.9667</v>
      </c>
      <c r="AV53" s="840">
        <v>1</v>
      </c>
      <c r="AW53" s="718"/>
    </row>
    <row r="54" spans="20:69" x14ac:dyDescent="0.25">
      <c r="AK54" s="718"/>
      <c r="AL54" s="718"/>
      <c r="AM54" s="718"/>
      <c r="AN54" s="718"/>
      <c r="AO54" s="835"/>
      <c r="AP54" s="712" t="s">
        <v>360</v>
      </c>
      <c r="AQ54" s="712">
        <v>2</v>
      </c>
      <c r="AR54" s="840">
        <v>0.7</v>
      </c>
      <c r="AS54" s="840">
        <v>0.8</v>
      </c>
      <c r="AT54" s="840">
        <v>0.9</v>
      </c>
      <c r="AU54" s="840">
        <v>0.95</v>
      </c>
      <c r="AV54" s="840">
        <v>1</v>
      </c>
      <c r="AW54" s="718"/>
    </row>
    <row r="55" spans="20:69" x14ac:dyDescent="0.25">
      <c r="AK55" s="718"/>
      <c r="AL55" s="718"/>
      <c r="AM55" s="718"/>
      <c r="AN55" s="718"/>
      <c r="AO55" s="835"/>
      <c r="AP55" s="712" t="s">
        <v>361</v>
      </c>
      <c r="AQ55" s="712">
        <v>3</v>
      </c>
      <c r="AR55" s="840">
        <v>0.7</v>
      </c>
      <c r="AS55" s="840">
        <v>0.76670000000000005</v>
      </c>
      <c r="AT55" s="840">
        <v>0.83330000000000004</v>
      </c>
      <c r="AU55" s="840">
        <v>0.9</v>
      </c>
      <c r="AV55" s="840">
        <v>1</v>
      </c>
      <c r="AW55" s="718"/>
    </row>
    <row r="56" spans="20:69" x14ac:dyDescent="0.25">
      <c r="AP56" s="841" t="s">
        <v>362</v>
      </c>
      <c r="AQ56" s="712">
        <v>11</v>
      </c>
      <c r="AR56" s="840">
        <v>0.6</v>
      </c>
      <c r="AS56" s="840">
        <v>0.9</v>
      </c>
      <c r="AT56" s="840">
        <v>0.93330000000000002</v>
      </c>
      <c r="AU56" s="840">
        <v>0.9667</v>
      </c>
      <c r="AV56" s="840">
        <v>1</v>
      </c>
      <c r="AW56" s="718"/>
    </row>
    <row r="57" spans="20:69" x14ac:dyDescent="0.25">
      <c r="AP57" s="841" t="s">
        <v>363</v>
      </c>
      <c r="AQ57" s="712">
        <v>12</v>
      </c>
      <c r="AR57" s="840">
        <v>0.6</v>
      </c>
      <c r="AS57" s="840">
        <v>0.7</v>
      </c>
      <c r="AT57" s="840">
        <v>0.9</v>
      </c>
      <c r="AU57" s="840">
        <v>0.95</v>
      </c>
      <c r="AV57" s="840">
        <v>1</v>
      </c>
      <c r="AW57" s="718"/>
    </row>
    <row r="58" spans="20:69" x14ac:dyDescent="0.25">
      <c r="AP58" s="841" t="s">
        <v>364</v>
      </c>
      <c r="AQ58" s="712">
        <v>13</v>
      </c>
      <c r="AR58" s="840">
        <v>0.6</v>
      </c>
      <c r="AS58" s="840">
        <v>0.7</v>
      </c>
      <c r="AT58" s="840">
        <v>0.8</v>
      </c>
      <c r="AU58" s="840">
        <v>0.9</v>
      </c>
      <c r="AV58" s="840">
        <v>1</v>
      </c>
      <c r="AW58" s="718"/>
    </row>
    <row r="59" spans="20:69" x14ac:dyDescent="0.25">
      <c r="AP59" s="841" t="s">
        <v>365</v>
      </c>
      <c r="AQ59" s="712">
        <v>22</v>
      </c>
      <c r="AR59" s="840">
        <v>0.3</v>
      </c>
      <c r="AS59" s="840">
        <v>0.6</v>
      </c>
      <c r="AT59" s="840">
        <v>0.9</v>
      </c>
      <c r="AU59" s="840">
        <v>0.95</v>
      </c>
      <c r="AV59" s="840">
        <v>1</v>
      </c>
      <c r="AW59" s="718"/>
    </row>
    <row r="60" spans="20:69" x14ac:dyDescent="0.25">
      <c r="AP60" s="841" t="s">
        <v>366</v>
      </c>
      <c r="AQ60" s="712">
        <v>23</v>
      </c>
      <c r="AR60" s="840">
        <v>0.3</v>
      </c>
      <c r="AS60" s="840">
        <v>0.6</v>
      </c>
      <c r="AT60" s="840">
        <v>0.7</v>
      </c>
      <c r="AU60" s="840">
        <v>0.9</v>
      </c>
      <c r="AV60" s="840">
        <v>1</v>
      </c>
      <c r="AW60" s="718"/>
    </row>
    <row r="61" spans="20:69" x14ac:dyDescent="0.25">
      <c r="AP61" s="841" t="s">
        <v>367</v>
      </c>
      <c r="AQ61" s="712">
        <v>33</v>
      </c>
      <c r="AR61" s="840">
        <v>0</v>
      </c>
      <c r="AS61" s="840">
        <v>0.3</v>
      </c>
      <c r="AT61" s="840">
        <v>0.6</v>
      </c>
      <c r="AU61" s="840">
        <v>0.9</v>
      </c>
      <c r="AV61" s="840">
        <v>1</v>
      </c>
      <c r="AW61" s="85"/>
      <c r="AX61" s="88"/>
      <c r="BC61" s="88"/>
      <c r="BD61" s="88"/>
    </row>
    <row r="62" spans="20:69" x14ac:dyDescent="0.25">
      <c r="AP62" s="718"/>
      <c r="AQ62" s="718"/>
      <c r="AR62" s="718"/>
      <c r="AS62" s="718"/>
      <c r="AT62" s="718"/>
      <c r="AU62" s="718"/>
      <c r="AV62" s="718"/>
      <c r="AW62" s="88"/>
      <c r="AX62" s="88"/>
      <c r="BC62" s="88"/>
      <c r="BD62" s="88"/>
    </row>
    <row r="63" spans="20:69" x14ac:dyDescent="0.25">
      <c r="AP63" s="88"/>
      <c r="AQ63" s="85"/>
      <c r="AR63" s="88"/>
      <c r="AS63" s="88"/>
      <c r="AT63" s="88"/>
      <c r="AU63" s="88"/>
      <c r="AV63" s="88"/>
      <c r="AW63" s="85"/>
      <c r="AX63" s="85"/>
      <c r="BC63" s="88"/>
      <c r="BD63" s="88"/>
    </row>
    <row r="64" spans="20:69" x14ac:dyDescent="0.25">
      <c r="AP64" s="200"/>
      <c r="AQ64" s="85"/>
      <c r="AR64" s="88"/>
      <c r="AS64" s="88"/>
      <c r="AT64" s="88"/>
      <c r="AU64" s="88"/>
      <c r="AV64" s="88"/>
      <c r="AW64" s="85"/>
      <c r="AX64" s="85"/>
      <c r="BC64" s="88"/>
      <c r="BD64" s="88"/>
    </row>
    <row r="65" spans="42:56" x14ac:dyDescent="0.25">
      <c r="AP65" s="85"/>
      <c r="AQ65" s="85"/>
      <c r="AR65" s="88"/>
      <c r="AS65" s="88"/>
      <c r="AT65" s="88"/>
      <c r="AU65" s="88"/>
      <c r="AV65" s="88"/>
      <c r="AW65" s="85"/>
      <c r="AX65" s="85"/>
      <c r="BC65" s="88"/>
      <c r="BD65" s="88"/>
    </row>
    <row r="66" spans="42:56" x14ac:dyDescent="0.25">
      <c r="AP66" s="85"/>
      <c r="AQ66" s="85"/>
      <c r="AR66" s="88"/>
      <c r="AS66" s="88"/>
      <c r="AT66" s="88"/>
      <c r="AU66" s="88"/>
      <c r="AV66" s="88"/>
      <c r="AW66" s="85"/>
      <c r="AX66" s="88"/>
      <c r="BC66" s="88"/>
      <c r="BD66" s="88"/>
    </row>
    <row r="67" spans="42:56" x14ac:dyDescent="0.25">
      <c r="AP67" s="85"/>
      <c r="AQ67" s="85"/>
      <c r="AR67" s="88"/>
      <c r="AS67" s="88"/>
      <c r="AT67" s="88"/>
      <c r="AU67" s="88"/>
      <c r="AV67" s="88"/>
      <c r="AW67" s="85"/>
      <c r="AX67" s="88"/>
      <c r="BC67" s="88"/>
      <c r="BD67" s="88"/>
    </row>
    <row r="68" spans="42:56" x14ac:dyDescent="0.25">
      <c r="AP68" s="85"/>
      <c r="AQ68" s="85"/>
      <c r="AR68" s="88"/>
      <c r="AS68" s="88"/>
      <c r="AT68" s="88"/>
      <c r="AU68" s="88"/>
      <c r="AV68" s="88"/>
    </row>
    <row r="69" spans="42:56" x14ac:dyDescent="0.25">
      <c r="AP69" s="85"/>
      <c r="AQ69" s="85"/>
      <c r="AR69" s="88"/>
      <c r="AS69" s="88"/>
      <c r="AT69" s="88"/>
      <c r="AU69" s="88"/>
      <c r="AV69" s="88"/>
    </row>
  </sheetData>
  <sheetProtection algorithmName="SHA-512" hashValue="9L2mXlznWsETM0LBQa0h04tYIFfoNc37ixuq51+5lJeNxLmRaAku+UmHoVC1stCb0I5OzHI/fvj4pu0uzZACsw==" saltValue="x13/ECKuUgZqqAUrT4kN0w==" spinCount="100000" sheet="1"/>
  <mergeCells count="76">
    <mergeCell ref="C42:F42"/>
    <mergeCell ref="BO42:BU45"/>
    <mergeCell ref="B43:D43"/>
    <mergeCell ref="F43:G43"/>
    <mergeCell ref="H43:I43"/>
    <mergeCell ref="J43:K43"/>
    <mergeCell ref="M43:N43"/>
    <mergeCell ref="O43:P43"/>
    <mergeCell ref="B44:D44"/>
    <mergeCell ref="L45:R45"/>
    <mergeCell ref="F44:G44"/>
    <mergeCell ref="H44:I44"/>
    <mergeCell ref="J44:K44"/>
    <mergeCell ref="M44:N44"/>
    <mergeCell ref="O44:P44"/>
    <mergeCell ref="Q44:R44"/>
    <mergeCell ref="BO37:BU40"/>
    <mergeCell ref="C38:F38"/>
    <mergeCell ref="C39:F39"/>
    <mergeCell ref="C40:F40"/>
    <mergeCell ref="C41:F41"/>
    <mergeCell ref="BQ22:BU22"/>
    <mergeCell ref="C23:F23"/>
    <mergeCell ref="C24:F24"/>
    <mergeCell ref="BO24:BO32"/>
    <mergeCell ref="C25:F25"/>
    <mergeCell ref="C26:F26"/>
    <mergeCell ref="C27:F27"/>
    <mergeCell ref="C28:F28"/>
    <mergeCell ref="C29:F29"/>
    <mergeCell ref="C30:F30"/>
    <mergeCell ref="C31:F31"/>
    <mergeCell ref="C32:F32"/>
    <mergeCell ref="C35:F35"/>
    <mergeCell ref="C36:F36"/>
    <mergeCell ref="C37:F37"/>
    <mergeCell ref="C16:F16"/>
    <mergeCell ref="C17:F17"/>
    <mergeCell ref="C18:F18"/>
    <mergeCell ref="C19:F19"/>
    <mergeCell ref="C34:F34"/>
    <mergeCell ref="C21:F21"/>
    <mergeCell ref="C22:F22"/>
    <mergeCell ref="C33:F33"/>
    <mergeCell ref="Q8:R8"/>
    <mergeCell ref="B9:E9"/>
    <mergeCell ref="F9:G9"/>
    <mergeCell ref="H9:L9"/>
    <mergeCell ref="C20:F20"/>
    <mergeCell ref="M9:N9"/>
    <mergeCell ref="O9:P9"/>
    <mergeCell ref="Q9:R9"/>
    <mergeCell ref="B10:F10"/>
    <mergeCell ref="L10:R10"/>
    <mergeCell ref="C11:F11"/>
    <mergeCell ref="L11:R42"/>
    <mergeCell ref="C12:F12"/>
    <mergeCell ref="C13:F13"/>
    <mergeCell ref="C14:F14"/>
    <mergeCell ref="C15:F15"/>
    <mergeCell ref="B6:G6"/>
    <mergeCell ref="H6:N6"/>
    <mergeCell ref="O6:P6"/>
    <mergeCell ref="Q6:R6"/>
    <mergeCell ref="BP6:BU7"/>
    <mergeCell ref="B7:G7"/>
    <mergeCell ref="H7:N7"/>
    <mergeCell ref="O7:P7"/>
    <mergeCell ref="Q7:R7"/>
    <mergeCell ref="BH7:BK9"/>
    <mergeCell ref="BL7:BN9"/>
    <mergeCell ref="B8:E8"/>
    <mergeCell ref="F8:G8"/>
    <mergeCell ref="H8:L8"/>
    <mergeCell ref="M8:N8"/>
    <mergeCell ref="O8:P8"/>
  </mergeCells>
  <conditionalFormatting sqref="B11:F42">
    <cfRule type="expression" dxfId="73" priority="9" stopIfTrue="1">
      <formula>IF($Z11=1,TRUE,FALSE)</formula>
    </cfRule>
    <cfRule type="expression" dxfId="72" priority="10">
      <formula>IF($Z11=2,TRUE,FALSE)</formula>
    </cfRule>
  </conditionalFormatting>
  <conditionalFormatting sqref="C11:F42">
    <cfRule type="expression" dxfId="71" priority="2" stopIfTrue="1">
      <formula>IF($AF11=FALSE,TRUE,FALSE)</formula>
    </cfRule>
  </conditionalFormatting>
  <conditionalFormatting sqref="F8:G9 M8:P9">
    <cfRule type="expression" dxfId="70" priority="5" stopIfTrue="1">
      <formula>NOT($AU$7)</formula>
    </cfRule>
  </conditionalFormatting>
  <conditionalFormatting sqref="F9:G9">
    <cfRule type="cellIs" dxfId="69" priority="4" operator="equal">
      <formula>""</formula>
    </cfRule>
  </conditionalFormatting>
  <conditionalFormatting sqref="G11:K42">
    <cfRule type="expression" dxfId="68" priority="7" stopIfTrue="1">
      <formula>IF($Z11=1,TRUE,FALSE)</formula>
    </cfRule>
    <cfRule type="expression" dxfId="67" priority="8" stopIfTrue="1">
      <formula>IF($Z11=2,TRUE,FALSE)</formula>
    </cfRule>
  </conditionalFormatting>
  <conditionalFormatting sqref="H11:H42">
    <cfRule type="expression" dxfId="66" priority="11" stopIfTrue="1">
      <formula>IF($AB11=0,TRUE,FALSE)</formula>
    </cfRule>
  </conditionalFormatting>
  <conditionalFormatting sqref="H43:I44">
    <cfRule type="expression" dxfId="65" priority="3" stopIfTrue="1">
      <formula>IF($H$44="N/A",TRUE,FALSE)</formula>
    </cfRule>
  </conditionalFormatting>
  <conditionalFormatting sqref="H9:P9 O7:R7 B9 L11">
    <cfRule type="containsBlanks" dxfId="64" priority="6">
      <formula>LEN(TRIM(B7))=0</formula>
    </cfRule>
  </conditionalFormatting>
  <conditionalFormatting sqref="J11:J42">
    <cfRule type="expression" dxfId="63" priority="15">
      <formula>IF($Z11=1,FALSE,OR($BE11,$BD11))</formula>
    </cfRule>
  </conditionalFormatting>
  <conditionalFormatting sqref="J11:K42 C11:F42">
    <cfRule type="expression" dxfId="62" priority="14">
      <formula>IF($Z11=1,FALSE,OR($AW11,$AX11,$AY11,$AZ11))</formula>
    </cfRule>
  </conditionalFormatting>
  <conditionalFormatting sqref="J11:K42">
    <cfRule type="expression" dxfId="61" priority="12" stopIfTrue="1">
      <formula>IF(ISNA($Z11),TRUE,FALSE)</formula>
    </cfRule>
  </conditionalFormatting>
  <conditionalFormatting sqref="K11:K42">
    <cfRule type="expression" dxfId="60" priority="13">
      <formula>IF(OR($Z11=1,$Z11=2),FALSE,OR($BC11,$BE11,$BF11))</formula>
    </cfRule>
  </conditionalFormatting>
  <conditionalFormatting sqref="L44">
    <cfRule type="expression" dxfId="59" priority="1">
      <formula>NOT($U$52)</formula>
    </cfRule>
  </conditionalFormatting>
  <dataValidations count="6">
    <dataValidation type="list" allowBlank="1" showInputMessage="1" showErrorMessage="1" sqref="F9:G9" xr:uid="{AF5E7040-0EBC-427A-9026-86287CBCE66D}">
      <formula1>"No,Yes"</formula1>
    </dataValidation>
    <dataValidation type="list" allowBlank="1" showInputMessage="1" showErrorMessage="1" sqref="J11:J42" xr:uid="{3AD427D7-BA92-44E5-ADE7-2ACA4DB7907D}">
      <formula1>"NA,0,1,2,3,4,5,6,7,8,9,10,11,12,13,14,15"</formula1>
    </dataValidation>
    <dataValidation type="list" allowBlank="1" showInputMessage="1" showErrorMessage="1" sqref="K11:K42" xr:uid="{353002AE-DF49-41B4-9741-AFC812CC676F}">
      <formula1>"D,0,1,2,3,4"</formula1>
    </dataValidation>
    <dataValidation showInputMessage="1" showErrorMessage="1" sqref="O44:R44" xr:uid="{D37ACCB6-FA5B-452B-AB4D-5616B2272A00}"/>
    <dataValidation type="decimal" allowBlank="1" showInputMessage="1" showErrorMessage="1" sqref="O9:P9" xr:uid="{682785D3-53B8-4C85-8B2A-4DD88DE32B73}">
      <formula1>0</formula1>
      <formula2>10</formula2>
    </dataValidation>
    <dataValidation type="date" allowBlank="1" showInputMessage="1" showErrorMessage="1" sqref="Q7:R7" xr:uid="{60BD5D8A-20A4-43C8-BA10-E5341EA46662}">
      <formula1>41151</formula1>
      <formula2>77433</formula2>
    </dataValidation>
  </dataValidations>
  <hyperlinks>
    <hyperlink ref="BP6" location="PF!A1" display="PF phase Summary Page" xr:uid="{A07AE291-2F1E-457B-89BF-9CE60F8025EC}"/>
    <hyperlink ref="BP6:BU7" location="TF!A1" display="TF Summary Page" xr:uid="{FFE9AC2B-F574-4FD7-8369-AD35997D0F4B}"/>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0274" r:id="rId3" name="IP_Signature">
              <controlPr defaultSize="0" print="0" autoFill="0" autoPict="0" macro="[0]!IP_signature">
                <anchor moveWithCells="1" sizeWithCells="1">
                  <from>
                    <xdr:col>11</xdr:col>
                    <xdr:colOff>0</xdr:colOff>
                    <xdr:row>43</xdr:row>
                    <xdr:rowOff>0</xdr:rowOff>
                  </from>
                  <to>
                    <xdr:col>12</xdr:col>
                    <xdr:colOff>0</xdr:colOff>
                    <xdr:row>44</xdr:row>
                    <xdr:rowOff>0</xdr:rowOff>
                  </to>
                </anchor>
              </controlPr>
            </control>
          </mc:Choice>
        </mc:AlternateContent>
        <mc:AlternateContent xmlns:mc="http://schemas.openxmlformats.org/markup-compatibility/2006">
          <mc:Choice Requires="x14">
            <control shapeId="310275" r:id="rId4" name="CCG_Click">
              <controlPr defaultSize="0" print="0" autoFill="0" autoPict="0" macro="[0]!CCG_Click">
                <anchor moveWithCells="1" sizeWithCells="1">
                  <from>
                    <xdr:col>4</xdr:col>
                    <xdr:colOff>0</xdr:colOff>
                    <xdr:row>42</xdr:row>
                    <xdr:rowOff>38100</xdr:rowOff>
                  </from>
                  <to>
                    <xdr:col>6</xdr:col>
                    <xdr:colOff>123825</xdr:colOff>
                    <xdr:row>43</xdr:row>
                    <xdr:rowOff>180975</xdr:rowOff>
                  </to>
                </anchor>
              </controlPr>
            </control>
          </mc:Choice>
        </mc:AlternateContent>
        <mc:AlternateContent xmlns:mc="http://schemas.openxmlformats.org/markup-compatibility/2006">
          <mc:Choice Requires="x14">
            <control shapeId="310276" r:id="rId5" name="MCG_Click">
              <controlPr defaultSize="0" print="0" autoFill="0" autoPict="0" macro="[0]!MCG_Click">
                <anchor moveWithCells="1" sizeWithCells="1">
                  <from>
                    <xdr:col>6</xdr:col>
                    <xdr:colOff>190500</xdr:colOff>
                    <xdr:row>42</xdr:row>
                    <xdr:rowOff>38100</xdr:rowOff>
                  </from>
                  <to>
                    <xdr:col>11</xdr:col>
                    <xdr:colOff>66675</xdr:colOff>
                    <xdr:row>43</xdr:row>
                    <xdr:rowOff>180975</xdr:rowOff>
                  </to>
                </anchor>
              </controlPr>
            </control>
          </mc:Choice>
        </mc:AlternateContent>
        <mc:AlternateContent xmlns:mc="http://schemas.openxmlformats.org/markup-compatibility/2006">
          <mc:Choice Requires="x14">
            <control shapeId="310277" r:id="rId6" name="DCG_Click">
              <controlPr defaultSize="0" print="0" autoFill="0" autoPict="0" macro="[0]!DCG_Click">
                <anchor moveWithCells="1" sizeWithCells="1">
                  <from>
                    <xdr:col>11</xdr:col>
                    <xdr:colOff>123825</xdr:colOff>
                    <xdr:row>42</xdr:row>
                    <xdr:rowOff>38100</xdr:rowOff>
                  </from>
                  <to>
                    <xdr:col>12</xdr:col>
                    <xdr:colOff>276225</xdr:colOff>
                    <xdr:row>43</xdr:row>
                    <xdr:rowOff>180975</xdr:rowOff>
                  </to>
                </anchor>
              </controlPr>
            </control>
          </mc:Choice>
        </mc:AlternateContent>
        <mc:AlternateContent xmlns:mc="http://schemas.openxmlformats.org/markup-compatibility/2006">
          <mc:Choice Requires="x14">
            <control shapeId="310278" r:id="rId7" name="PMC_Click">
              <controlPr defaultSize="0" print="0" autoFill="0" autoPict="0" macro="[0]!PMC_Click">
                <anchor moveWithCells="1" sizeWithCells="1">
                  <from>
                    <xdr:col>12</xdr:col>
                    <xdr:colOff>342900</xdr:colOff>
                    <xdr:row>42</xdr:row>
                    <xdr:rowOff>38100</xdr:rowOff>
                  </from>
                  <to>
                    <xdr:col>17</xdr:col>
                    <xdr:colOff>257175</xdr:colOff>
                    <xdr:row>43</xdr:row>
                    <xdr:rowOff>180975</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B3626-D9B4-4C02-8A73-FE342F391D60}">
  <sheetPr>
    <tabColor rgb="FFFFFF00"/>
    <pageSetUpPr autoPageBreaks="0"/>
  </sheetPr>
  <dimension ref="A1:AVW67"/>
  <sheetViews>
    <sheetView showGridLines="0" showRowColHeaders="0" topLeftCell="A5" zoomScaleNormal="100" workbookViewId="0">
      <selection activeCell="J23" activeCellId="11" sqref="O5:R5 H7:L7 B7:E7 L9:R40 L42 O42:R42 BO40:BU43 BO35:BU38 J10:K12 J14:K17 J19:K21 J23:K25"/>
    </sheetView>
  </sheetViews>
  <sheetFormatPr defaultColWidth="9.140625" defaultRowHeight="15" x14ac:dyDescent="0.25"/>
  <cols>
    <col min="1" max="1" width="1.5703125" style="714" customWidth="1"/>
    <col min="2" max="2" width="3.5703125" style="714" customWidth="1"/>
    <col min="3" max="3" width="5.5703125" style="715" customWidth="1"/>
    <col min="4" max="4" width="9.140625" style="715"/>
    <col min="5" max="5" width="14" style="715" customWidth="1"/>
    <col min="6" max="6" width="7.85546875" style="715" customWidth="1"/>
    <col min="7" max="11" width="5.140625" style="715" customWidth="1"/>
    <col min="12" max="12" width="21.5703125" style="715" customWidth="1"/>
    <col min="13" max="13" width="6.5703125" style="715" customWidth="1"/>
    <col min="14" max="14" width="12.5703125" style="715" customWidth="1"/>
    <col min="15" max="15" width="7.85546875" style="715" customWidth="1"/>
    <col min="16" max="16" width="2.7109375" style="715" customWidth="1"/>
    <col min="17" max="17" width="4.85546875" style="715" customWidth="1"/>
    <col min="18" max="18" width="7.28515625" style="715" customWidth="1"/>
    <col min="19" max="19" width="1.7109375" style="715" customWidth="1"/>
    <col min="20" max="20" width="19.140625" style="716" hidden="1" customWidth="1"/>
    <col min="21" max="21" width="31.140625" style="716" hidden="1" customWidth="1"/>
    <col min="22" max="22" width="5.140625" style="716" hidden="1" customWidth="1"/>
    <col min="23" max="24" width="6.28515625" style="716" hidden="1" customWidth="1"/>
    <col min="25" max="25" width="8.42578125" style="716" hidden="1" customWidth="1"/>
    <col min="26" max="26" width="7.85546875" style="716" hidden="1" customWidth="1"/>
    <col min="27" max="27" width="10.7109375" style="716" hidden="1" customWidth="1"/>
    <col min="28" max="28" width="8" style="716" hidden="1" customWidth="1"/>
    <col min="29" max="31" width="5.140625" style="716" hidden="1" customWidth="1"/>
    <col min="32" max="34" width="5.85546875" style="716" hidden="1" customWidth="1"/>
    <col min="35" max="35" width="8.5703125" style="717" hidden="1" customWidth="1"/>
    <col min="36" max="36" width="7" style="716" hidden="1" customWidth="1"/>
    <col min="37" max="38" width="5.28515625" style="716" hidden="1" customWidth="1"/>
    <col min="39" max="40" width="7" style="716" hidden="1" customWidth="1"/>
    <col min="41" max="41" width="5.140625" style="716" hidden="1" customWidth="1"/>
    <col min="42" max="42" width="11.28515625" style="716" hidden="1" customWidth="1"/>
    <col min="43" max="43" width="6.42578125" style="716" hidden="1" customWidth="1"/>
    <col min="44" max="44" width="8.28515625" style="716" hidden="1" customWidth="1"/>
    <col min="45" max="45" width="8.85546875" style="716" hidden="1" customWidth="1"/>
    <col min="46" max="46" width="10.7109375" style="716" hidden="1" customWidth="1"/>
    <col min="47" max="47" width="8.85546875" style="716" hidden="1" customWidth="1"/>
    <col min="48" max="48" width="6.28515625" style="716" hidden="1" customWidth="1"/>
    <col min="49" max="49" width="10" style="716" hidden="1" customWidth="1"/>
    <col min="50" max="50" width="7.5703125" style="716" hidden="1" customWidth="1"/>
    <col min="51" max="51" width="7" style="716" hidden="1" customWidth="1"/>
    <col min="52" max="52" width="8.140625" style="716" hidden="1" customWidth="1"/>
    <col min="53" max="53" width="12.5703125" style="716" hidden="1" customWidth="1"/>
    <col min="54" max="54" width="7.7109375" style="716" hidden="1" customWidth="1"/>
    <col min="55" max="55" width="12.7109375" style="716" hidden="1" customWidth="1"/>
    <col min="56" max="56" width="7" style="716" hidden="1" customWidth="1"/>
    <col min="57" max="57" width="15.5703125" style="718" hidden="1" customWidth="1"/>
    <col min="58" max="58" width="9.140625" style="718" hidden="1" customWidth="1"/>
    <col min="59" max="59" width="10" style="716" hidden="1" customWidth="1"/>
    <col min="60" max="60" width="5.28515625" style="718" hidden="1" customWidth="1"/>
    <col min="61" max="61" width="4" style="718" hidden="1" customWidth="1"/>
    <col min="62" max="62" width="4.7109375" style="718" hidden="1" customWidth="1"/>
    <col min="63" max="63" width="5.5703125" style="718" hidden="1" customWidth="1"/>
    <col min="64" max="64" width="5.28515625" style="718" hidden="1" customWidth="1"/>
    <col min="65" max="65" width="4" style="718" hidden="1" customWidth="1"/>
    <col min="66" max="66" width="5.5703125" style="718" hidden="1" customWidth="1"/>
    <col min="67" max="67" width="5.140625" style="719" customWidth="1"/>
    <col min="68" max="73" width="5.140625" style="715" customWidth="1"/>
    <col min="74" max="16384" width="9.140625" style="715"/>
  </cols>
  <sheetData>
    <row r="1" spans="2:73" s="711" customFormat="1" ht="12" hidden="1" x14ac:dyDescent="0.2">
      <c r="T1" s="712"/>
      <c r="U1" s="712"/>
      <c r="V1" s="712"/>
      <c r="W1" s="712"/>
      <c r="X1" s="712"/>
      <c r="Y1" s="712"/>
      <c r="Z1" s="712"/>
      <c r="AA1" s="712"/>
      <c r="AB1" s="712"/>
      <c r="AC1" s="712"/>
      <c r="AD1" s="712"/>
      <c r="AE1" s="712"/>
      <c r="AF1" s="712"/>
      <c r="AG1" s="712"/>
      <c r="AH1" s="712"/>
      <c r="AI1" s="713"/>
      <c r="AJ1" s="712"/>
      <c r="AK1" s="712"/>
      <c r="AL1" s="712"/>
      <c r="AM1" s="712"/>
      <c r="AN1" s="712"/>
      <c r="AO1" s="712"/>
      <c r="AP1" s="712"/>
      <c r="AQ1" s="712"/>
      <c r="AR1" s="712"/>
      <c r="AS1" s="712"/>
      <c r="AT1" s="712"/>
      <c r="AU1" s="712"/>
      <c r="AV1" s="712"/>
      <c r="AW1" s="712"/>
      <c r="AX1" s="712"/>
      <c r="AY1" s="712"/>
      <c r="AZ1" s="712"/>
      <c r="BA1" s="712"/>
      <c r="BB1" s="712"/>
      <c r="BC1" s="712"/>
      <c r="BD1" s="712"/>
      <c r="BE1" s="712"/>
      <c r="BF1" s="712"/>
      <c r="BG1" s="712"/>
      <c r="BH1" s="712"/>
      <c r="BI1" s="712"/>
      <c r="BJ1" s="712"/>
      <c r="BK1" s="712"/>
      <c r="BL1" s="712"/>
      <c r="BM1" s="712"/>
      <c r="BN1" s="712"/>
    </row>
    <row r="2" spans="2:73" s="711" customFormat="1" ht="12" hidden="1" x14ac:dyDescent="0.2">
      <c r="T2" s="712"/>
      <c r="U2" s="712"/>
      <c r="V2" s="712"/>
      <c r="W2" s="712"/>
      <c r="X2" s="712"/>
      <c r="Y2" s="712"/>
      <c r="Z2" s="712"/>
      <c r="AA2" s="712"/>
      <c r="AB2" s="712"/>
      <c r="AC2" s="712"/>
      <c r="AD2" s="712"/>
      <c r="AE2" s="712"/>
      <c r="AF2" s="712"/>
      <c r="AG2" s="712"/>
      <c r="AH2" s="712"/>
      <c r="AI2" s="713"/>
      <c r="AJ2" s="712"/>
      <c r="AK2" s="712"/>
      <c r="AL2" s="712"/>
      <c r="AM2" s="712"/>
      <c r="AN2" s="712"/>
      <c r="AO2" s="712"/>
      <c r="AP2" s="712"/>
      <c r="AQ2" s="712"/>
      <c r="AR2" s="712"/>
      <c r="AS2" s="712"/>
      <c r="AT2" s="712"/>
      <c r="AU2" s="712"/>
      <c r="AV2" s="712"/>
      <c r="AW2" s="712"/>
      <c r="AX2" s="712"/>
      <c r="AY2" s="712"/>
      <c r="AZ2" s="712"/>
      <c r="BA2" s="712"/>
      <c r="BB2" s="712"/>
      <c r="BC2" s="712"/>
      <c r="BD2" s="712"/>
      <c r="BE2" s="712"/>
      <c r="BF2" s="712"/>
      <c r="BG2" s="712"/>
      <c r="BH2" s="712"/>
      <c r="BI2" s="712"/>
      <c r="BJ2" s="712"/>
      <c r="BK2" s="712"/>
      <c r="BL2" s="712"/>
      <c r="BM2" s="712"/>
      <c r="BN2" s="712"/>
    </row>
    <row r="3" spans="2:73" ht="15.75" thickBot="1" x14ac:dyDescent="0.3">
      <c r="BE3" s="716"/>
      <c r="BF3" s="716"/>
      <c r="BG3" s="718"/>
    </row>
    <row r="4" spans="2:73" ht="13.5" customHeight="1" thickTop="1" x14ac:dyDescent="0.25">
      <c r="B4" s="1078" t="s">
        <v>267</v>
      </c>
      <c r="C4" s="1079"/>
      <c r="D4" s="1079"/>
      <c r="E4" s="1079"/>
      <c r="F4" s="1079"/>
      <c r="G4" s="1080"/>
      <c r="H4" s="1081" t="s">
        <v>626</v>
      </c>
      <c r="I4" s="1082"/>
      <c r="J4" s="1082"/>
      <c r="K4" s="1082"/>
      <c r="L4" s="1082"/>
      <c r="M4" s="1082"/>
      <c r="N4" s="1083"/>
      <c r="O4" s="1084" t="s">
        <v>269</v>
      </c>
      <c r="P4" s="1085"/>
      <c r="Q4" s="1084" t="s">
        <v>270</v>
      </c>
      <c r="R4" s="1086"/>
      <c r="S4" s="720"/>
      <c r="T4" s="721"/>
      <c r="U4" s="721"/>
      <c r="V4" s="721"/>
      <c r="W4" s="721"/>
      <c r="X4" s="721"/>
      <c r="Y4" s="721"/>
      <c r="Z4" s="721"/>
      <c r="AA4" s="721"/>
      <c r="AB4" s="721"/>
      <c r="AC4" s="721"/>
      <c r="AD4" s="721"/>
      <c r="AE4" s="721"/>
      <c r="AF4" s="721"/>
      <c r="AG4" s="721"/>
      <c r="AH4" s="721"/>
      <c r="AI4" s="722"/>
      <c r="AJ4" s="721"/>
      <c r="AK4" s="721"/>
      <c r="AL4" s="721"/>
      <c r="AM4" s="721"/>
      <c r="AN4" s="721"/>
      <c r="AO4" s="721"/>
      <c r="AP4" s="721"/>
      <c r="AQ4" s="712"/>
      <c r="AR4" s="712"/>
      <c r="AW4" s="716" t="s">
        <v>271</v>
      </c>
      <c r="AX4" s="716" t="s">
        <v>272</v>
      </c>
      <c r="AY4" s="716" t="s">
        <v>273</v>
      </c>
      <c r="AZ4" s="716" t="s">
        <v>274</v>
      </c>
      <c r="BA4" s="716" t="s">
        <v>275</v>
      </c>
      <c r="BB4" s="716" t="s">
        <v>276</v>
      </c>
      <c r="BE4" s="716"/>
      <c r="BF4" s="716"/>
      <c r="BG4" s="718"/>
      <c r="BP4" s="976" t="s">
        <v>845</v>
      </c>
      <c r="BQ4" s="976"/>
      <c r="BR4" s="976"/>
      <c r="BS4" s="976"/>
      <c r="BT4" s="976"/>
      <c r="BU4" s="976"/>
    </row>
    <row r="5" spans="2:73" s="731" customFormat="1" ht="15.75" customHeight="1" x14ac:dyDescent="0.2">
      <c r="B5" s="1087" t="s">
        <v>618</v>
      </c>
      <c r="C5" s="1088"/>
      <c r="D5" s="1088"/>
      <c r="E5" s="1088"/>
      <c r="F5" s="1088"/>
      <c r="G5" s="1089"/>
      <c r="H5" s="1090" t="s">
        <v>620</v>
      </c>
      <c r="I5" s="1091"/>
      <c r="J5" s="1091"/>
      <c r="K5" s="1091"/>
      <c r="L5" s="1091"/>
      <c r="M5" s="1091"/>
      <c r="N5" s="1092"/>
      <c r="O5" s="1093"/>
      <c r="P5" s="1094"/>
      <c r="Q5" s="1095"/>
      <c r="R5" s="1096"/>
      <c r="S5" s="723"/>
      <c r="T5" s="724"/>
      <c r="U5" s="724"/>
      <c r="V5" s="724"/>
      <c r="W5" s="724"/>
      <c r="X5" s="724"/>
      <c r="Y5" s="724"/>
      <c r="Z5" s="724"/>
      <c r="AA5" s="724"/>
      <c r="AB5" s="724"/>
      <c r="AC5" s="724"/>
      <c r="AD5" s="724"/>
      <c r="AE5" s="724"/>
      <c r="AF5" s="724"/>
      <c r="AG5" s="724"/>
      <c r="AH5" s="724"/>
      <c r="AI5" s="725"/>
      <c r="AJ5" s="724"/>
      <c r="AK5" s="724"/>
      <c r="AL5" s="724"/>
      <c r="AM5" s="724"/>
      <c r="AN5" s="724"/>
      <c r="AO5" s="724"/>
      <c r="AP5" s="724"/>
      <c r="AQ5" s="726"/>
      <c r="AR5" s="726"/>
      <c r="AS5" s="727"/>
      <c r="AT5" s="728" t="s">
        <v>278</v>
      </c>
      <c r="AU5" s="729" t="b">
        <v>0</v>
      </c>
      <c r="AV5" s="727">
        <v>0</v>
      </c>
      <c r="AW5" s="727" t="b">
        <f>IF(ISERR(OR(AW9:AW40)),"UNK",IF(AND(graded_aca_events&gt;=1,input_test),FALSE,OR(AW9:AW40)))</f>
        <v>0</v>
      </c>
      <c r="AX5" s="727" t="b">
        <f>IF(ISERR(OR(AX9:AX40)),"UNK",IF(AND(graded_aca_events&gt;=1,input_test),FALSE,OR(AX9:AX40)))</f>
        <v>1</v>
      </c>
      <c r="AY5" s="727" t="b">
        <f>IF(ISERR(OR(AY9:AY40)),"UNK",OR(AY9:AY40))</f>
        <v>0</v>
      </c>
      <c r="AZ5" s="727" t="b">
        <f>IF(ISERR(OR(AZ9:AZ40)),"UNK",OR(AZ9:AZ40))</f>
        <v>0</v>
      </c>
      <c r="BA5" s="727" t="b">
        <f>IF(ISERR(OR(BA9:BA40)),"UNK",OR(BA9:BA40))</f>
        <v>0</v>
      </c>
      <c r="BB5" s="727" t="b">
        <f>IF(ISERR(OR(BB9:BB40)),"UNK",OR(BB9:BB40))</f>
        <v>0</v>
      </c>
      <c r="BC5" s="730" t="b">
        <f>OR(BC9:BC40)</f>
        <v>0</v>
      </c>
      <c r="BD5" s="730" t="b">
        <f>OR(BD9:BD40)</f>
        <v>0</v>
      </c>
      <c r="BE5" s="730" t="b">
        <f>OR(BE9:BE40)</f>
        <v>0</v>
      </c>
      <c r="BF5" s="730"/>
      <c r="BG5" s="727"/>
      <c r="BH5" s="1097" t="s">
        <v>279</v>
      </c>
      <c r="BI5" s="1097"/>
      <c r="BJ5" s="1097"/>
      <c r="BK5" s="1097"/>
      <c r="BL5" s="1098" t="s">
        <v>280</v>
      </c>
      <c r="BM5" s="1098"/>
      <c r="BN5" s="1098"/>
      <c r="BO5" s="719"/>
      <c r="BP5" s="976"/>
      <c r="BQ5" s="976"/>
      <c r="BR5" s="976"/>
      <c r="BS5" s="976"/>
      <c r="BT5" s="976"/>
      <c r="BU5" s="976"/>
    </row>
    <row r="6" spans="2:73" s="720" customFormat="1" ht="7.5" customHeight="1" x14ac:dyDescent="0.25">
      <c r="B6" s="1099" t="s">
        <v>281</v>
      </c>
      <c r="C6" s="1100"/>
      <c r="D6" s="1100"/>
      <c r="E6" s="1101"/>
      <c r="F6" s="1102" t="s">
        <v>282</v>
      </c>
      <c r="G6" s="1101"/>
      <c r="H6" s="1102" t="s">
        <v>283</v>
      </c>
      <c r="I6" s="1100"/>
      <c r="J6" s="1100"/>
      <c r="K6" s="1100"/>
      <c r="L6" s="1101"/>
      <c r="M6" s="1103" t="s">
        <v>284</v>
      </c>
      <c r="N6" s="1104"/>
      <c r="O6" s="1105" t="s">
        <v>285</v>
      </c>
      <c r="P6" s="1106"/>
      <c r="Q6" s="1102" t="str">
        <f>IF(AU42=0,"GRADE","GRADE (inc. bonus)")</f>
        <v>GRADE</v>
      </c>
      <c r="R6" s="1107"/>
      <c r="T6" s="721"/>
      <c r="U6" s="721"/>
      <c r="V6" s="721"/>
      <c r="W6" s="721"/>
      <c r="X6" s="721"/>
      <c r="Y6" s="721"/>
      <c r="Z6" s="721"/>
      <c r="AA6" s="721"/>
      <c r="AB6" s="721"/>
      <c r="AC6" s="721"/>
      <c r="AD6" s="721"/>
      <c r="AE6" s="721"/>
      <c r="AF6" s="721"/>
      <c r="AG6" s="721"/>
      <c r="AH6" s="721"/>
      <c r="AI6" s="722"/>
      <c r="AJ6" s="721"/>
      <c r="AK6" s="721"/>
      <c r="AL6" s="721"/>
      <c r="AM6" s="721"/>
      <c r="AN6" s="721"/>
      <c r="AO6" s="721"/>
      <c r="AP6" s="721"/>
      <c r="AQ6" s="721"/>
      <c r="AR6" s="721"/>
      <c r="AS6" s="721"/>
      <c r="AT6" s="721"/>
      <c r="AU6" s="721"/>
      <c r="AV6" s="721"/>
      <c r="AW6" s="721"/>
      <c r="AX6" s="721"/>
      <c r="AY6" s="721"/>
      <c r="AZ6" s="721"/>
      <c r="BA6" s="721"/>
      <c r="BB6" s="721"/>
      <c r="BC6" s="721"/>
      <c r="BD6" s="721"/>
      <c r="BE6" s="721"/>
      <c r="BF6" s="721"/>
      <c r="BG6" s="721"/>
      <c r="BH6" s="1097"/>
      <c r="BI6" s="1097"/>
      <c r="BJ6" s="1097"/>
      <c r="BK6" s="1097"/>
      <c r="BL6" s="1098"/>
      <c r="BM6" s="1098"/>
      <c r="BN6" s="1098"/>
      <c r="BO6" s="732"/>
    </row>
    <row r="7" spans="2:73" s="731" customFormat="1" ht="15.75" customHeight="1" thickBot="1" x14ac:dyDescent="0.25">
      <c r="B7" s="1108"/>
      <c r="C7" s="1109"/>
      <c r="D7" s="1109"/>
      <c r="E7" s="1110"/>
      <c r="F7" s="1111" t="s">
        <v>457</v>
      </c>
      <c r="G7" s="1112"/>
      <c r="H7" s="1113"/>
      <c r="I7" s="1114"/>
      <c r="J7" s="1114"/>
      <c r="K7" s="1114"/>
      <c r="L7" s="1115"/>
      <c r="M7" s="1118"/>
      <c r="N7" s="1119"/>
      <c r="O7" s="1120"/>
      <c r="P7" s="1121"/>
      <c r="Q7" s="1122" t="str">
        <f>IF((graded_aca_events+graded_amn_events)&lt;1,"---",IF(ISERROR(AR47),"",IF(F42&lt;&gt;"COMPLETE","INCOMPLETE",AR47)))</f>
        <v>---</v>
      </c>
      <c r="R7" s="1123"/>
      <c r="S7" s="715"/>
      <c r="T7" s="727"/>
      <c r="U7" s="727">
        <v>2</v>
      </c>
      <c r="V7" s="727">
        <v>3</v>
      </c>
      <c r="W7" s="727">
        <v>6</v>
      </c>
      <c r="X7" s="727">
        <v>7</v>
      </c>
      <c r="Y7" s="727">
        <v>11</v>
      </c>
      <c r="Z7" s="727">
        <v>8</v>
      </c>
      <c r="AA7" s="733">
        <v>9</v>
      </c>
      <c r="AB7" s="733">
        <v>10</v>
      </c>
      <c r="AC7" s="733">
        <v>5</v>
      </c>
      <c r="AD7" s="733">
        <v>4</v>
      </c>
      <c r="AE7" s="733">
        <v>12</v>
      </c>
      <c r="AF7" s="733">
        <v>13</v>
      </c>
      <c r="AG7" s="733"/>
      <c r="AH7" s="733"/>
      <c r="AI7" s="734"/>
      <c r="AJ7" s="735"/>
      <c r="AK7" s="735"/>
      <c r="AL7" s="735"/>
      <c r="AM7" s="735" t="b">
        <f>IF(COUNT(AM9:AM40)&gt;0,TRUE,FALSE)</f>
        <v>0</v>
      </c>
      <c r="AN7" s="735" t="b">
        <f>IF(COUNT(AN9:AN40)&gt;0,TRUE,FALSE)</f>
        <v>0</v>
      </c>
      <c r="AO7" s="727"/>
      <c r="AP7" s="727"/>
      <c r="AQ7" s="726"/>
      <c r="AR7" s="726"/>
      <c r="AS7" s="727"/>
      <c r="AT7" s="736">
        <v>0.2</v>
      </c>
      <c r="AU7" s="727"/>
      <c r="AV7" s="737">
        <f>0.01*input_maxb</f>
        <v>0</v>
      </c>
      <c r="AW7" s="738" t="s">
        <v>287</v>
      </c>
      <c r="AX7" s="739"/>
      <c r="AY7" s="738" t="s">
        <v>288</v>
      </c>
      <c r="AZ7" s="739"/>
      <c r="BA7" s="740" t="s">
        <v>289</v>
      </c>
      <c r="BB7" s="740"/>
      <c r="BC7" s="738" t="s">
        <v>290</v>
      </c>
      <c r="BD7" s="740"/>
      <c r="BE7" s="741"/>
      <c r="BF7" s="742"/>
      <c r="BG7" s="727" t="s">
        <v>291</v>
      </c>
      <c r="BH7" s="1097"/>
      <c r="BI7" s="1097"/>
      <c r="BJ7" s="1097"/>
      <c r="BK7" s="1097"/>
      <c r="BL7" s="1098"/>
      <c r="BM7" s="1098"/>
      <c r="BN7" s="1098"/>
      <c r="BO7" s="719"/>
    </row>
    <row r="8" spans="2:73" ht="27" customHeight="1" thickBot="1" x14ac:dyDescent="0.3">
      <c r="B8" s="1124" t="s">
        <v>292</v>
      </c>
      <c r="C8" s="1125"/>
      <c r="D8" s="1125"/>
      <c r="E8" s="1125"/>
      <c r="F8" s="1126"/>
      <c r="G8" s="743" t="s">
        <v>293</v>
      </c>
      <c r="H8" s="744" t="s">
        <v>294</v>
      </c>
      <c r="I8" s="745" t="s">
        <v>295</v>
      </c>
      <c r="J8" s="746" t="s">
        <v>296</v>
      </c>
      <c r="K8" s="747" t="s">
        <v>297</v>
      </c>
      <c r="L8" s="1127" t="s">
        <v>298</v>
      </c>
      <c r="M8" s="1125"/>
      <c r="N8" s="1125"/>
      <c r="O8" s="1125"/>
      <c r="P8" s="1125"/>
      <c r="Q8" s="1125"/>
      <c r="R8" s="1128"/>
      <c r="S8" s="714"/>
      <c r="T8" s="748" t="s">
        <v>299</v>
      </c>
      <c r="U8" s="748"/>
      <c r="V8" s="748" t="s">
        <v>300</v>
      </c>
      <c r="W8" s="748" t="s">
        <v>301</v>
      </c>
      <c r="X8" s="748" t="s">
        <v>302</v>
      </c>
      <c r="Y8" s="748" t="s">
        <v>303</v>
      </c>
      <c r="Z8" s="748" t="s">
        <v>304</v>
      </c>
      <c r="AA8" s="748" t="s">
        <v>305</v>
      </c>
      <c r="AB8" s="748" t="s">
        <v>306</v>
      </c>
      <c r="AC8" s="748" t="s">
        <v>307</v>
      </c>
      <c r="AD8" s="748" t="s">
        <v>308</v>
      </c>
      <c r="AE8" s="748" t="s">
        <v>309</v>
      </c>
      <c r="AF8" s="748" t="s">
        <v>310</v>
      </c>
      <c r="AG8" s="748" t="s">
        <v>311</v>
      </c>
      <c r="AH8" s="748" t="s">
        <v>312</v>
      </c>
      <c r="AI8" s="749" t="s">
        <v>313</v>
      </c>
      <c r="AJ8" s="750" t="s">
        <v>314</v>
      </c>
      <c r="AK8" s="751" t="s">
        <v>315</v>
      </c>
      <c r="AL8" s="751" t="s">
        <v>316</v>
      </c>
      <c r="AM8" s="751" t="s">
        <v>317</v>
      </c>
      <c r="AN8" s="751" t="s">
        <v>318</v>
      </c>
      <c r="AO8" s="750" t="s">
        <v>319</v>
      </c>
      <c r="AP8" s="750" t="s">
        <v>320</v>
      </c>
      <c r="AQ8" s="752" t="s">
        <v>321</v>
      </c>
      <c r="AR8" s="753" t="s">
        <v>1</v>
      </c>
      <c r="AS8" s="752" t="s">
        <v>322</v>
      </c>
      <c r="AT8" s="753" t="s">
        <v>1</v>
      </c>
      <c r="AU8" s="752" t="s">
        <v>323</v>
      </c>
      <c r="AV8" s="754" t="s">
        <v>324</v>
      </c>
      <c r="AW8" s="755" t="s">
        <v>325</v>
      </c>
      <c r="AX8" s="756" t="s">
        <v>326</v>
      </c>
      <c r="AY8" s="755" t="s">
        <v>327</v>
      </c>
      <c r="AZ8" s="756" t="s">
        <v>328</v>
      </c>
      <c r="BA8" s="757" t="s">
        <v>329</v>
      </c>
      <c r="BB8" s="757" t="s">
        <v>330</v>
      </c>
      <c r="BC8" s="758" t="s">
        <v>331</v>
      </c>
      <c r="BD8" s="759" t="s">
        <v>332</v>
      </c>
      <c r="BE8" s="760" t="s">
        <v>333</v>
      </c>
      <c r="BF8" s="761" t="s">
        <v>334</v>
      </c>
      <c r="BG8" s="718"/>
      <c r="BH8" s="718" t="s">
        <v>335</v>
      </c>
      <c r="BI8" s="718" t="s">
        <v>336</v>
      </c>
      <c r="BJ8" s="748" t="s">
        <v>337</v>
      </c>
      <c r="BK8" s="718" t="s">
        <v>338</v>
      </c>
      <c r="BL8" s="718" t="s">
        <v>335</v>
      </c>
      <c r="BM8" s="718" t="s">
        <v>336</v>
      </c>
      <c r="BN8" s="718" t="s">
        <v>338</v>
      </c>
    </row>
    <row r="9" spans="2:73" ht="12.95" customHeight="1" x14ac:dyDescent="0.25">
      <c r="B9" s="762" t="str">
        <f>IF(ISNA(Z9),"",IF(OR(Z9=1,Z9=2),"",1))</f>
        <v/>
      </c>
      <c r="C9" s="1129" t="str">
        <f t="shared" ref="C9:C37" si="0">IF(ISNA(Z9),"",CONCATENATE($U9,IF(ISNUMBER(AI9),TEXT(ROUND($AI9,3)," (0.0%)"),""),IF(AU9&gt;0," Bonus","")))</f>
        <v>Structure &amp; Logic (30.0%)</v>
      </c>
      <c r="D9" s="1129"/>
      <c r="E9" s="1129"/>
      <c r="F9" s="1130"/>
      <c r="G9" s="763" t="str">
        <f t="shared" ref="G9:G40" si="1">BH9</f>
        <v/>
      </c>
      <c r="H9" s="764" t="str">
        <f t="shared" ref="H9:I40" si="2">BJ9</f>
        <v/>
      </c>
      <c r="I9" s="765" t="str">
        <f t="shared" si="2"/>
        <v/>
      </c>
      <c r="J9" s="766"/>
      <c r="K9" s="767"/>
      <c r="L9" s="1131"/>
      <c r="M9" s="1132"/>
      <c r="N9" s="1132"/>
      <c r="O9" s="1132"/>
      <c r="P9" s="1132"/>
      <c r="Q9" s="1132"/>
      <c r="R9" s="1133"/>
      <c r="T9" s="716">
        <v>1</v>
      </c>
      <c r="U9" s="716" t="s">
        <v>967</v>
      </c>
      <c r="V9" s="768" t="s">
        <v>340</v>
      </c>
      <c r="W9" s="768" t="s">
        <v>340</v>
      </c>
      <c r="X9" s="768" t="s">
        <v>340</v>
      </c>
      <c r="Y9" s="768" t="s">
        <v>340</v>
      </c>
      <c r="Z9" s="768">
        <v>2</v>
      </c>
      <c r="AA9" s="768">
        <v>1</v>
      </c>
      <c r="AB9" s="768">
        <v>1</v>
      </c>
      <c r="AC9" s="768" t="s">
        <v>340</v>
      </c>
      <c r="AD9" s="768" t="s">
        <v>340</v>
      </c>
      <c r="AE9" s="768" t="s">
        <v>340</v>
      </c>
      <c r="AF9" s="768" t="s">
        <v>340</v>
      </c>
      <c r="AG9" s="768" t="str">
        <f t="shared" ref="AG9:AG40" si="3">IF(CrewSoloQual="Yes",$AC9,$AD9)</f>
        <v/>
      </c>
      <c r="AH9" s="768" t="str">
        <f t="shared" ref="AH9:AH40" si="4">IF(ISNUMBER(AC9),IF(CrewSoloQual="Yes",$AC9-1,$AD9-1),"")</f>
        <v/>
      </c>
      <c r="AI9" s="769">
        <f>IF(NOT(OR(Z9=1,Z9=2)),IF(AQ9&gt;0,$AR$45*AQ9/SUMIF($AQ$9:$AQ$40,"&gt;0"),IF(AU9&gt;0,$AV$45*AU9/SUMIF($AU$9:$AU$40,"&gt;0"),IF(AS9&gt;0,$AT$45*AS9/SUMIF($AS$9:$AS$40,"&gt;0"),""))),IF(SUMIF(AJ10:$AJ$40,"=" &amp; AJ9,AI10:$AI$40)=0,"",SUMIF(AJ10:$AJ$40,"=" &amp; AJ9,AI10:$AI$40)))</f>
        <v>0.29999997965999931</v>
      </c>
      <c r="AJ9" s="770">
        <f>0</f>
        <v>0</v>
      </c>
      <c r="AK9" s="768" t="str">
        <f>BI9</f>
        <v/>
      </c>
      <c r="AL9" s="768" t="str">
        <f>IF(ISBLANK(K9),"",K9)</f>
        <v/>
      </c>
      <c r="AM9" s="768" t="str">
        <f>IF(ISNUMBER(AK9),IF(ISNUMBER(AL9),1,""),"")</f>
        <v/>
      </c>
      <c r="AN9" s="768" t="str">
        <f t="shared" ref="AN9:AN37" si="5">IF(ISNUMBER(AH9),IF(AND(AB9=0,ISNUMBER(AC9),ISNUMBER(AL9)),1,""),"")</f>
        <v/>
      </c>
      <c r="AO9" s="768" t="str">
        <f t="shared" ref="AO9:AO40" si="6">IF(AB9=0,IF(CrewSoloQual="No",BI9,BK9),"")</f>
        <v/>
      </c>
      <c r="AP9" s="768" t="str">
        <f t="shared" ref="AP9:AP40" si="7">IF(ISNA(Z9),"",IF(AND(ISNUMBER(B9),G9&gt;=1,H9&lt;&gt;"NG"),IF(K9&lt;BK9,TRUE,FALSE),IF(AND(G9&gt;=1,J9="NA"),TRUE,IF(AND(AM9=1,G9=0,AL9&lt;BI9),TRUE,""))))</f>
        <v/>
      </c>
      <c r="AQ9" s="771">
        <f>IF(ISNA(Z9),0,IF(OR(J9="NA",W9="",AB9=0),0,W9))</f>
        <v>0</v>
      </c>
      <c r="AR9" s="772" t="str">
        <f t="shared" ref="AR9:AR40" si="8">IF(ISNA(Z9),"",IF(AND(NOT(OR(Z9=1,Z9=2,AK9="NG",AB9=0)),IF(ISNUMBER(AL9),AL9&gt;=0,FALSE)),VLOOKUP((10*AD9+AC9),$AQ$51:$AV$59,2+AL9,FALSE),IF(AND(input_test=TRUE,ISNUMBER(AD9),V9&lt;&gt;0),VLOOKUP((10*AD9+AC9),$AQ$51:$AV$59,2,FALSE),"")))</f>
        <v/>
      </c>
      <c r="AS9" s="773">
        <f>IF(ISNA(Z9),0,IF(OR(J9="NA",X9="",AB9=1),0,X9))</f>
        <v>0</v>
      </c>
      <c r="AT9" s="772" t="str">
        <f t="shared" ref="AT9:AT40" si="9">IF(ISNA(Z9),"",IF(AND(NOT(OR(Z9=1,Z9=2,AK9="NG",AB9=1)),IF(ISNUMBER(AL9),AL9&gt;=0,FALSE)),VLOOKUP((10*AH9+AG9),$AQ$51:$AV$59,2+AL9,FALSE),IF(AND(input_test=TRUE,ISNUMBER(AD9),V9&lt;&gt;0),VLOOKUP((10*AH9+AG9),$AQ$51:$AV$59,2,FALSE),"")))</f>
        <v/>
      </c>
      <c r="AU9" s="774">
        <f t="shared" ref="AU9:AU40" si="10">IF(ISNA(Z9),0,IF(OR(J9="NA",Y9=""),0,Y9))</f>
        <v>0</v>
      </c>
      <c r="AV9" s="775" t="str">
        <f t="shared" ref="AV9:AV40" si="11">AR9</f>
        <v/>
      </c>
      <c r="AW9" s="774" t="b">
        <f t="shared" ref="AW9:AW40" si="12">IF(ISNA(Z9),FALSE,IF(OR(AB9=1,G9=0,Z9=1,Z9=2),FALSE,IF(OR(J9="NA",J9&gt;=G9),FALSE,TRUE)))</f>
        <v>0</v>
      </c>
      <c r="AX9" s="776" t="b">
        <f t="shared" ref="AX9:AX40" si="13">IF(ISNA(Z9),FALSE,IF(OR(AB9=0,G9=0,Z9=1,Z9=2,J9="NA"),FALSE,IF(AK9="NG",IF(NOT(ISBLANK(K9)),FALSE,TRUE),IF(J9&gt;=G9,FALSE,TRUE))))</f>
        <v>0</v>
      </c>
      <c r="AY9" s="774" t="b">
        <f t="shared" ref="AY9:AY40" si="14">IF(ISNA(Z9),FALSE,IF(OR(AB9=1,G9&lt;1,Z9=1,Z9=2,AE9=0,ISBLANK(K9)),FALSE,IF(OR(J9="NA",K9&gt;=BI9),FALSE,TRUE)))</f>
        <v>0</v>
      </c>
      <c r="AZ9" s="776" t="b">
        <f t="shared" ref="AZ9:AZ40" si="15">IF(ISNA(Z9),FALSE,IF(OR(AB9=0,G9=0,Z9=1,Z9=2,AE9=0,BI9="NG",K9="",ISBLANK(K9)),FALSE,IF(OR(J9="NA",K9&gt;=AK9),FALSE,TRUE)))</f>
        <v>0</v>
      </c>
      <c r="BA9" s="768" t="b">
        <f t="shared" ref="BA9:BA40" si="16">IF(ISNA(Z9),FALSE,IF(OR(AB9=1,G9&lt;1,Z9=1,Z9=2,AE9=0),FALSE,IF(J9="NA",TRUE,FALSE)))</f>
        <v>0</v>
      </c>
      <c r="BB9" s="768" t="b">
        <f t="shared" ref="BB9:BB40" si="17">IF(ISNA(Z9),FALSE,IF(OR(AB9=0,G9=0,Z9=1,Z9=2),FALSE,IF(J9="NA",TRUE,FALSE)))</f>
        <v>0</v>
      </c>
      <c r="BC9" s="774" t="b">
        <f t="shared" ref="BC9:BC40" si="18">IF(OR(ISNA($Z9),ISNUMBER($Z9),NOT(ISNUMBER($J9)),K9="D"),FALSE,IF(AND(NOT(ISNUMBER($K9)),J9&gt;0),TRUE,FALSE))</f>
        <v>0</v>
      </c>
      <c r="BD9" s="777" t="b">
        <f>IF(OR(ISNA($Z9),ISNUMBER($Z9),NOT(ISNUMBER(K9))),FALSE,OR(NOT(ISNUMBER(J9)),J9=0,AND(J9=0,K9&lt;&gt;0)))</f>
        <v>0</v>
      </c>
      <c r="BE9" s="776" t="b">
        <f t="shared" ref="BE9:BE22" si="19">IF(OR(ISNA($Z9),K9&lt;&gt;"D"),FALSE,IF(OR(AND(H9="NG",J9=0),AND(H9&lt;&gt;"NG",NOT(OR(J9="NA",J9=0)))),TRUE,FALSE))</f>
        <v>0</v>
      </c>
      <c r="BF9" s="778" t="b">
        <f t="shared" ref="BF9:BF31" si="20">IF(OR(ISNA($Z9),H9&lt;&gt;"NG"),FALSE,IF(AND(J9="NA",K9&lt;&gt;""),TRUE,FALSE))</f>
        <v>0</v>
      </c>
      <c r="BG9" s="779" t="b">
        <f t="shared" ref="BG9:BG22" si="21">IF(ISNA($Z9),"NA",IF(OR(AZ9,AY9,AX9,AW9,AP9,BA9,BB9),TRUE,FALSE))</f>
        <v>0</v>
      </c>
      <c r="BH9" s="780" t="str">
        <f>IF(ISNA($Z9),"",IF(OR($Z9=1,$Z9=2),"",$V9))</f>
        <v/>
      </c>
      <c r="BI9" s="779" t="str">
        <f t="shared" ref="BI9:BI40" si="22">IF(ISNA($Z9),"",IF(OR($Z9=1,$Z9=2,$G9=""),"",IF(AB9=0,AH9,$AD9)))</f>
        <v/>
      </c>
      <c r="BJ9" s="779" t="str">
        <f t="shared" ref="BJ9:BJ40" si="23">IF(ISNA(AE9),"",IF(OR(Z9=1,Z9=2),"",IF(OR(AE9=0,AD9="NG"),TEXT(BI9,"0"),CONCATENATE(TEXT(BI9,"0"),"*"))))</f>
        <v/>
      </c>
      <c r="BK9" s="779" t="str">
        <f t="shared" ref="BK9:BK40" si="24">IF(ISNA($Z9),"",IF(OR($Z9=1,$Z9=2,$G9=""),"",IF(AB9=0,AG9,$AC9)))</f>
        <v/>
      </c>
      <c r="BL9" s="780" t="str">
        <f>IF(ISBLANK(BH9),"",IF(BH9=0,"",BH9))</f>
        <v/>
      </c>
      <c r="BM9" s="779" t="str">
        <f t="shared" ref="BM9:BM40" si="25">IF($BH9=0,"",IF($BI9="NG","D",$BI9))</f>
        <v/>
      </c>
      <c r="BN9" s="779" t="str">
        <f t="shared" ref="BN9:BN40" si="26">IF(ISNA(U9),"",IF($BH9=0,"",IF($BI9="NG","D",BK9)))</f>
        <v/>
      </c>
      <c r="BO9" s="781" t="s">
        <v>341</v>
      </c>
      <c r="BP9" s="782"/>
    </row>
    <row r="10" spans="2:73" s="731" customFormat="1" ht="12.95" customHeight="1" x14ac:dyDescent="0.25">
      <c r="B10" s="783">
        <f>IF(ISNA(Z10),"",IF(OR(Z10=1,Z10=2),"    ",MAX($B$9:B9)+1))</f>
        <v>1</v>
      </c>
      <c r="C10" s="1116" t="str">
        <f t="shared" si="0"/>
        <v xml:space="preserve">      - Executive Summary (8.0%)</v>
      </c>
      <c r="D10" s="1116"/>
      <c r="E10" s="1116"/>
      <c r="F10" s="1117"/>
      <c r="G10" s="763">
        <f t="shared" si="1"/>
        <v>1</v>
      </c>
      <c r="H10" s="764" t="str">
        <f t="shared" si="2"/>
        <v>2*</v>
      </c>
      <c r="I10" s="784">
        <f t="shared" si="2"/>
        <v>3</v>
      </c>
      <c r="J10" s="785"/>
      <c r="K10" s="786"/>
      <c r="L10" s="1134"/>
      <c r="M10" s="1135"/>
      <c r="N10" s="1135"/>
      <c r="O10" s="1135"/>
      <c r="P10" s="1135"/>
      <c r="Q10" s="1135"/>
      <c r="R10" s="1136"/>
      <c r="T10" s="727">
        <v>2</v>
      </c>
      <c r="U10" s="716" t="s">
        <v>601</v>
      </c>
      <c r="V10" s="768">
        <v>1</v>
      </c>
      <c r="W10" s="768">
        <v>2.6666660000000002</v>
      </c>
      <c r="X10" s="768" t="s">
        <v>340</v>
      </c>
      <c r="Y10" s="768" t="s">
        <v>340</v>
      </c>
      <c r="Z10" s="777" t="s">
        <v>340</v>
      </c>
      <c r="AA10" s="777">
        <v>2</v>
      </c>
      <c r="AB10" s="777">
        <v>1</v>
      </c>
      <c r="AC10" s="768">
        <v>3</v>
      </c>
      <c r="AD10" s="768">
        <v>2</v>
      </c>
      <c r="AE10" s="768">
        <v>1</v>
      </c>
      <c r="AF10" s="768" t="b">
        <v>1</v>
      </c>
      <c r="AG10" s="768">
        <f t="shared" si="3"/>
        <v>2</v>
      </c>
      <c r="AH10" s="768">
        <f t="shared" si="4"/>
        <v>1</v>
      </c>
      <c r="AI10" s="769">
        <f>IF(NOT(OR(Z10=1,Z10=2)),IF(AQ10&gt;0,$AR$45*AQ10/SUMIF($AQ$9:$AQ$40,"&gt;0"),IF(AU10&gt;0,$AV$45*AU10/SUMIF($AU$9:$AU$40,"&gt;0"),IF(AS10&gt;0,$AT$45*AS10/SUMIF($AS$9:$AS$40,"&gt;0"),""))),IF(SUMIF(AJ11:$AJ$40,"=" &amp; AJ10,AI11:$AI$40)=0,"",SUMIF(AJ11:$AJ$40,"=" &amp; AJ10,AI11:$AI$40)))</f>
        <v>7.9999982575999426E-2</v>
      </c>
      <c r="AJ10" s="770">
        <f>IF(OR(Z10=1,Z10=2,AA10&lt;AA9),AJ9+1,AJ9)</f>
        <v>0</v>
      </c>
      <c r="AK10" s="768">
        <f t="shared" ref="AK10:AK40" si="27">BI10</f>
        <v>2</v>
      </c>
      <c r="AL10" s="777" t="str">
        <f t="shared" ref="AL10:AL40" si="28">IF(ISBLANK(K10),"",K10)</f>
        <v/>
      </c>
      <c r="AM10" s="777" t="str">
        <f>IF(ISNUMBER(AK10),IF(ISNUMBER(AL10),1,""),"")</f>
        <v/>
      </c>
      <c r="AN10" s="777" t="str">
        <f t="shared" si="5"/>
        <v/>
      </c>
      <c r="AO10" s="777" t="str">
        <f t="shared" si="6"/>
        <v/>
      </c>
      <c r="AP10" s="768" t="b">
        <f>IF(ISNA(Z10),"",IF(AND(ISNUMBER(B10),G10&gt;=1,H10&lt;&gt;"NG"),IF(K10&lt;BK10,TRUE,FALSE),IF(AND(G10&gt;=1,J10="NA"),TRUE,IF(AND(AM10=1,G10=0,AL10&lt;BI10),TRUE,""))))</f>
        <v>1</v>
      </c>
      <c r="AQ10" s="771">
        <f t="shared" ref="AQ10:AQ40" si="29">IF(ISNA(Z10),0,IF(OR(J10="NA",W10="",AB10=0),0,W10))</f>
        <v>2.6666660000000002</v>
      </c>
      <c r="AR10" s="772" t="str">
        <f>IF(ISNA(Z10),"",IF(AND(NOT(OR(Z10=1,Z10=2,AK10="NG",AB10=0)),IF(ISNUMBER(AL10),AL10&gt;=0,FALSE)),VLOOKUP((10*AD10+AC10),$AQ$51:$AV$59,2+AL10,FALSE),IF(AND(input_test=TRUE,ISNUMBER(AD10),V10&lt;&gt;0),VLOOKUP((10*AD10+AC10),$AQ$51:$AV$59,2,FALSE),"")))</f>
        <v/>
      </c>
      <c r="AS10" s="773">
        <f t="shared" ref="AS10:AS40" si="30">IF(ISNA(Z10),0,IF(OR(J10="NA",X10="",AB10=1),0,X10))</f>
        <v>0</v>
      </c>
      <c r="AT10" s="772" t="str">
        <f>IF(ISNA(Z10),"",IF(AND(NOT(OR(Z10=1,Z10=2,AK10="NG",AB10=1)),IF(ISNUMBER(AL10),AL10&gt;=0,FALSE)),VLOOKUP((10*AH10+AG10),$AQ$51:$AV$59,2+AL10,FALSE),IF(AND(input_test=TRUE,ISNUMBER(AD10),V10&lt;&gt;0),VLOOKUP((10*AH10+AG10),$AQ$51:$AV$59,2,FALSE),"")))</f>
        <v/>
      </c>
      <c r="AU10" s="774">
        <f t="shared" si="10"/>
        <v>0</v>
      </c>
      <c r="AV10" s="775" t="str">
        <f t="shared" si="11"/>
        <v/>
      </c>
      <c r="AW10" s="774" t="b">
        <f t="shared" si="12"/>
        <v>0</v>
      </c>
      <c r="AX10" s="776" t="b">
        <f t="shared" si="13"/>
        <v>1</v>
      </c>
      <c r="AY10" s="774" t="b">
        <f t="shared" si="14"/>
        <v>0</v>
      </c>
      <c r="AZ10" s="776" t="b">
        <f t="shared" si="15"/>
        <v>0</v>
      </c>
      <c r="BA10" s="768" t="b">
        <f t="shared" si="16"/>
        <v>0</v>
      </c>
      <c r="BB10" s="768" t="b">
        <f t="shared" si="17"/>
        <v>0</v>
      </c>
      <c r="BC10" s="774" t="b">
        <f t="shared" si="18"/>
        <v>0</v>
      </c>
      <c r="BD10" s="777" t="b">
        <f t="shared" ref="BD10:BD40" si="31">IF(OR(ISNA($Z10),ISNUMBER($Z10),NOT(ISNUMBER(K10))),FALSE,OR(NOT(ISNUMBER(J10)),J10=0,AND(J10=0,K10&lt;&gt;0)))</f>
        <v>0</v>
      </c>
      <c r="BE10" s="776" t="b">
        <f t="shared" si="19"/>
        <v>0</v>
      </c>
      <c r="BF10" s="778" t="b">
        <f t="shared" si="20"/>
        <v>0</v>
      </c>
      <c r="BG10" s="779" t="b">
        <f t="shared" si="21"/>
        <v>1</v>
      </c>
      <c r="BH10" s="779">
        <f t="shared" ref="BH10:BH40" si="32">IF(ISNA($Z10),"",IF(OR($Z10=1,$Z10=2),"",$V10))</f>
        <v>1</v>
      </c>
      <c r="BI10" s="779">
        <f t="shared" si="22"/>
        <v>2</v>
      </c>
      <c r="BJ10" s="779" t="str">
        <f t="shared" si="23"/>
        <v>2*</v>
      </c>
      <c r="BK10" s="779">
        <f t="shared" si="24"/>
        <v>3</v>
      </c>
      <c r="BL10" s="780">
        <f t="shared" ref="BL10:BL40" si="33">IF(ISBLANK(BH10),"",IF(BH10=0,"",BH10))</f>
        <v>1</v>
      </c>
      <c r="BM10" s="779">
        <f t="shared" si="25"/>
        <v>2</v>
      </c>
      <c r="BN10" s="779">
        <f t="shared" si="26"/>
        <v>3</v>
      </c>
      <c r="BO10" s="787" t="s">
        <v>343</v>
      </c>
      <c r="BP10" s="788" t="s">
        <v>265</v>
      </c>
    </row>
    <row r="11" spans="2:73" s="731" customFormat="1" ht="12.95" customHeight="1" x14ac:dyDescent="0.25">
      <c r="B11" s="783">
        <f>IF(ISNA(Z11),"",IF(OR(Z11=1,Z11=2),"    ",MAX($B$9:B10)+1))</f>
        <v>2</v>
      </c>
      <c r="C11" s="1116" t="str">
        <f t="shared" si="0"/>
        <v xml:space="preserve">      - Report Org. &amp; Structure (10.0%)</v>
      </c>
      <c r="D11" s="1116"/>
      <c r="E11" s="1116"/>
      <c r="F11" s="1117"/>
      <c r="G11" s="763">
        <f t="shared" si="1"/>
        <v>1</v>
      </c>
      <c r="H11" s="764" t="str">
        <f t="shared" si="2"/>
        <v>2*</v>
      </c>
      <c r="I11" s="784">
        <f t="shared" si="2"/>
        <v>3</v>
      </c>
      <c r="J11" s="789"/>
      <c r="K11" s="786"/>
      <c r="L11" s="1134"/>
      <c r="M11" s="1135"/>
      <c r="N11" s="1135"/>
      <c r="O11" s="1135"/>
      <c r="P11" s="1135"/>
      <c r="Q11" s="1135"/>
      <c r="R11" s="1136"/>
      <c r="T11" s="727">
        <v>3</v>
      </c>
      <c r="U11" s="716" t="s">
        <v>994</v>
      </c>
      <c r="V11" s="768">
        <v>1</v>
      </c>
      <c r="W11" s="768">
        <v>3.3333330000000001</v>
      </c>
      <c r="X11" s="768" t="s">
        <v>340</v>
      </c>
      <c r="Y11" s="768" t="s">
        <v>340</v>
      </c>
      <c r="Z11" s="777" t="s">
        <v>340</v>
      </c>
      <c r="AA11" s="777">
        <v>2</v>
      </c>
      <c r="AB11" s="777">
        <v>1</v>
      </c>
      <c r="AC11" s="768">
        <v>3</v>
      </c>
      <c r="AD11" s="768">
        <v>2</v>
      </c>
      <c r="AE11" s="768">
        <v>1</v>
      </c>
      <c r="AF11" s="768" t="b">
        <v>1</v>
      </c>
      <c r="AG11" s="768">
        <f t="shared" si="3"/>
        <v>2</v>
      </c>
      <c r="AH11" s="768">
        <f t="shared" si="4"/>
        <v>1</v>
      </c>
      <c r="AI11" s="769">
        <f>IF(NOT(OR(Z11=1,Z11=2)),IF(AQ11&gt;0,$AR$45*AQ11/SUMIF($AQ$9:$AQ$40,"&gt;0"),IF(AU11&gt;0,$AV$45*AU11/SUMIF($AU$9:$AU$40,"&gt;0"),IF(AS11&gt;0,$AT$45*AS11/SUMIF($AS$9:$AS$40,"&gt;0"),""))),IF(SUMIF(AJ12:$AJ$40,"=" &amp; AJ11,AI12:$AI$40)=0,"",SUMIF(AJ12:$AJ$40,"=" &amp; AJ11,AI12:$AI$40)))</f>
        <v>9.9999993219999764E-2</v>
      </c>
      <c r="AJ11" s="770">
        <f t="shared" ref="AJ11:AJ40" si="34">IF(OR(Z11=1,Z11=2,AA11&lt;AA10),AJ10+1,AJ10)</f>
        <v>0</v>
      </c>
      <c r="AK11" s="768">
        <f t="shared" si="27"/>
        <v>2</v>
      </c>
      <c r="AL11" s="777" t="str">
        <f t="shared" si="28"/>
        <v/>
      </c>
      <c r="AM11" s="777" t="str">
        <f t="shared" ref="AM11:AM40" si="35">IF(ISNUMBER(AK11),IF(ISNUMBER(AL11),1,""),"")</f>
        <v/>
      </c>
      <c r="AN11" s="777" t="str">
        <f t="shared" si="5"/>
        <v/>
      </c>
      <c r="AO11" s="777" t="str">
        <f t="shared" si="6"/>
        <v/>
      </c>
      <c r="AP11" s="768" t="b">
        <f t="shared" si="7"/>
        <v>1</v>
      </c>
      <c r="AQ11" s="771">
        <f t="shared" si="29"/>
        <v>3.3333330000000001</v>
      </c>
      <c r="AR11" s="772" t="str">
        <f t="shared" si="8"/>
        <v/>
      </c>
      <c r="AS11" s="773">
        <f t="shared" si="30"/>
        <v>0</v>
      </c>
      <c r="AT11" s="772" t="str">
        <f t="shared" si="9"/>
        <v/>
      </c>
      <c r="AU11" s="774">
        <f t="shared" si="10"/>
        <v>0</v>
      </c>
      <c r="AV11" s="775" t="str">
        <f t="shared" si="11"/>
        <v/>
      </c>
      <c r="AW11" s="774" t="b">
        <f t="shared" si="12"/>
        <v>0</v>
      </c>
      <c r="AX11" s="776" t="b">
        <f t="shared" si="13"/>
        <v>1</v>
      </c>
      <c r="AY11" s="774" t="b">
        <f t="shared" si="14"/>
        <v>0</v>
      </c>
      <c r="AZ11" s="776" t="b">
        <f t="shared" si="15"/>
        <v>0</v>
      </c>
      <c r="BA11" s="768" t="b">
        <f t="shared" si="16"/>
        <v>0</v>
      </c>
      <c r="BB11" s="768" t="b">
        <f t="shared" si="17"/>
        <v>0</v>
      </c>
      <c r="BC11" s="774" t="b">
        <f t="shared" si="18"/>
        <v>0</v>
      </c>
      <c r="BD11" s="777" t="b">
        <f t="shared" si="31"/>
        <v>0</v>
      </c>
      <c r="BE11" s="776" t="b">
        <f t="shared" si="19"/>
        <v>0</v>
      </c>
      <c r="BF11" s="778" t="b">
        <f t="shared" si="20"/>
        <v>0</v>
      </c>
      <c r="BG11" s="779" t="b">
        <f t="shared" si="21"/>
        <v>1</v>
      </c>
      <c r="BH11" s="779">
        <f t="shared" si="32"/>
        <v>1</v>
      </c>
      <c r="BI11" s="779">
        <f t="shared" si="22"/>
        <v>2</v>
      </c>
      <c r="BJ11" s="779" t="str">
        <f t="shared" si="23"/>
        <v>2*</v>
      </c>
      <c r="BK11" s="779">
        <f t="shared" si="24"/>
        <v>3</v>
      </c>
      <c r="BL11" s="780">
        <f t="shared" si="33"/>
        <v>1</v>
      </c>
      <c r="BM11" s="779">
        <f t="shared" si="25"/>
        <v>2</v>
      </c>
      <c r="BN11" s="779">
        <f t="shared" si="26"/>
        <v>3</v>
      </c>
      <c r="BO11" s="787">
        <v>0</v>
      </c>
      <c r="BP11" s="788" t="s">
        <v>465</v>
      </c>
    </row>
    <row r="12" spans="2:73" s="731" customFormat="1" ht="12.95" customHeight="1" x14ac:dyDescent="0.25">
      <c r="B12" s="783">
        <f>IF(ISNA(Z12),"",IF(OR(Z12=1,Z12=2),"    ",MAX($B$9:B11)+1))</f>
        <v>3</v>
      </c>
      <c r="C12" s="1116" t="str">
        <f t="shared" si="0"/>
        <v xml:space="preserve">      - Logical Chain of Reasoning (12.0%)</v>
      </c>
      <c r="D12" s="1116"/>
      <c r="E12" s="1116"/>
      <c r="F12" s="1117"/>
      <c r="G12" s="763">
        <f t="shared" si="1"/>
        <v>1</v>
      </c>
      <c r="H12" s="764" t="str">
        <f t="shared" si="2"/>
        <v>2*</v>
      </c>
      <c r="I12" s="784">
        <f t="shared" si="2"/>
        <v>3</v>
      </c>
      <c r="J12" s="789"/>
      <c r="K12" s="786"/>
      <c r="L12" s="1134"/>
      <c r="M12" s="1135"/>
      <c r="N12" s="1135"/>
      <c r="O12" s="1135"/>
      <c r="P12" s="1135"/>
      <c r="Q12" s="1135"/>
      <c r="R12" s="1136"/>
      <c r="T12" s="727">
        <v>4</v>
      </c>
      <c r="U12" s="716" t="s">
        <v>969</v>
      </c>
      <c r="V12" s="768">
        <v>1</v>
      </c>
      <c r="W12" s="768">
        <v>4</v>
      </c>
      <c r="X12" s="768" t="s">
        <v>340</v>
      </c>
      <c r="Y12" s="768" t="s">
        <v>340</v>
      </c>
      <c r="Z12" s="777" t="s">
        <v>340</v>
      </c>
      <c r="AA12" s="777">
        <v>2</v>
      </c>
      <c r="AB12" s="777">
        <v>1</v>
      </c>
      <c r="AC12" s="768">
        <v>3</v>
      </c>
      <c r="AD12" s="768">
        <v>2</v>
      </c>
      <c r="AE12" s="768">
        <v>1</v>
      </c>
      <c r="AF12" s="768" t="b">
        <v>1</v>
      </c>
      <c r="AG12" s="768">
        <f t="shared" si="3"/>
        <v>2</v>
      </c>
      <c r="AH12" s="768">
        <f t="shared" si="4"/>
        <v>1</v>
      </c>
      <c r="AI12" s="769">
        <f>IF(NOT(OR(Z12=1,Z12=2)),IF(AQ12&gt;0,$AR$45*AQ12/SUMIF($AQ$9:$AQ$40,"&gt;0"),IF(AU12&gt;0,$AV$45*AU12/SUMIF($AU$9:$AU$40,"&gt;0"),IF(AS12&gt;0,$AT$45*AS12/SUMIF($AS$9:$AS$40,"&gt;0"),""))),IF(SUMIF(AJ13:$AJ$40,"=" &amp; AJ12,AI13:$AI$40)=0,"",SUMIF(AJ13:$AJ$40,"=" &amp; AJ12,AI13:$AI$40)))</f>
        <v>0.1200000038640001</v>
      </c>
      <c r="AJ12" s="770">
        <f t="shared" si="34"/>
        <v>0</v>
      </c>
      <c r="AK12" s="768">
        <f t="shared" si="27"/>
        <v>2</v>
      </c>
      <c r="AL12" s="777" t="str">
        <f t="shared" si="28"/>
        <v/>
      </c>
      <c r="AM12" s="777" t="str">
        <f t="shared" si="35"/>
        <v/>
      </c>
      <c r="AN12" s="777" t="str">
        <f t="shared" si="5"/>
        <v/>
      </c>
      <c r="AO12" s="777" t="str">
        <f t="shared" si="6"/>
        <v/>
      </c>
      <c r="AP12" s="768" t="b">
        <f t="shared" si="7"/>
        <v>1</v>
      </c>
      <c r="AQ12" s="771">
        <f t="shared" si="29"/>
        <v>4</v>
      </c>
      <c r="AR12" s="772" t="str">
        <f t="shared" si="8"/>
        <v/>
      </c>
      <c r="AS12" s="773">
        <f t="shared" si="30"/>
        <v>0</v>
      </c>
      <c r="AT12" s="772" t="str">
        <f t="shared" si="9"/>
        <v/>
      </c>
      <c r="AU12" s="774">
        <f t="shared" si="10"/>
        <v>0</v>
      </c>
      <c r="AV12" s="775" t="str">
        <f t="shared" si="11"/>
        <v/>
      </c>
      <c r="AW12" s="774" t="b">
        <f t="shared" si="12"/>
        <v>0</v>
      </c>
      <c r="AX12" s="776" t="b">
        <f t="shared" si="13"/>
        <v>1</v>
      </c>
      <c r="AY12" s="774" t="b">
        <f t="shared" si="14"/>
        <v>0</v>
      </c>
      <c r="AZ12" s="776" t="b">
        <f t="shared" si="15"/>
        <v>0</v>
      </c>
      <c r="BA12" s="768" t="b">
        <f t="shared" si="16"/>
        <v>0</v>
      </c>
      <c r="BB12" s="768" t="b">
        <f t="shared" si="17"/>
        <v>0</v>
      </c>
      <c r="BC12" s="774" t="b">
        <f t="shared" si="18"/>
        <v>0</v>
      </c>
      <c r="BD12" s="777" t="b">
        <f t="shared" si="31"/>
        <v>0</v>
      </c>
      <c r="BE12" s="776" t="b">
        <f t="shared" si="19"/>
        <v>0</v>
      </c>
      <c r="BF12" s="778" t="b">
        <f t="shared" si="20"/>
        <v>0</v>
      </c>
      <c r="BG12" s="779" t="b">
        <f t="shared" si="21"/>
        <v>1</v>
      </c>
      <c r="BH12" s="779">
        <f t="shared" si="32"/>
        <v>1</v>
      </c>
      <c r="BI12" s="779">
        <f t="shared" si="22"/>
        <v>2</v>
      </c>
      <c r="BJ12" s="779" t="str">
        <f t="shared" si="23"/>
        <v>2*</v>
      </c>
      <c r="BK12" s="779">
        <f t="shared" si="24"/>
        <v>3</v>
      </c>
      <c r="BL12" s="780">
        <f t="shared" si="33"/>
        <v>1</v>
      </c>
      <c r="BM12" s="779">
        <f t="shared" si="25"/>
        <v>2</v>
      </c>
      <c r="BN12" s="779">
        <f t="shared" si="26"/>
        <v>3</v>
      </c>
      <c r="BO12" s="787">
        <v>1</v>
      </c>
      <c r="BP12" s="788" t="s">
        <v>467</v>
      </c>
    </row>
    <row r="13" spans="2:73" s="731" customFormat="1" ht="12.95" customHeight="1" x14ac:dyDescent="0.25">
      <c r="B13" s="783" t="str">
        <f>IF(ISNA(Z13),"",IF(OR(Z13=1,Z13=2),"    ",MAX($B$9:B12)+1))</f>
        <v xml:space="preserve">    </v>
      </c>
      <c r="C13" s="1116" t="str">
        <f t="shared" si="0"/>
        <v>Content &amp; Analysis (40.0%)</v>
      </c>
      <c r="D13" s="1116"/>
      <c r="E13" s="1116"/>
      <c r="F13" s="1117"/>
      <c r="G13" s="763" t="str">
        <f t="shared" si="1"/>
        <v/>
      </c>
      <c r="H13" s="764" t="str">
        <f t="shared" si="2"/>
        <v/>
      </c>
      <c r="I13" s="784" t="str">
        <f t="shared" si="2"/>
        <v/>
      </c>
      <c r="J13" s="793"/>
      <c r="K13" s="794"/>
      <c r="L13" s="1134"/>
      <c r="M13" s="1135"/>
      <c r="N13" s="1135"/>
      <c r="O13" s="1135"/>
      <c r="P13" s="1135"/>
      <c r="Q13" s="1135"/>
      <c r="R13" s="1136"/>
      <c r="T13" s="727">
        <v>5</v>
      </c>
      <c r="U13" s="716" t="s">
        <v>1007</v>
      </c>
      <c r="V13" s="768" t="s">
        <v>340</v>
      </c>
      <c r="W13" s="768" t="s">
        <v>340</v>
      </c>
      <c r="X13" s="768" t="s">
        <v>340</v>
      </c>
      <c r="Y13" s="768" t="s">
        <v>340</v>
      </c>
      <c r="Z13" s="777">
        <v>2</v>
      </c>
      <c r="AA13" s="777">
        <v>1</v>
      </c>
      <c r="AB13" s="777">
        <v>1</v>
      </c>
      <c r="AC13" s="768" t="s">
        <v>340</v>
      </c>
      <c r="AD13" s="768" t="s">
        <v>340</v>
      </c>
      <c r="AE13" s="768" t="s">
        <v>340</v>
      </c>
      <c r="AF13" s="768" t="s">
        <v>340</v>
      </c>
      <c r="AG13" s="768" t="str">
        <f t="shared" si="3"/>
        <v/>
      </c>
      <c r="AH13" s="768" t="str">
        <f t="shared" si="4"/>
        <v/>
      </c>
      <c r="AI13" s="769">
        <f>IF(NOT(OR(Z13=1,Z13=2)),IF(AQ13&gt;0,$AR$45*AQ13/SUMIF($AQ$9:$AQ$40,"&gt;0"),IF(AU13&gt;0,$AV$45*AU13/SUMIF($AU$9:$AU$40,"&gt;0"),IF(AS13&gt;0,$AT$45*AS13/SUMIF($AS$9:$AS$40,"&gt;0"),""))),IF(SUMIF(AJ14:$AJ$40,"=" &amp; AJ13,AI14:$AI$40)=0,"",SUMIF(AJ14:$AJ$40,"=" &amp; AJ13,AI14:$AI$40)))</f>
        <v>0.40000001188000028</v>
      </c>
      <c r="AJ13" s="770">
        <f t="shared" si="34"/>
        <v>1</v>
      </c>
      <c r="AK13" s="768" t="str">
        <f t="shared" si="27"/>
        <v/>
      </c>
      <c r="AL13" s="777" t="str">
        <f t="shared" si="28"/>
        <v/>
      </c>
      <c r="AM13" s="777" t="str">
        <f t="shared" si="35"/>
        <v/>
      </c>
      <c r="AN13" s="777" t="str">
        <f t="shared" si="5"/>
        <v/>
      </c>
      <c r="AO13" s="777" t="str">
        <f t="shared" si="6"/>
        <v/>
      </c>
      <c r="AP13" s="768" t="str">
        <f t="shared" si="7"/>
        <v/>
      </c>
      <c r="AQ13" s="771">
        <f t="shared" si="29"/>
        <v>0</v>
      </c>
      <c r="AR13" s="772" t="str">
        <f t="shared" si="8"/>
        <v/>
      </c>
      <c r="AS13" s="773">
        <f t="shared" si="30"/>
        <v>0</v>
      </c>
      <c r="AT13" s="772" t="str">
        <f t="shared" si="9"/>
        <v/>
      </c>
      <c r="AU13" s="774">
        <f t="shared" si="10"/>
        <v>0</v>
      </c>
      <c r="AV13" s="775" t="str">
        <f t="shared" si="11"/>
        <v/>
      </c>
      <c r="AW13" s="774" t="b">
        <f t="shared" si="12"/>
        <v>0</v>
      </c>
      <c r="AX13" s="776" t="b">
        <f t="shared" si="13"/>
        <v>0</v>
      </c>
      <c r="AY13" s="774" t="b">
        <f t="shared" si="14"/>
        <v>0</v>
      </c>
      <c r="AZ13" s="776" t="b">
        <f t="shared" si="15"/>
        <v>0</v>
      </c>
      <c r="BA13" s="768" t="b">
        <f t="shared" si="16"/>
        <v>0</v>
      </c>
      <c r="BB13" s="768" t="b">
        <f t="shared" si="17"/>
        <v>0</v>
      </c>
      <c r="BC13" s="774" t="b">
        <f t="shared" si="18"/>
        <v>0</v>
      </c>
      <c r="BD13" s="777" t="b">
        <f t="shared" si="31"/>
        <v>0</v>
      </c>
      <c r="BE13" s="776" t="b">
        <f t="shared" si="19"/>
        <v>0</v>
      </c>
      <c r="BF13" s="778" t="b">
        <f t="shared" si="20"/>
        <v>0</v>
      </c>
      <c r="BG13" s="779" t="b">
        <f t="shared" si="21"/>
        <v>0</v>
      </c>
      <c r="BH13" s="779" t="str">
        <f t="shared" si="32"/>
        <v/>
      </c>
      <c r="BI13" s="779" t="str">
        <f t="shared" si="22"/>
        <v/>
      </c>
      <c r="BJ13" s="779" t="str">
        <f t="shared" si="23"/>
        <v/>
      </c>
      <c r="BK13" s="779" t="str">
        <f t="shared" si="24"/>
        <v/>
      </c>
      <c r="BL13" s="780" t="str">
        <f t="shared" si="33"/>
        <v/>
      </c>
      <c r="BM13" s="779" t="str">
        <f t="shared" si="25"/>
        <v/>
      </c>
      <c r="BN13" s="779" t="str">
        <f t="shared" si="26"/>
        <v/>
      </c>
      <c r="BO13" s="787">
        <v>2</v>
      </c>
      <c r="BP13" s="788" t="s">
        <v>350</v>
      </c>
    </row>
    <row r="14" spans="2:73" s="731" customFormat="1" ht="12.95" customHeight="1" x14ac:dyDescent="0.25">
      <c r="B14" s="783">
        <f>IF(ISNA(Z14),"",IF(OR(Z14=1,Z14=2),"    ",MAX($B$9:B13)+1))</f>
        <v>4</v>
      </c>
      <c r="C14" s="1116" t="str">
        <f t="shared" si="0"/>
        <v xml:space="preserve">      - Test Methods and Conditions (6.0%)</v>
      </c>
      <c r="D14" s="1116"/>
      <c r="E14" s="1116"/>
      <c r="F14" s="1117"/>
      <c r="G14" s="763">
        <f t="shared" si="1"/>
        <v>1</v>
      </c>
      <c r="H14" s="764" t="str">
        <f t="shared" si="2"/>
        <v>2*</v>
      </c>
      <c r="I14" s="784">
        <f t="shared" si="2"/>
        <v>3</v>
      </c>
      <c r="J14" s="789"/>
      <c r="K14" s="786"/>
      <c r="L14" s="1134"/>
      <c r="M14" s="1135"/>
      <c r="N14" s="1135"/>
      <c r="O14" s="1135"/>
      <c r="P14" s="1135"/>
      <c r="Q14" s="1135"/>
      <c r="R14" s="1136"/>
      <c r="T14" s="727">
        <v>6</v>
      </c>
      <c r="U14" s="716" t="s">
        <v>984</v>
      </c>
      <c r="V14" s="768">
        <v>1</v>
      </c>
      <c r="W14" s="768">
        <v>2</v>
      </c>
      <c r="X14" s="768" t="s">
        <v>340</v>
      </c>
      <c r="Y14" s="768" t="s">
        <v>340</v>
      </c>
      <c r="Z14" s="777" t="s">
        <v>340</v>
      </c>
      <c r="AA14" s="777">
        <v>2</v>
      </c>
      <c r="AB14" s="777">
        <v>1</v>
      </c>
      <c r="AC14" s="768">
        <v>3</v>
      </c>
      <c r="AD14" s="768">
        <v>2</v>
      </c>
      <c r="AE14" s="768">
        <v>1</v>
      </c>
      <c r="AF14" s="768" t="b">
        <v>1</v>
      </c>
      <c r="AG14" s="768">
        <f t="shared" si="3"/>
        <v>2</v>
      </c>
      <c r="AH14" s="768">
        <f t="shared" si="4"/>
        <v>1</v>
      </c>
      <c r="AI14" s="769">
        <f>IF(NOT(OR(Z14=1,Z14=2)),IF(AQ14&gt;0,$AR$45*AQ14/SUMIF($AQ$9:$AQ$40,"&gt;0"),IF(AU14&gt;0,$AV$45*AU14/SUMIF($AU$9:$AU$40,"&gt;0"),IF(AS14&gt;0,$AT$45*AS14/SUMIF($AS$9:$AS$40,"&gt;0"),""))),IF(SUMIF(AJ15:$AJ$40,"=" &amp; AJ14,AI15:$AI$40)=0,"",SUMIF(AJ15:$AJ$40,"=" &amp; AJ14,AI15:$AI$40)))</f>
        <v>6.0000001932000051E-2</v>
      </c>
      <c r="AJ14" s="770">
        <f t="shared" si="34"/>
        <v>1</v>
      </c>
      <c r="AK14" s="768">
        <f t="shared" si="27"/>
        <v>2</v>
      </c>
      <c r="AL14" s="777" t="str">
        <f t="shared" si="28"/>
        <v/>
      </c>
      <c r="AM14" s="777" t="str">
        <f t="shared" si="35"/>
        <v/>
      </c>
      <c r="AN14" s="777" t="str">
        <f t="shared" si="5"/>
        <v/>
      </c>
      <c r="AO14" s="777" t="str">
        <f t="shared" si="6"/>
        <v/>
      </c>
      <c r="AP14" s="768" t="b">
        <f t="shared" si="7"/>
        <v>1</v>
      </c>
      <c r="AQ14" s="771">
        <f t="shared" si="29"/>
        <v>2</v>
      </c>
      <c r="AR14" s="772" t="str">
        <f t="shared" si="8"/>
        <v/>
      </c>
      <c r="AS14" s="773">
        <f t="shared" si="30"/>
        <v>0</v>
      </c>
      <c r="AT14" s="772" t="str">
        <f t="shared" si="9"/>
        <v/>
      </c>
      <c r="AU14" s="774">
        <f t="shared" si="10"/>
        <v>0</v>
      </c>
      <c r="AV14" s="775" t="str">
        <f t="shared" si="11"/>
        <v/>
      </c>
      <c r="AW14" s="774" t="b">
        <f t="shared" si="12"/>
        <v>0</v>
      </c>
      <c r="AX14" s="776" t="b">
        <f t="shared" si="13"/>
        <v>1</v>
      </c>
      <c r="AY14" s="774" t="b">
        <f t="shared" si="14"/>
        <v>0</v>
      </c>
      <c r="AZ14" s="776" t="b">
        <f t="shared" si="15"/>
        <v>0</v>
      </c>
      <c r="BA14" s="768" t="b">
        <f t="shared" si="16"/>
        <v>0</v>
      </c>
      <c r="BB14" s="768" t="b">
        <f t="shared" si="17"/>
        <v>0</v>
      </c>
      <c r="BC14" s="774" t="b">
        <f t="shared" si="18"/>
        <v>0</v>
      </c>
      <c r="BD14" s="777" t="b">
        <f t="shared" si="31"/>
        <v>0</v>
      </c>
      <c r="BE14" s="776" t="b">
        <f t="shared" si="19"/>
        <v>0</v>
      </c>
      <c r="BF14" s="778" t="b">
        <f t="shared" si="20"/>
        <v>0</v>
      </c>
      <c r="BG14" s="779" t="b">
        <f t="shared" si="21"/>
        <v>1</v>
      </c>
      <c r="BH14" s="779">
        <f t="shared" si="32"/>
        <v>1</v>
      </c>
      <c r="BI14" s="779">
        <f t="shared" si="22"/>
        <v>2</v>
      </c>
      <c r="BJ14" s="779" t="str">
        <f t="shared" si="23"/>
        <v>2*</v>
      </c>
      <c r="BK14" s="779">
        <f t="shared" si="24"/>
        <v>3</v>
      </c>
      <c r="BL14" s="780">
        <f t="shared" si="33"/>
        <v>1</v>
      </c>
      <c r="BM14" s="779">
        <f t="shared" si="25"/>
        <v>2</v>
      </c>
      <c r="BN14" s="779">
        <f t="shared" si="26"/>
        <v>3</v>
      </c>
      <c r="BO14" s="787">
        <v>3</v>
      </c>
      <c r="BP14" s="788" t="s">
        <v>352</v>
      </c>
    </row>
    <row r="15" spans="2:73" s="731" customFormat="1" ht="12.95" customHeight="1" x14ac:dyDescent="0.25">
      <c r="B15" s="783">
        <f>IF(ISNA(Z15),"",IF(OR(Z15=1,Z15=2),"    ",MAX($B$9:B14)+1))</f>
        <v>5</v>
      </c>
      <c r="C15" s="1116" t="str">
        <f t="shared" si="0"/>
        <v xml:space="preserve">      - Objective Results (12.0%)</v>
      </c>
      <c r="D15" s="1116"/>
      <c r="E15" s="1116"/>
      <c r="F15" s="1117"/>
      <c r="G15" s="763">
        <f t="shared" si="1"/>
        <v>1</v>
      </c>
      <c r="H15" s="764" t="str">
        <f t="shared" si="2"/>
        <v>2*</v>
      </c>
      <c r="I15" s="784">
        <f t="shared" si="2"/>
        <v>3</v>
      </c>
      <c r="J15" s="789"/>
      <c r="K15" s="786"/>
      <c r="L15" s="1134"/>
      <c r="M15" s="1135"/>
      <c r="N15" s="1135"/>
      <c r="O15" s="1135"/>
      <c r="P15" s="1135"/>
      <c r="Q15" s="1135"/>
      <c r="R15" s="1136"/>
      <c r="T15" s="727">
        <v>7</v>
      </c>
      <c r="U15" s="716" t="s">
        <v>985</v>
      </c>
      <c r="V15" s="768">
        <v>1</v>
      </c>
      <c r="W15" s="768">
        <v>4</v>
      </c>
      <c r="X15" s="768" t="s">
        <v>340</v>
      </c>
      <c r="Y15" s="768" t="s">
        <v>340</v>
      </c>
      <c r="Z15" s="777" t="s">
        <v>340</v>
      </c>
      <c r="AA15" s="777">
        <v>2</v>
      </c>
      <c r="AB15" s="777">
        <v>1</v>
      </c>
      <c r="AC15" s="768">
        <v>3</v>
      </c>
      <c r="AD15" s="768">
        <v>2</v>
      </c>
      <c r="AE15" s="768">
        <v>1</v>
      </c>
      <c r="AF15" s="768" t="b">
        <v>1</v>
      </c>
      <c r="AG15" s="768">
        <f t="shared" si="3"/>
        <v>2</v>
      </c>
      <c r="AH15" s="768">
        <f t="shared" si="4"/>
        <v>1</v>
      </c>
      <c r="AI15" s="769">
        <f>IF(NOT(OR(Z15=1,Z15=2)),IF(AQ15&gt;0,$AR$45*AQ15/SUMIF($AQ$9:$AQ$40,"&gt;0"),IF(AU15&gt;0,$AV$45*AU15/SUMIF($AU$9:$AU$40,"&gt;0"),IF(AS15&gt;0,$AT$45*AS15/SUMIF($AS$9:$AS$40,"&gt;0"),""))),IF(SUMIF(AJ16:$AJ$40,"=" &amp; AJ15,AI16:$AI$40)=0,"",SUMIF(AJ16:$AJ$40,"=" &amp; AJ15,AI16:$AI$40)))</f>
        <v>0.1200000038640001</v>
      </c>
      <c r="AJ15" s="770">
        <f t="shared" si="34"/>
        <v>1</v>
      </c>
      <c r="AK15" s="768">
        <f t="shared" si="27"/>
        <v>2</v>
      </c>
      <c r="AL15" s="777" t="str">
        <f t="shared" si="28"/>
        <v/>
      </c>
      <c r="AM15" s="777" t="str">
        <f t="shared" si="35"/>
        <v/>
      </c>
      <c r="AN15" s="777" t="str">
        <f t="shared" si="5"/>
        <v/>
      </c>
      <c r="AO15" s="777" t="str">
        <f t="shared" si="6"/>
        <v/>
      </c>
      <c r="AP15" s="768" t="b">
        <f t="shared" si="7"/>
        <v>1</v>
      </c>
      <c r="AQ15" s="771">
        <f t="shared" si="29"/>
        <v>4</v>
      </c>
      <c r="AR15" s="772" t="str">
        <f t="shared" si="8"/>
        <v/>
      </c>
      <c r="AS15" s="773">
        <f t="shared" si="30"/>
        <v>0</v>
      </c>
      <c r="AT15" s="772" t="str">
        <f t="shared" si="9"/>
        <v/>
      </c>
      <c r="AU15" s="774">
        <f t="shared" si="10"/>
        <v>0</v>
      </c>
      <c r="AV15" s="775" t="str">
        <f t="shared" si="11"/>
        <v/>
      </c>
      <c r="AW15" s="774" t="b">
        <f t="shared" si="12"/>
        <v>0</v>
      </c>
      <c r="AX15" s="776" t="b">
        <f t="shared" si="13"/>
        <v>1</v>
      </c>
      <c r="AY15" s="774" t="b">
        <f t="shared" si="14"/>
        <v>0</v>
      </c>
      <c r="AZ15" s="776" t="b">
        <f t="shared" si="15"/>
        <v>0</v>
      </c>
      <c r="BA15" s="768" t="b">
        <f t="shared" si="16"/>
        <v>0</v>
      </c>
      <c r="BB15" s="768" t="b">
        <f t="shared" si="17"/>
        <v>0</v>
      </c>
      <c r="BC15" s="774" t="b">
        <f t="shared" si="18"/>
        <v>0</v>
      </c>
      <c r="BD15" s="777" t="b">
        <f t="shared" si="31"/>
        <v>0</v>
      </c>
      <c r="BE15" s="776" t="b">
        <f t="shared" si="19"/>
        <v>0</v>
      </c>
      <c r="BF15" s="778" t="b">
        <f t="shared" si="20"/>
        <v>0</v>
      </c>
      <c r="BG15" s="779" t="b">
        <f t="shared" si="21"/>
        <v>1</v>
      </c>
      <c r="BH15" s="779">
        <f t="shared" si="32"/>
        <v>1</v>
      </c>
      <c r="BI15" s="779">
        <f t="shared" si="22"/>
        <v>2</v>
      </c>
      <c r="BJ15" s="779" t="str">
        <f t="shared" si="23"/>
        <v>2*</v>
      </c>
      <c r="BK15" s="779">
        <f t="shared" si="24"/>
        <v>3</v>
      </c>
      <c r="BL15" s="780">
        <f t="shared" si="33"/>
        <v>1</v>
      </c>
      <c r="BM15" s="779">
        <f t="shared" si="25"/>
        <v>2</v>
      </c>
      <c r="BN15" s="779">
        <f t="shared" si="26"/>
        <v>3</v>
      </c>
      <c r="BO15" s="787">
        <v>4</v>
      </c>
      <c r="BP15" s="788" t="s">
        <v>354</v>
      </c>
    </row>
    <row r="16" spans="2:73" s="731" customFormat="1" ht="12.95" customHeight="1" x14ac:dyDescent="0.25">
      <c r="B16" s="783">
        <f>IF(ISNA(Z16),"",IF(OR(Z16=1,Z16=2),"    ",MAX($B$9:B15)+1))</f>
        <v>6</v>
      </c>
      <c r="C16" s="1116" t="str">
        <f t="shared" si="0"/>
        <v xml:space="preserve">      - Eng Analysis &amp; Oper. Impact (12.0%)</v>
      </c>
      <c r="D16" s="1116"/>
      <c r="E16" s="1116"/>
      <c r="F16" s="1117"/>
      <c r="G16" s="763">
        <f t="shared" si="1"/>
        <v>1</v>
      </c>
      <c r="H16" s="764" t="str">
        <f t="shared" si="2"/>
        <v>2*</v>
      </c>
      <c r="I16" s="784">
        <f t="shared" si="2"/>
        <v>3</v>
      </c>
      <c r="J16" s="789"/>
      <c r="K16" s="786"/>
      <c r="L16" s="1134"/>
      <c r="M16" s="1135"/>
      <c r="N16" s="1135"/>
      <c r="O16" s="1135"/>
      <c r="P16" s="1135"/>
      <c r="Q16" s="1135"/>
      <c r="R16" s="1136"/>
      <c r="T16" s="727">
        <v>8</v>
      </c>
      <c r="U16" s="716" t="s">
        <v>986</v>
      </c>
      <c r="V16" s="768">
        <v>1</v>
      </c>
      <c r="W16" s="768">
        <v>4</v>
      </c>
      <c r="X16" s="768" t="s">
        <v>340</v>
      </c>
      <c r="Y16" s="768" t="s">
        <v>340</v>
      </c>
      <c r="Z16" s="777" t="s">
        <v>340</v>
      </c>
      <c r="AA16" s="777">
        <v>2</v>
      </c>
      <c r="AB16" s="777">
        <v>1</v>
      </c>
      <c r="AC16" s="768">
        <v>3</v>
      </c>
      <c r="AD16" s="768">
        <v>2</v>
      </c>
      <c r="AE16" s="768">
        <v>1</v>
      </c>
      <c r="AF16" s="768" t="b">
        <v>1</v>
      </c>
      <c r="AG16" s="768">
        <f t="shared" si="3"/>
        <v>2</v>
      </c>
      <c r="AH16" s="768">
        <f t="shared" si="4"/>
        <v>1</v>
      </c>
      <c r="AI16" s="769">
        <f>IF(NOT(OR(Z16=1,Z16=2)),IF(AQ16&gt;0,$AR$45*AQ16/SUMIF($AQ$9:$AQ$40,"&gt;0"),IF(AU16&gt;0,$AV$45*AU16/SUMIF($AU$9:$AU$40,"&gt;0"),IF(AS16&gt;0,$AT$45*AS16/SUMIF($AS$9:$AS$40,"&gt;0"),""))),IF(SUMIF(AJ17:$AJ$40,"=" &amp; AJ16,AI17:$AI$40)=0,"",SUMIF(AJ17:$AJ$40,"=" &amp; AJ16,AI17:$AI$40)))</f>
        <v>0.1200000038640001</v>
      </c>
      <c r="AJ16" s="770">
        <f t="shared" si="34"/>
        <v>1</v>
      </c>
      <c r="AK16" s="768">
        <f t="shared" si="27"/>
        <v>2</v>
      </c>
      <c r="AL16" s="777" t="str">
        <f t="shared" si="28"/>
        <v/>
      </c>
      <c r="AM16" s="777" t="str">
        <f t="shared" si="35"/>
        <v/>
      </c>
      <c r="AN16" s="777" t="str">
        <f t="shared" si="5"/>
        <v/>
      </c>
      <c r="AO16" s="777" t="str">
        <f t="shared" si="6"/>
        <v/>
      </c>
      <c r="AP16" s="768" t="b">
        <f t="shared" si="7"/>
        <v>1</v>
      </c>
      <c r="AQ16" s="771">
        <f t="shared" si="29"/>
        <v>4</v>
      </c>
      <c r="AR16" s="772" t="str">
        <f t="shared" si="8"/>
        <v/>
      </c>
      <c r="AS16" s="773">
        <f t="shared" si="30"/>
        <v>0</v>
      </c>
      <c r="AT16" s="772" t="str">
        <f t="shared" si="9"/>
        <v/>
      </c>
      <c r="AU16" s="774">
        <f t="shared" si="10"/>
        <v>0</v>
      </c>
      <c r="AV16" s="775" t="str">
        <f t="shared" si="11"/>
        <v/>
      </c>
      <c r="AW16" s="774" t="b">
        <f t="shared" si="12"/>
        <v>0</v>
      </c>
      <c r="AX16" s="776" t="b">
        <f t="shared" si="13"/>
        <v>1</v>
      </c>
      <c r="AY16" s="774" t="b">
        <f t="shared" si="14"/>
        <v>0</v>
      </c>
      <c r="AZ16" s="776" t="b">
        <f t="shared" si="15"/>
        <v>0</v>
      </c>
      <c r="BA16" s="768" t="b">
        <f t="shared" si="16"/>
        <v>0</v>
      </c>
      <c r="BB16" s="768" t="b">
        <f t="shared" si="17"/>
        <v>0</v>
      </c>
      <c r="BC16" s="774" t="b">
        <f t="shared" si="18"/>
        <v>0</v>
      </c>
      <c r="BD16" s="777" t="b">
        <f t="shared" si="31"/>
        <v>0</v>
      </c>
      <c r="BE16" s="776" t="b">
        <f t="shared" si="19"/>
        <v>0</v>
      </c>
      <c r="BF16" s="778" t="b">
        <f t="shared" si="20"/>
        <v>0</v>
      </c>
      <c r="BG16" s="779" t="b">
        <f t="shared" si="21"/>
        <v>1</v>
      </c>
      <c r="BH16" s="779">
        <f t="shared" si="32"/>
        <v>1</v>
      </c>
      <c r="BI16" s="779">
        <f t="shared" si="22"/>
        <v>2</v>
      </c>
      <c r="BJ16" s="779" t="str">
        <f t="shared" si="23"/>
        <v>2*</v>
      </c>
      <c r="BK16" s="779">
        <f t="shared" si="24"/>
        <v>3</v>
      </c>
      <c r="BL16" s="780">
        <f t="shared" si="33"/>
        <v>1</v>
      </c>
      <c r="BM16" s="779">
        <f t="shared" si="25"/>
        <v>2</v>
      </c>
      <c r="BN16" s="779">
        <f t="shared" si="26"/>
        <v>3</v>
      </c>
      <c r="BO16" s="719"/>
    </row>
    <row r="17" spans="2:75" s="731" customFormat="1" ht="12.95" customHeight="1" x14ac:dyDescent="0.25">
      <c r="B17" s="783">
        <f>IF(ISNA(Z17),"",IF(OR(Z17=1,Z17=2),"    ",MAX($B$9:B16)+1))</f>
        <v>7</v>
      </c>
      <c r="C17" s="1116" t="str">
        <f t="shared" si="0"/>
        <v xml:space="preserve">      - Conclusions &amp; Recomm. (10.0%)</v>
      </c>
      <c r="D17" s="1116"/>
      <c r="E17" s="1116"/>
      <c r="F17" s="1117"/>
      <c r="G17" s="763">
        <f t="shared" si="1"/>
        <v>1</v>
      </c>
      <c r="H17" s="764" t="str">
        <f t="shared" si="2"/>
        <v>2*</v>
      </c>
      <c r="I17" s="784">
        <f t="shared" si="2"/>
        <v>3</v>
      </c>
      <c r="J17" s="789"/>
      <c r="K17" s="786"/>
      <c r="L17" s="1134"/>
      <c r="M17" s="1135"/>
      <c r="N17" s="1135"/>
      <c r="O17" s="1135"/>
      <c r="P17" s="1135"/>
      <c r="Q17" s="1135"/>
      <c r="R17" s="1136"/>
      <c r="T17" s="727">
        <v>9</v>
      </c>
      <c r="U17" s="716" t="s">
        <v>987</v>
      </c>
      <c r="V17" s="768">
        <v>1</v>
      </c>
      <c r="W17" s="768">
        <v>3.3333333000000001</v>
      </c>
      <c r="X17" s="768" t="s">
        <v>340</v>
      </c>
      <c r="Y17" s="768" t="s">
        <v>340</v>
      </c>
      <c r="Z17" s="777" t="s">
        <v>340</v>
      </c>
      <c r="AA17" s="777">
        <v>2</v>
      </c>
      <c r="AB17" s="777">
        <v>1</v>
      </c>
      <c r="AC17" s="768">
        <v>3</v>
      </c>
      <c r="AD17" s="768">
        <v>2</v>
      </c>
      <c r="AE17" s="768">
        <v>1</v>
      </c>
      <c r="AF17" s="768" t="b">
        <v>1</v>
      </c>
      <c r="AG17" s="768">
        <f t="shared" si="3"/>
        <v>2</v>
      </c>
      <c r="AH17" s="768">
        <f t="shared" si="4"/>
        <v>1</v>
      </c>
      <c r="AI17" s="769">
        <f>IF(NOT(OR(Z17=1,Z17=2)),IF(AQ17&gt;0,$AR$45*AQ17/SUMIF($AQ$9:$AQ$40,"&gt;0"),IF(AU17&gt;0,$AV$45*AU17/SUMIF($AU$9:$AU$40,"&gt;0"),IF(AS17&gt;0,$AT$45*AS17/SUMIF($AS$9:$AS$40,"&gt;0"),""))),IF(SUMIF(AJ18:$AJ$40,"=" &amp; AJ17,AI18:$AI$40)=0,"",SUMIF(AJ18:$AJ$40,"=" &amp; AJ17,AI18:$AI$40)))</f>
        <v>0.10000000222000005</v>
      </c>
      <c r="AJ17" s="770">
        <f t="shared" si="34"/>
        <v>1</v>
      </c>
      <c r="AK17" s="768">
        <f t="shared" si="27"/>
        <v>2</v>
      </c>
      <c r="AL17" s="777" t="str">
        <f t="shared" si="28"/>
        <v/>
      </c>
      <c r="AM17" s="777" t="str">
        <f t="shared" si="35"/>
        <v/>
      </c>
      <c r="AN17" s="777" t="str">
        <f t="shared" si="5"/>
        <v/>
      </c>
      <c r="AO17" s="777" t="str">
        <f t="shared" si="6"/>
        <v/>
      </c>
      <c r="AP17" s="768" t="b">
        <f t="shared" si="7"/>
        <v>1</v>
      </c>
      <c r="AQ17" s="771">
        <f t="shared" si="29"/>
        <v>3.3333333000000001</v>
      </c>
      <c r="AR17" s="772" t="str">
        <f t="shared" si="8"/>
        <v/>
      </c>
      <c r="AS17" s="773">
        <f t="shared" si="30"/>
        <v>0</v>
      </c>
      <c r="AT17" s="772" t="str">
        <f t="shared" si="9"/>
        <v/>
      </c>
      <c r="AU17" s="774">
        <f t="shared" si="10"/>
        <v>0</v>
      </c>
      <c r="AV17" s="775" t="str">
        <f t="shared" si="11"/>
        <v/>
      </c>
      <c r="AW17" s="774" t="b">
        <f t="shared" si="12"/>
        <v>0</v>
      </c>
      <c r="AX17" s="776" t="b">
        <f t="shared" si="13"/>
        <v>1</v>
      </c>
      <c r="AY17" s="774" t="b">
        <f t="shared" si="14"/>
        <v>0</v>
      </c>
      <c r="AZ17" s="776" t="b">
        <f t="shared" si="15"/>
        <v>0</v>
      </c>
      <c r="BA17" s="768" t="b">
        <f t="shared" si="16"/>
        <v>0</v>
      </c>
      <c r="BB17" s="768" t="b">
        <f t="shared" si="17"/>
        <v>0</v>
      </c>
      <c r="BC17" s="774" t="b">
        <f t="shared" si="18"/>
        <v>0</v>
      </c>
      <c r="BD17" s="777" t="b">
        <f t="shared" si="31"/>
        <v>0</v>
      </c>
      <c r="BE17" s="776" t="b">
        <f t="shared" si="19"/>
        <v>0</v>
      </c>
      <c r="BF17" s="778" t="b">
        <f t="shared" si="20"/>
        <v>0</v>
      </c>
      <c r="BG17" s="779" t="b">
        <f t="shared" si="21"/>
        <v>1</v>
      </c>
      <c r="BH17" s="779">
        <f t="shared" si="32"/>
        <v>1</v>
      </c>
      <c r="BI17" s="779">
        <f t="shared" si="22"/>
        <v>2</v>
      </c>
      <c r="BJ17" s="779" t="str">
        <f t="shared" si="23"/>
        <v>2*</v>
      </c>
      <c r="BK17" s="779">
        <f t="shared" si="24"/>
        <v>3</v>
      </c>
      <c r="BL17" s="780">
        <f t="shared" si="33"/>
        <v>1</v>
      </c>
      <c r="BM17" s="779">
        <f t="shared" si="25"/>
        <v>2</v>
      </c>
      <c r="BN17" s="779">
        <f t="shared" si="26"/>
        <v>3</v>
      </c>
      <c r="BO17" s="787"/>
      <c r="BP17" s="790"/>
    </row>
    <row r="18" spans="2:75" s="731" customFormat="1" ht="12.95" customHeight="1" x14ac:dyDescent="0.25">
      <c r="B18" s="783" t="str">
        <f>IF(ISNA(Z18),"",IF(OR(Z18=1,Z18=2),"    ",MAX($B$9:B17)+1))</f>
        <v xml:space="preserve">    </v>
      </c>
      <c r="C18" s="1116" t="str">
        <f t="shared" si="0"/>
        <v>Clarity &amp; Precision (Mechanics) (10.0%)</v>
      </c>
      <c r="D18" s="1116"/>
      <c r="E18" s="1116"/>
      <c r="F18" s="1117"/>
      <c r="G18" s="763" t="str">
        <f t="shared" si="1"/>
        <v/>
      </c>
      <c r="H18" s="764" t="str">
        <f t="shared" si="2"/>
        <v/>
      </c>
      <c r="I18" s="784" t="str">
        <f t="shared" si="2"/>
        <v/>
      </c>
      <c r="J18" s="793"/>
      <c r="K18" s="794"/>
      <c r="L18" s="1134"/>
      <c r="M18" s="1135"/>
      <c r="N18" s="1135"/>
      <c r="O18" s="1135"/>
      <c r="P18" s="1135"/>
      <c r="Q18" s="1135"/>
      <c r="R18" s="1136"/>
      <c r="T18" s="727">
        <v>10</v>
      </c>
      <c r="U18" s="716" t="s">
        <v>970</v>
      </c>
      <c r="V18" s="768" t="s">
        <v>340</v>
      </c>
      <c r="W18" s="768" t="s">
        <v>340</v>
      </c>
      <c r="X18" s="768" t="s">
        <v>340</v>
      </c>
      <c r="Y18" s="768" t="s">
        <v>340</v>
      </c>
      <c r="Z18" s="777">
        <v>2</v>
      </c>
      <c r="AA18" s="777">
        <v>1</v>
      </c>
      <c r="AB18" s="777">
        <v>1</v>
      </c>
      <c r="AC18" s="768" t="s">
        <v>340</v>
      </c>
      <c r="AD18" s="768" t="s">
        <v>340</v>
      </c>
      <c r="AE18" s="768" t="s">
        <v>340</v>
      </c>
      <c r="AF18" s="768" t="s">
        <v>340</v>
      </c>
      <c r="AG18" s="768" t="str">
        <f t="shared" si="3"/>
        <v/>
      </c>
      <c r="AH18" s="768" t="str">
        <f t="shared" si="4"/>
        <v/>
      </c>
      <c r="AI18" s="769">
        <f>IF(NOT(OR(Z18=1,Z18=2)),IF(AQ18&gt;0,$AR$45*AQ18/SUMIF($AQ$9:$AQ$40,"&gt;0"),IF(AU18&gt;0,$AV$45*AU18/SUMIF($AU$9:$AU$40,"&gt;0"),IF(AS18&gt;0,$AT$45*AS18/SUMIF($AS$9:$AS$40,"&gt;0"),""))),IF(SUMIF(AJ19:$AJ$40,"=" &amp; AJ18,AI19:$AI$40)=0,"",SUMIF(AJ19:$AJ$40,"=" &amp; AJ18,AI19:$AI$40)))</f>
        <v>0.10000000222000006</v>
      </c>
      <c r="AJ18" s="770">
        <f t="shared" si="34"/>
        <v>2</v>
      </c>
      <c r="AK18" s="768" t="str">
        <f t="shared" si="27"/>
        <v/>
      </c>
      <c r="AL18" s="777" t="str">
        <f t="shared" si="28"/>
        <v/>
      </c>
      <c r="AM18" s="777" t="str">
        <f t="shared" si="35"/>
        <v/>
      </c>
      <c r="AN18" s="777" t="str">
        <f t="shared" si="5"/>
        <v/>
      </c>
      <c r="AO18" s="777" t="str">
        <f t="shared" si="6"/>
        <v/>
      </c>
      <c r="AP18" s="768" t="str">
        <f t="shared" si="7"/>
        <v/>
      </c>
      <c r="AQ18" s="771">
        <f t="shared" si="29"/>
        <v>0</v>
      </c>
      <c r="AR18" s="772" t="str">
        <f t="shared" si="8"/>
        <v/>
      </c>
      <c r="AS18" s="773">
        <f t="shared" si="30"/>
        <v>0</v>
      </c>
      <c r="AT18" s="772" t="str">
        <f t="shared" si="9"/>
        <v/>
      </c>
      <c r="AU18" s="774">
        <f t="shared" si="10"/>
        <v>0</v>
      </c>
      <c r="AV18" s="775" t="str">
        <f t="shared" si="11"/>
        <v/>
      </c>
      <c r="AW18" s="774" t="b">
        <f t="shared" si="12"/>
        <v>0</v>
      </c>
      <c r="AX18" s="776" t="b">
        <f t="shared" si="13"/>
        <v>0</v>
      </c>
      <c r="AY18" s="774" t="b">
        <f t="shared" si="14"/>
        <v>0</v>
      </c>
      <c r="AZ18" s="776" t="b">
        <f t="shared" si="15"/>
        <v>0</v>
      </c>
      <c r="BA18" s="768" t="b">
        <f t="shared" si="16"/>
        <v>0</v>
      </c>
      <c r="BB18" s="768" t="b">
        <f t="shared" si="17"/>
        <v>0</v>
      </c>
      <c r="BC18" s="774" t="b">
        <f t="shared" si="18"/>
        <v>0</v>
      </c>
      <c r="BD18" s="777" t="b">
        <f t="shared" si="31"/>
        <v>0</v>
      </c>
      <c r="BE18" s="776" t="b">
        <f t="shared" si="19"/>
        <v>0</v>
      </c>
      <c r="BF18" s="778" t="b">
        <f t="shared" si="20"/>
        <v>0</v>
      </c>
      <c r="BG18" s="779" t="b">
        <f t="shared" si="21"/>
        <v>0</v>
      </c>
      <c r="BH18" s="779" t="str">
        <f t="shared" si="32"/>
        <v/>
      </c>
      <c r="BI18" s="779" t="str">
        <f t="shared" si="22"/>
        <v/>
      </c>
      <c r="BJ18" s="779" t="str">
        <f t="shared" si="23"/>
        <v/>
      </c>
      <c r="BK18" s="779" t="str">
        <f t="shared" si="24"/>
        <v/>
      </c>
      <c r="BL18" s="780" t="str">
        <f t="shared" si="33"/>
        <v/>
      </c>
      <c r="BM18" s="779" t="str">
        <f t="shared" si="25"/>
        <v/>
      </c>
      <c r="BN18" s="779" t="str">
        <f t="shared" si="26"/>
        <v/>
      </c>
      <c r="BO18" s="719"/>
    </row>
    <row r="19" spans="2:75" s="731" customFormat="1" ht="12.95" customHeight="1" x14ac:dyDescent="0.25">
      <c r="B19" s="783">
        <f>IF(ISNA(Z19),"",IF(OR(Z19=1,Z19=2),"    ",MAX($B$9:B18)+1))</f>
        <v>8</v>
      </c>
      <c r="C19" s="1116" t="str">
        <f t="shared" si="0"/>
        <v xml:space="preserve">      - Grammar &amp; Syntax (4.0%)</v>
      </c>
      <c r="D19" s="1116"/>
      <c r="E19" s="1116"/>
      <c r="F19" s="1117"/>
      <c r="G19" s="763">
        <f t="shared" si="1"/>
        <v>1</v>
      </c>
      <c r="H19" s="764" t="str">
        <f t="shared" si="2"/>
        <v>2*</v>
      </c>
      <c r="I19" s="784">
        <f t="shared" si="2"/>
        <v>3</v>
      </c>
      <c r="J19" s="789"/>
      <c r="K19" s="786"/>
      <c r="L19" s="1134"/>
      <c r="M19" s="1135"/>
      <c r="N19" s="1135"/>
      <c r="O19" s="1135"/>
      <c r="P19" s="1135"/>
      <c r="Q19" s="1135"/>
      <c r="R19" s="1136"/>
      <c r="T19" s="727">
        <v>11</v>
      </c>
      <c r="U19" s="716" t="s">
        <v>971</v>
      </c>
      <c r="V19" s="768">
        <v>1</v>
      </c>
      <c r="W19" s="768">
        <v>1.3333333000000001</v>
      </c>
      <c r="X19" s="768" t="s">
        <v>340</v>
      </c>
      <c r="Y19" s="768" t="s">
        <v>340</v>
      </c>
      <c r="Z19" s="777" t="s">
        <v>340</v>
      </c>
      <c r="AA19" s="777">
        <v>2</v>
      </c>
      <c r="AB19" s="777">
        <v>1</v>
      </c>
      <c r="AC19" s="768">
        <v>3</v>
      </c>
      <c r="AD19" s="768">
        <v>2</v>
      </c>
      <c r="AE19" s="768">
        <v>1</v>
      </c>
      <c r="AF19" s="768" t="b">
        <v>1</v>
      </c>
      <c r="AG19" s="768">
        <f t="shared" si="3"/>
        <v>2</v>
      </c>
      <c r="AH19" s="768">
        <f t="shared" si="4"/>
        <v>1</v>
      </c>
      <c r="AI19" s="769">
        <f>IF(NOT(OR(Z19=1,Z19=2)),IF(AQ19&gt;0,$AR$45*AQ19/SUMIF($AQ$9:$AQ$40,"&gt;0"),IF(AU19&gt;0,$AV$45*AU19/SUMIF($AU$9:$AU$40,"&gt;0"),IF(AS19&gt;0,$AT$45*AS19/SUMIF($AS$9:$AS$40,"&gt;0"),""))),IF(SUMIF(AJ20:$AJ$40,"=" &amp; AJ19,AI20:$AI$40)=0,"",SUMIF(AJ20:$AJ$40,"=" &amp; AJ19,AI20:$AI$40)))</f>
        <v>4.0000000288000007E-2</v>
      </c>
      <c r="AJ19" s="770">
        <f t="shared" si="34"/>
        <v>2</v>
      </c>
      <c r="AK19" s="768">
        <f t="shared" si="27"/>
        <v>2</v>
      </c>
      <c r="AL19" s="777" t="str">
        <f t="shared" si="28"/>
        <v/>
      </c>
      <c r="AM19" s="777" t="str">
        <f t="shared" si="35"/>
        <v/>
      </c>
      <c r="AN19" s="777" t="str">
        <f t="shared" si="5"/>
        <v/>
      </c>
      <c r="AO19" s="777" t="str">
        <f t="shared" si="6"/>
        <v/>
      </c>
      <c r="AP19" s="768" t="b">
        <f t="shared" si="7"/>
        <v>1</v>
      </c>
      <c r="AQ19" s="771">
        <f t="shared" si="29"/>
        <v>1.3333333000000001</v>
      </c>
      <c r="AR19" s="772" t="str">
        <f t="shared" si="8"/>
        <v/>
      </c>
      <c r="AS19" s="773">
        <f t="shared" si="30"/>
        <v>0</v>
      </c>
      <c r="AT19" s="772" t="str">
        <f t="shared" si="9"/>
        <v/>
      </c>
      <c r="AU19" s="774">
        <f t="shared" si="10"/>
        <v>0</v>
      </c>
      <c r="AV19" s="775" t="str">
        <f t="shared" si="11"/>
        <v/>
      </c>
      <c r="AW19" s="774" t="b">
        <f t="shared" si="12"/>
        <v>0</v>
      </c>
      <c r="AX19" s="776" t="b">
        <f t="shared" si="13"/>
        <v>1</v>
      </c>
      <c r="AY19" s="774" t="b">
        <f t="shared" si="14"/>
        <v>0</v>
      </c>
      <c r="AZ19" s="776" t="b">
        <f t="shared" si="15"/>
        <v>0</v>
      </c>
      <c r="BA19" s="768" t="b">
        <f t="shared" si="16"/>
        <v>0</v>
      </c>
      <c r="BB19" s="768" t="b">
        <f t="shared" si="17"/>
        <v>0</v>
      </c>
      <c r="BC19" s="774" t="b">
        <f t="shared" si="18"/>
        <v>0</v>
      </c>
      <c r="BD19" s="777" t="b">
        <f t="shared" si="31"/>
        <v>0</v>
      </c>
      <c r="BE19" s="776" t="b">
        <f t="shared" si="19"/>
        <v>0</v>
      </c>
      <c r="BF19" s="778" t="b">
        <f t="shared" si="20"/>
        <v>0</v>
      </c>
      <c r="BG19" s="779" t="b">
        <f t="shared" si="21"/>
        <v>1</v>
      </c>
      <c r="BH19" s="779">
        <f t="shared" si="32"/>
        <v>1</v>
      </c>
      <c r="BI19" s="779">
        <f t="shared" si="22"/>
        <v>2</v>
      </c>
      <c r="BJ19" s="779" t="str">
        <f t="shared" si="23"/>
        <v>2*</v>
      </c>
      <c r="BK19" s="779">
        <f t="shared" si="24"/>
        <v>3</v>
      </c>
      <c r="BL19" s="780">
        <f t="shared" si="33"/>
        <v>1</v>
      </c>
      <c r="BM19" s="779">
        <f t="shared" si="25"/>
        <v>2</v>
      </c>
      <c r="BN19" s="779">
        <f t="shared" si="26"/>
        <v>3</v>
      </c>
      <c r="BO19" s="791"/>
      <c r="BP19" s="790" t="s">
        <v>355</v>
      </c>
      <c r="BQ19" s="792"/>
      <c r="BR19" s="792"/>
      <c r="BS19" s="792"/>
      <c r="BT19" s="792"/>
      <c r="BU19" s="792"/>
    </row>
    <row r="20" spans="2:75" s="731" customFormat="1" ht="12.95" customHeight="1" x14ac:dyDescent="0.25">
      <c r="B20" s="783">
        <f>IF(ISNA(Z20),"",IF(OR(Z20=1,Z20=2),"    ",MAX($B$9:B19)+1))</f>
        <v>9</v>
      </c>
      <c r="C20" s="1116" t="str">
        <f t="shared" si="0"/>
        <v xml:space="preserve">      - Punct. Acronyms &amp; Format (3.0%)</v>
      </c>
      <c r="D20" s="1116"/>
      <c r="E20" s="1116"/>
      <c r="F20" s="1117"/>
      <c r="G20" s="763">
        <f t="shared" si="1"/>
        <v>1</v>
      </c>
      <c r="H20" s="764" t="str">
        <f t="shared" si="2"/>
        <v>2*</v>
      </c>
      <c r="I20" s="784">
        <f t="shared" si="2"/>
        <v>3</v>
      </c>
      <c r="J20" s="789"/>
      <c r="K20" s="786"/>
      <c r="L20" s="1134"/>
      <c r="M20" s="1135"/>
      <c r="N20" s="1135"/>
      <c r="O20" s="1135"/>
      <c r="P20" s="1135"/>
      <c r="Q20" s="1135"/>
      <c r="R20" s="1136"/>
      <c r="T20" s="727">
        <v>12</v>
      </c>
      <c r="U20" s="716" t="s">
        <v>990</v>
      </c>
      <c r="V20" s="768">
        <v>1</v>
      </c>
      <c r="W20" s="768">
        <v>1</v>
      </c>
      <c r="X20" s="768" t="s">
        <v>340</v>
      </c>
      <c r="Y20" s="768" t="s">
        <v>340</v>
      </c>
      <c r="Z20" s="777" t="s">
        <v>340</v>
      </c>
      <c r="AA20" s="777">
        <v>2</v>
      </c>
      <c r="AB20" s="777">
        <v>1</v>
      </c>
      <c r="AC20" s="768">
        <v>3</v>
      </c>
      <c r="AD20" s="768">
        <v>2</v>
      </c>
      <c r="AE20" s="768">
        <v>1</v>
      </c>
      <c r="AF20" s="768" t="b">
        <v>1</v>
      </c>
      <c r="AG20" s="768">
        <f t="shared" si="3"/>
        <v>2</v>
      </c>
      <c r="AH20" s="768">
        <f t="shared" si="4"/>
        <v>1</v>
      </c>
      <c r="AI20" s="769">
        <f>IF(NOT(OR(Z20=1,Z20=2)),IF(AQ20&gt;0,$AR$45*AQ20/SUMIF($AQ$9:$AQ$40,"&gt;0"),IF(AU20&gt;0,$AV$45*AU20/SUMIF($AU$9:$AU$40,"&gt;0"),IF(AS20&gt;0,$AT$45*AS20/SUMIF($AS$9:$AS$40,"&gt;0"),""))),IF(SUMIF(AJ21:$AJ$40,"=" &amp; AJ20,AI21:$AI$40)=0,"",SUMIF(AJ21:$AJ$40,"=" &amp; AJ20,AI21:$AI$40)))</f>
        <v>3.0000000966000025E-2</v>
      </c>
      <c r="AJ20" s="770">
        <f t="shared" si="34"/>
        <v>2</v>
      </c>
      <c r="AK20" s="768">
        <f t="shared" si="27"/>
        <v>2</v>
      </c>
      <c r="AL20" s="777" t="str">
        <f t="shared" si="28"/>
        <v/>
      </c>
      <c r="AM20" s="777" t="str">
        <f t="shared" si="35"/>
        <v/>
      </c>
      <c r="AN20" s="777" t="str">
        <f t="shared" si="5"/>
        <v/>
      </c>
      <c r="AO20" s="777" t="str">
        <f t="shared" si="6"/>
        <v/>
      </c>
      <c r="AP20" s="768" t="b">
        <f t="shared" si="7"/>
        <v>1</v>
      </c>
      <c r="AQ20" s="771">
        <f t="shared" si="29"/>
        <v>1</v>
      </c>
      <c r="AR20" s="772" t="str">
        <f t="shared" si="8"/>
        <v/>
      </c>
      <c r="AS20" s="773">
        <f t="shared" si="30"/>
        <v>0</v>
      </c>
      <c r="AT20" s="772" t="str">
        <f t="shared" si="9"/>
        <v/>
      </c>
      <c r="AU20" s="774">
        <f t="shared" si="10"/>
        <v>0</v>
      </c>
      <c r="AV20" s="775" t="str">
        <f t="shared" si="11"/>
        <v/>
      </c>
      <c r="AW20" s="774" t="b">
        <f t="shared" si="12"/>
        <v>0</v>
      </c>
      <c r="AX20" s="776" t="b">
        <f t="shared" si="13"/>
        <v>1</v>
      </c>
      <c r="AY20" s="774" t="b">
        <f t="shared" si="14"/>
        <v>0</v>
      </c>
      <c r="AZ20" s="776" t="b">
        <f t="shared" si="15"/>
        <v>0</v>
      </c>
      <c r="BA20" s="768" t="b">
        <f t="shared" si="16"/>
        <v>0</v>
      </c>
      <c r="BB20" s="768" t="b">
        <f t="shared" si="17"/>
        <v>0</v>
      </c>
      <c r="BC20" s="774" t="b">
        <f t="shared" si="18"/>
        <v>0</v>
      </c>
      <c r="BD20" s="777" t="b">
        <f t="shared" si="31"/>
        <v>0</v>
      </c>
      <c r="BE20" s="776" t="b">
        <f t="shared" si="19"/>
        <v>0</v>
      </c>
      <c r="BF20" s="778" t="b">
        <f t="shared" si="20"/>
        <v>0</v>
      </c>
      <c r="BG20" s="779" t="b">
        <f t="shared" si="21"/>
        <v>1</v>
      </c>
      <c r="BH20" s="779">
        <f t="shared" si="32"/>
        <v>1</v>
      </c>
      <c r="BI20" s="779">
        <f t="shared" si="22"/>
        <v>2</v>
      </c>
      <c r="BJ20" s="779" t="str">
        <f t="shared" si="23"/>
        <v>2*</v>
      </c>
      <c r="BK20" s="779">
        <f t="shared" si="24"/>
        <v>3</v>
      </c>
      <c r="BL20" s="780">
        <f t="shared" si="33"/>
        <v>1</v>
      </c>
      <c r="BM20" s="779">
        <f t="shared" si="25"/>
        <v>2</v>
      </c>
      <c r="BN20" s="779">
        <f t="shared" si="26"/>
        <v>3</v>
      </c>
      <c r="BO20" s="791"/>
      <c r="BP20" s="782"/>
      <c r="BQ20" s="1140" t="s">
        <v>356</v>
      </c>
      <c r="BR20" s="1140"/>
      <c r="BS20" s="1140"/>
      <c r="BT20" s="1140"/>
      <c r="BU20" s="1140"/>
    </row>
    <row r="21" spans="2:75" s="731" customFormat="1" ht="12.95" customHeight="1" x14ac:dyDescent="0.25">
      <c r="B21" s="783">
        <f>IF(ISNA(Z21),"",IF(OR(Z21=1,Z21=2),"    ",MAX($B$9:B20)+1))</f>
        <v>10</v>
      </c>
      <c r="C21" s="1116" t="str">
        <f t="shared" si="0"/>
        <v xml:space="preserve">      - Profess. Tone &amp; Word Choice (3.0%)</v>
      </c>
      <c r="D21" s="1116"/>
      <c r="E21" s="1116"/>
      <c r="F21" s="1117"/>
      <c r="G21" s="763">
        <f t="shared" si="1"/>
        <v>1</v>
      </c>
      <c r="H21" s="764" t="str">
        <f t="shared" si="2"/>
        <v>2*</v>
      </c>
      <c r="I21" s="784">
        <f t="shared" si="2"/>
        <v>3</v>
      </c>
      <c r="J21" s="789"/>
      <c r="K21" s="786"/>
      <c r="L21" s="1134"/>
      <c r="M21" s="1135"/>
      <c r="N21" s="1135"/>
      <c r="O21" s="1135"/>
      <c r="P21" s="1135"/>
      <c r="Q21" s="1135"/>
      <c r="R21" s="1136"/>
      <c r="T21" s="727">
        <v>13</v>
      </c>
      <c r="U21" s="716" t="s">
        <v>991</v>
      </c>
      <c r="V21" s="768">
        <v>1</v>
      </c>
      <c r="W21" s="768">
        <v>1</v>
      </c>
      <c r="X21" s="768" t="s">
        <v>340</v>
      </c>
      <c r="Y21" s="768" t="s">
        <v>340</v>
      </c>
      <c r="Z21" s="777" t="s">
        <v>340</v>
      </c>
      <c r="AA21" s="777">
        <v>2</v>
      </c>
      <c r="AB21" s="777">
        <v>1</v>
      </c>
      <c r="AC21" s="768">
        <v>3</v>
      </c>
      <c r="AD21" s="768">
        <v>2</v>
      </c>
      <c r="AE21" s="768">
        <v>1</v>
      </c>
      <c r="AF21" s="768" t="b">
        <v>1</v>
      </c>
      <c r="AG21" s="768">
        <f t="shared" si="3"/>
        <v>2</v>
      </c>
      <c r="AH21" s="768">
        <f t="shared" si="4"/>
        <v>1</v>
      </c>
      <c r="AI21" s="769">
        <f>IF(NOT(OR(Z21=1,Z21=2)),IF(AQ21&gt;0,$AR$45*AQ21/SUMIF($AQ$9:$AQ$40,"&gt;0"),IF(AU21&gt;0,$AV$45*AU21/SUMIF($AU$9:$AU$40,"&gt;0"),IF(AS21&gt;0,$AT$45*AS21/SUMIF($AS$9:$AS$40,"&gt;0"),""))),IF(SUMIF(AJ22:$AJ$40,"=" &amp; AJ21,AI22:$AI$40)=0,"",SUMIF(AJ22:$AJ$40,"=" &amp; AJ21,AI22:$AI$40)))</f>
        <v>3.0000000966000025E-2</v>
      </c>
      <c r="AJ21" s="770">
        <f t="shared" si="34"/>
        <v>2</v>
      </c>
      <c r="AK21" s="768">
        <f t="shared" si="27"/>
        <v>2</v>
      </c>
      <c r="AL21" s="777" t="str">
        <f t="shared" si="28"/>
        <v/>
      </c>
      <c r="AM21" s="777" t="str">
        <f t="shared" si="35"/>
        <v/>
      </c>
      <c r="AN21" s="777" t="str">
        <f t="shared" si="5"/>
        <v/>
      </c>
      <c r="AO21" s="777" t="str">
        <f t="shared" si="6"/>
        <v/>
      </c>
      <c r="AP21" s="768" t="b">
        <f t="shared" si="7"/>
        <v>1</v>
      </c>
      <c r="AQ21" s="771">
        <f t="shared" si="29"/>
        <v>1</v>
      </c>
      <c r="AR21" s="772" t="str">
        <f t="shared" si="8"/>
        <v/>
      </c>
      <c r="AS21" s="773">
        <f t="shared" si="30"/>
        <v>0</v>
      </c>
      <c r="AT21" s="772" t="str">
        <f t="shared" si="9"/>
        <v/>
      </c>
      <c r="AU21" s="774">
        <f t="shared" si="10"/>
        <v>0</v>
      </c>
      <c r="AV21" s="775" t="str">
        <f t="shared" si="11"/>
        <v/>
      </c>
      <c r="AW21" s="774" t="b">
        <f t="shared" si="12"/>
        <v>0</v>
      </c>
      <c r="AX21" s="776" t="b">
        <f t="shared" si="13"/>
        <v>1</v>
      </c>
      <c r="AY21" s="774" t="b">
        <f t="shared" si="14"/>
        <v>0</v>
      </c>
      <c r="AZ21" s="776" t="b">
        <f t="shared" si="15"/>
        <v>0</v>
      </c>
      <c r="BA21" s="768" t="b">
        <f t="shared" si="16"/>
        <v>0</v>
      </c>
      <c r="BB21" s="768" t="b">
        <f t="shared" si="17"/>
        <v>0</v>
      </c>
      <c r="BC21" s="774" t="b">
        <f t="shared" si="18"/>
        <v>0</v>
      </c>
      <c r="BD21" s="777" t="b">
        <f t="shared" si="31"/>
        <v>0</v>
      </c>
      <c r="BE21" s="776" t="b">
        <f t="shared" si="19"/>
        <v>0</v>
      </c>
      <c r="BF21" s="778" t="b">
        <f t="shared" si="20"/>
        <v>0</v>
      </c>
      <c r="BG21" s="779" t="b">
        <f t="shared" si="21"/>
        <v>1</v>
      </c>
      <c r="BH21" s="779">
        <f t="shared" si="32"/>
        <v>1</v>
      </c>
      <c r="BI21" s="779">
        <f t="shared" si="22"/>
        <v>2</v>
      </c>
      <c r="BJ21" s="779" t="str">
        <f t="shared" si="23"/>
        <v>2*</v>
      </c>
      <c r="BK21" s="779">
        <f t="shared" si="24"/>
        <v>3</v>
      </c>
      <c r="BL21" s="780">
        <f t="shared" si="33"/>
        <v>1</v>
      </c>
      <c r="BM21" s="779">
        <f t="shared" si="25"/>
        <v>2</v>
      </c>
      <c r="BN21" s="779">
        <f t="shared" si="26"/>
        <v>3</v>
      </c>
      <c r="BO21" s="791"/>
      <c r="BP21" s="791"/>
      <c r="BQ21" s="791">
        <v>0</v>
      </c>
      <c r="BR21" s="791">
        <v>1</v>
      </c>
      <c r="BS21" s="791">
        <v>2</v>
      </c>
      <c r="BT21" s="791">
        <v>3</v>
      </c>
      <c r="BU21" s="791">
        <v>4</v>
      </c>
    </row>
    <row r="22" spans="2:75" s="731" customFormat="1" ht="12.95" customHeight="1" x14ac:dyDescent="0.25">
      <c r="B22" s="783" t="str">
        <f>IF(ISNA(Z22),"",IF(OR(Z22=1,Z22=2),"    ",MAX($B$9:B21)+1))</f>
        <v xml:space="preserve">    </v>
      </c>
      <c r="C22" s="1116" t="str">
        <f t="shared" si="0"/>
        <v>Visual Eng &amp; Data Presentation (20.0%)</v>
      </c>
      <c r="D22" s="1116"/>
      <c r="E22" s="1116"/>
      <c r="F22" s="1117"/>
      <c r="G22" s="763" t="str">
        <f t="shared" si="1"/>
        <v/>
      </c>
      <c r="H22" s="764" t="str">
        <f t="shared" si="2"/>
        <v/>
      </c>
      <c r="I22" s="784" t="str">
        <f t="shared" si="2"/>
        <v/>
      </c>
      <c r="J22" s="793"/>
      <c r="K22" s="794"/>
      <c r="L22" s="1134"/>
      <c r="M22" s="1135"/>
      <c r="N22" s="1135"/>
      <c r="O22" s="1135"/>
      <c r="P22" s="1135"/>
      <c r="Q22" s="1135"/>
      <c r="R22" s="1136"/>
      <c r="T22" s="727">
        <v>14</v>
      </c>
      <c r="U22" s="716" t="s">
        <v>974</v>
      </c>
      <c r="V22" s="768" t="s">
        <v>340</v>
      </c>
      <c r="W22" s="768" t="s">
        <v>340</v>
      </c>
      <c r="X22" s="768" t="s">
        <v>340</v>
      </c>
      <c r="Y22" s="768" t="s">
        <v>340</v>
      </c>
      <c r="Z22" s="777">
        <v>2</v>
      </c>
      <c r="AA22" s="777">
        <v>1</v>
      </c>
      <c r="AB22" s="777">
        <v>1</v>
      </c>
      <c r="AC22" s="768" t="s">
        <v>340</v>
      </c>
      <c r="AD22" s="768" t="s">
        <v>340</v>
      </c>
      <c r="AE22" s="768" t="s">
        <v>340</v>
      </c>
      <c r="AF22" s="768" t="s">
        <v>340</v>
      </c>
      <c r="AG22" s="768" t="str">
        <f t="shared" si="3"/>
        <v/>
      </c>
      <c r="AH22" s="768" t="str">
        <f t="shared" si="4"/>
        <v/>
      </c>
      <c r="AI22" s="769">
        <f>IF(NOT(OR(Z22=1,Z22=2)),IF(AQ22&gt;0,$AR$45*AQ22/SUMIF($AQ$9:$AQ$40,"&gt;0"),IF(AU22&gt;0,$AV$45*AU22/SUMIF($AU$9:$AU$40,"&gt;0"),IF(AS22&gt;0,$AT$45*AS22/SUMIF($AS$9:$AS$40,"&gt;0"),""))),IF(SUMIF(AJ23:$AJ$40,"=" &amp; AJ22,AI23:$AI$40)=0,"",SUMIF(AJ23:$AJ$40,"=" &amp; AJ22,AI23:$AI$40)))</f>
        <v>0.20000000624000017</v>
      </c>
      <c r="AJ22" s="770">
        <f t="shared" si="34"/>
        <v>3</v>
      </c>
      <c r="AK22" s="768" t="str">
        <f t="shared" si="27"/>
        <v/>
      </c>
      <c r="AL22" s="777" t="str">
        <f t="shared" si="28"/>
        <v/>
      </c>
      <c r="AM22" s="777" t="str">
        <f t="shared" si="35"/>
        <v/>
      </c>
      <c r="AN22" s="777" t="str">
        <f t="shared" si="5"/>
        <v/>
      </c>
      <c r="AO22" s="777" t="str">
        <f t="shared" si="6"/>
        <v/>
      </c>
      <c r="AP22" s="768" t="str">
        <f t="shared" si="7"/>
        <v/>
      </c>
      <c r="AQ22" s="771">
        <f t="shared" si="29"/>
        <v>0</v>
      </c>
      <c r="AR22" s="772" t="str">
        <f t="shared" si="8"/>
        <v/>
      </c>
      <c r="AS22" s="773">
        <f t="shared" si="30"/>
        <v>0</v>
      </c>
      <c r="AT22" s="772" t="str">
        <f t="shared" si="9"/>
        <v/>
      </c>
      <c r="AU22" s="774">
        <f t="shared" si="10"/>
        <v>0</v>
      </c>
      <c r="AV22" s="775" t="str">
        <f t="shared" si="11"/>
        <v/>
      </c>
      <c r="AW22" s="774" t="b">
        <f t="shared" si="12"/>
        <v>0</v>
      </c>
      <c r="AX22" s="776" t="b">
        <f t="shared" si="13"/>
        <v>0</v>
      </c>
      <c r="AY22" s="774" t="b">
        <f t="shared" si="14"/>
        <v>0</v>
      </c>
      <c r="AZ22" s="776" t="b">
        <f t="shared" si="15"/>
        <v>0</v>
      </c>
      <c r="BA22" s="768" t="b">
        <f t="shared" si="16"/>
        <v>0</v>
      </c>
      <c r="BB22" s="768" t="b">
        <f t="shared" si="17"/>
        <v>0</v>
      </c>
      <c r="BC22" s="774" t="b">
        <f t="shared" si="18"/>
        <v>0</v>
      </c>
      <c r="BD22" s="777" t="b">
        <f t="shared" si="31"/>
        <v>0</v>
      </c>
      <c r="BE22" s="776" t="b">
        <f t="shared" si="19"/>
        <v>0</v>
      </c>
      <c r="BF22" s="778" t="b">
        <f t="shared" si="20"/>
        <v>0</v>
      </c>
      <c r="BG22" s="779" t="b">
        <f t="shared" si="21"/>
        <v>0</v>
      </c>
      <c r="BH22" s="779" t="str">
        <f t="shared" si="32"/>
        <v/>
      </c>
      <c r="BI22" s="779" t="str">
        <f t="shared" si="22"/>
        <v/>
      </c>
      <c r="BJ22" s="779" t="str">
        <f t="shared" si="23"/>
        <v/>
      </c>
      <c r="BK22" s="779" t="str">
        <f t="shared" si="24"/>
        <v/>
      </c>
      <c r="BL22" s="780" t="str">
        <f t="shared" si="33"/>
        <v/>
      </c>
      <c r="BM22" s="779" t="str">
        <f t="shared" si="25"/>
        <v/>
      </c>
      <c r="BN22" s="779" t="str">
        <f t="shared" si="26"/>
        <v/>
      </c>
      <c r="BO22" s="1141" t="s">
        <v>358</v>
      </c>
      <c r="BP22" s="791" t="s">
        <v>359</v>
      </c>
      <c r="BQ22" s="795">
        <f t="shared" ref="BQ22:BU30" si="36">AR51</f>
        <v>0.7</v>
      </c>
      <c r="BR22" s="796">
        <f t="shared" si="36"/>
        <v>0.9</v>
      </c>
      <c r="BS22" s="796">
        <f t="shared" si="36"/>
        <v>0.93330000000000002</v>
      </c>
      <c r="BT22" s="796">
        <f t="shared" si="36"/>
        <v>0.9667</v>
      </c>
      <c r="BU22" s="797">
        <f t="shared" si="36"/>
        <v>1</v>
      </c>
      <c r="BV22" s="798"/>
      <c r="BW22" s="711"/>
    </row>
    <row r="23" spans="2:75" s="731" customFormat="1" ht="12.95" customHeight="1" x14ac:dyDescent="0.25">
      <c r="B23" s="783">
        <f>IF(ISNA(Z23),"",IF(OR(Z23=1,Z23=2),"    ",MAX($B$9:B22)+1))</f>
        <v>11</v>
      </c>
      <c r="C23" s="1116" t="str">
        <f t="shared" si="0"/>
        <v xml:space="preserve">      - Anatomy of a Valid Plot/Table (8.0%)</v>
      </c>
      <c r="D23" s="1116"/>
      <c r="E23" s="1116"/>
      <c r="F23" s="1117"/>
      <c r="G23" s="763">
        <f t="shared" si="1"/>
        <v>1</v>
      </c>
      <c r="H23" s="764" t="str">
        <f t="shared" si="2"/>
        <v>2*</v>
      </c>
      <c r="I23" s="784">
        <f t="shared" si="2"/>
        <v>3</v>
      </c>
      <c r="J23" s="789"/>
      <c r="K23" s="786"/>
      <c r="L23" s="1134"/>
      <c r="M23" s="1135"/>
      <c r="N23" s="1135"/>
      <c r="O23" s="1135"/>
      <c r="P23" s="1135"/>
      <c r="Q23" s="1135"/>
      <c r="R23" s="1136"/>
      <c r="T23" s="727">
        <v>15</v>
      </c>
      <c r="U23" s="716" t="s">
        <v>975</v>
      </c>
      <c r="V23" s="768">
        <v>1</v>
      </c>
      <c r="W23" s="768">
        <v>2.6666666600000002</v>
      </c>
      <c r="X23" s="768" t="s">
        <v>340</v>
      </c>
      <c r="Y23" s="768" t="s">
        <v>340</v>
      </c>
      <c r="Z23" s="777" t="s">
        <v>340</v>
      </c>
      <c r="AA23" s="777">
        <v>2</v>
      </c>
      <c r="AB23" s="777">
        <v>1</v>
      </c>
      <c r="AC23" s="768">
        <v>3</v>
      </c>
      <c r="AD23" s="768">
        <v>2</v>
      </c>
      <c r="AE23" s="768">
        <v>1</v>
      </c>
      <c r="AF23" s="768" t="b">
        <v>1</v>
      </c>
      <c r="AG23" s="768">
        <f t="shared" si="3"/>
        <v>2</v>
      </c>
      <c r="AH23" s="768">
        <f t="shared" si="4"/>
        <v>1</v>
      </c>
      <c r="AI23" s="769">
        <f>IF(NOT(OR(Z23=1,Z23=2)),IF(AQ23&gt;0,$AR$45*AQ23/SUMIF($AQ$9:$AQ$40,"&gt;0"),IF(AU23&gt;0,$AV$45*AU23/SUMIF($AU$9:$AU$40,"&gt;0"),IF(AS23&gt;0,$AT$45*AS23/SUMIF($AS$9:$AS$40,"&gt;0"),""))),IF(SUMIF(AJ24:$AJ$40,"=" &amp; AJ23,AI24:$AI$40)=0,"",SUMIF(AJ24:$AJ$40,"=" &amp; AJ23,AI24:$AI$40)))</f>
        <v>8.0000002376000065E-2</v>
      </c>
      <c r="AJ23" s="770">
        <f t="shared" si="34"/>
        <v>3</v>
      </c>
      <c r="AK23" s="768">
        <f t="shared" si="27"/>
        <v>2</v>
      </c>
      <c r="AL23" s="777" t="str">
        <f t="shared" si="28"/>
        <v/>
      </c>
      <c r="AM23" s="777" t="str">
        <f t="shared" si="35"/>
        <v/>
      </c>
      <c r="AN23" s="777" t="str">
        <f t="shared" si="5"/>
        <v/>
      </c>
      <c r="AO23" s="777" t="str">
        <f t="shared" si="6"/>
        <v/>
      </c>
      <c r="AP23" s="768" t="b">
        <f t="shared" si="7"/>
        <v>1</v>
      </c>
      <c r="AQ23" s="771">
        <f t="shared" si="29"/>
        <v>2.6666666600000002</v>
      </c>
      <c r="AR23" s="772" t="str">
        <f t="shared" si="8"/>
        <v/>
      </c>
      <c r="AS23" s="773">
        <f t="shared" si="30"/>
        <v>0</v>
      </c>
      <c r="AT23" s="772" t="str">
        <f t="shared" si="9"/>
        <v/>
      </c>
      <c r="AU23" s="774">
        <f t="shared" si="10"/>
        <v>0</v>
      </c>
      <c r="AV23" s="775" t="str">
        <f t="shared" si="11"/>
        <v/>
      </c>
      <c r="AW23" s="774" t="b">
        <f t="shared" si="12"/>
        <v>0</v>
      </c>
      <c r="AX23" s="776" t="b">
        <f t="shared" si="13"/>
        <v>1</v>
      </c>
      <c r="AY23" s="774" t="b">
        <f t="shared" si="14"/>
        <v>0</v>
      </c>
      <c r="AZ23" s="776" t="b">
        <f t="shared" si="15"/>
        <v>0</v>
      </c>
      <c r="BA23" s="768" t="b">
        <f t="shared" si="16"/>
        <v>0</v>
      </c>
      <c r="BB23" s="768" t="b">
        <f t="shared" si="17"/>
        <v>0</v>
      </c>
      <c r="BC23" s="774" t="b">
        <f t="shared" si="18"/>
        <v>0</v>
      </c>
      <c r="BD23" s="777" t="b">
        <f t="shared" si="31"/>
        <v>0</v>
      </c>
      <c r="BE23" s="776" t="b">
        <f>IF(OR(ISNA($Z23),K23&lt;&gt;"D"),FALSE,IF(OR(AND(H23="NG",J23=0),AND(H23&lt;&gt;"NG",NOT(OR(J23="NA",J23=0)))),TRUE,FALSE))</f>
        <v>0</v>
      </c>
      <c r="BF23" s="778" t="b">
        <f t="shared" si="20"/>
        <v>0</v>
      </c>
      <c r="BG23" s="779" t="b">
        <f>IF(ISNA($Z23),"NA",IF(OR(AZ23,AY23,AX23,AW23,AP23,BA23,BB23),TRUE,FALSE))</f>
        <v>1</v>
      </c>
      <c r="BH23" s="779">
        <f t="shared" si="32"/>
        <v>1</v>
      </c>
      <c r="BI23" s="779">
        <f t="shared" si="22"/>
        <v>2</v>
      </c>
      <c r="BJ23" s="779" t="str">
        <f t="shared" si="23"/>
        <v>2*</v>
      </c>
      <c r="BK23" s="779">
        <f t="shared" si="24"/>
        <v>3</v>
      </c>
      <c r="BL23" s="780">
        <f t="shared" si="33"/>
        <v>1</v>
      </c>
      <c r="BM23" s="779">
        <f t="shared" si="25"/>
        <v>2</v>
      </c>
      <c r="BN23" s="779">
        <f t="shared" si="26"/>
        <v>3</v>
      </c>
      <c r="BO23" s="1141"/>
      <c r="BP23" s="791" t="s">
        <v>360</v>
      </c>
      <c r="BQ23" s="799">
        <f t="shared" si="36"/>
        <v>0.7</v>
      </c>
      <c r="BR23" s="800">
        <f t="shared" si="36"/>
        <v>0.8</v>
      </c>
      <c r="BS23" s="800">
        <f t="shared" si="36"/>
        <v>0.9</v>
      </c>
      <c r="BT23" s="800">
        <f t="shared" si="36"/>
        <v>0.95</v>
      </c>
      <c r="BU23" s="801">
        <f t="shared" si="36"/>
        <v>1</v>
      </c>
      <c r="BV23" s="711"/>
      <c r="BW23" s="802"/>
    </row>
    <row r="24" spans="2:75" s="731" customFormat="1" ht="12.95" customHeight="1" x14ac:dyDescent="0.25">
      <c r="B24" s="783">
        <f>IF(ISNA(Z24),"",IF(OR(Z24=1,Z24=2),"    ",MAX($B$9:B23)+1))</f>
        <v>12</v>
      </c>
      <c r="C24" s="1116" t="str">
        <f t="shared" si="0"/>
        <v xml:space="preserve">      - Data-Ink Ratio &amp; Clarity (6.0%)</v>
      </c>
      <c r="D24" s="1116"/>
      <c r="E24" s="1116"/>
      <c r="F24" s="1117"/>
      <c r="G24" s="763">
        <f t="shared" si="1"/>
        <v>1</v>
      </c>
      <c r="H24" s="764" t="str">
        <f t="shared" si="2"/>
        <v>2*</v>
      </c>
      <c r="I24" s="784">
        <f t="shared" si="2"/>
        <v>3</v>
      </c>
      <c r="J24" s="789"/>
      <c r="K24" s="786"/>
      <c r="L24" s="1134"/>
      <c r="M24" s="1135"/>
      <c r="N24" s="1135"/>
      <c r="O24" s="1135"/>
      <c r="P24" s="1135"/>
      <c r="Q24" s="1135"/>
      <c r="R24" s="1136"/>
      <c r="T24" s="727">
        <v>16</v>
      </c>
      <c r="U24" s="716" t="s">
        <v>976</v>
      </c>
      <c r="V24" s="768">
        <v>1</v>
      </c>
      <c r="W24" s="768">
        <v>2</v>
      </c>
      <c r="X24" s="768" t="s">
        <v>340</v>
      </c>
      <c r="Y24" s="768" t="s">
        <v>340</v>
      </c>
      <c r="Z24" s="777" t="s">
        <v>340</v>
      </c>
      <c r="AA24" s="777">
        <v>2</v>
      </c>
      <c r="AB24" s="777">
        <v>1</v>
      </c>
      <c r="AC24" s="768">
        <v>3</v>
      </c>
      <c r="AD24" s="768">
        <v>2</v>
      </c>
      <c r="AE24" s="768">
        <v>1</v>
      </c>
      <c r="AF24" s="768" t="b">
        <v>1</v>
      </c>
      <c r="AG24" s="768">
        <f t="shared" si="3"/>
        <v>2</v>
      </c>
      <c r="AH24" s="768">
        <f t="shared" si="4"/>
        <v>1</v>
      </c>
      <c r="AI24" s="769">
        <f>IF(NOT(OR(Z24=1,Z24=2)),IF(AQ24&gt;0,$AR$45*AQ24/SUMIF($AQ$9:$AQ$40,"&gt;0"),IF(AU24&gt;0,$AV$45*AU24/SUMIF($AU$9:$AU$40,"&gt;0"),IF(AS24&gt;0,$AT$45*AS24/SUMIF($AS$9:$AS$40,"&gt;0"),""))),IF(SUMIF(AJ25:$AJ$40,"=" &amp; AJ24,AI25:$AI$40)=0,"",SUMIF(AJ25:$AJ$40,"=" &amp; AJ24,AI25:$AI$40)))</f>
        <v>6.0000001932000051E-2</v>
      </c>
      <c r="AJ24" s="770">
        <f t="shared" si="34"/>
        <v>3</v>
      </c>
      <c r="AK24" s="768">
        <f t="shared" si="27"/>
        <v>2</v>
      </c>
      <c r="AL24" s="777" t="str">
        <f t="shared" si="28"/>
        <v/>
      </c>
      <c r="AM24" s="777" t="str">
        <f t="shared" si="35"/>
        <v/>
      </c>
      <c r="AN24" s="777" t="str">
        <f t="shared" si="5"/>
        <v/>
      </c>
      <c r="AO24" s="777" t="str">
        <f t="shared" si="6"/>
        <v/>
      </c>
      <c r="AP24" s="768" t="b">
        <f t="shared" si="7"/>
        <v>1</v>
      </c>
      <c r="AQ24" s="771">
        <f t="shared" si="29"/>
        <v>2</v>
      </c>
      <c r="AR24" s="772" t="str">
        <f t="shared" si="8"/>
        <v/>
      </c>
      <c r="AS24" s="773">
        <f t="shared" si="30"/>
        <v>0</v>
      </c>
      <c r="AT24" s="772" t="str">
        <f t="shared" si="9"/>
        <v/>
      </c>
      <c r="AU24" s="774">
        <f t="shared" si="10"/>
        <v>0</v>
      </c>
      <c r="AV24" s="775" t="str">
        <f t="shared" si="11"/>
        <v/>
      </c>
      <c r="AW24" s="774" t="b">
        <f t="shared" si="12"/>
        <v>0</v>
      </c>
      <c r="AX24" s="776" t="b">
        <f t="shared" si="13"/>
        <v>1</v>
      </c>
      <c r="AY24" s="774" t="b">
        <f t="shared" si="14"/>
        <v>0</v>
      </c>
      <c r="AZ24" s="776" t="b">
        <f t="shared" si="15"/>
        <v>0</v>
      </c>
      <c r="BA24" s="768" t="b">
        <f t="shared" si="16"/>
        <v>0</v>
      </c>
      <c r="BB24" s="768" t="b">
        <f t="shared" si="17"/>
        <v>0</v>
      </c>
      <c r="BC24" s="774" t="b">
        <f t="shared" si="18"/>
        <v>0</v>
      </c>
      <c r="BD24" s="777" t="b">
        <f t="shared" si="31"/>
        <v>0</v>
      </c>
      <c r="BE24" s="776" t="b">
        <f t="shared" ref="BE24:BE40" si="37">IF(OR(ISNA($Z24),K24&lt;&gt;"D"),FALSE,IF(OR(AND(H24="NG",J24=0),AND(H24&lt;&gt;"NG",NOT(OR(J24="NA",J24=0)))),TRUE,FALSE))</f>
        <v>0</v>
      </c>
      <c r="BF24" s="778" t="b">
        <f t="shared" si="20"/>
        <v>0</v>
      </c>
      <c r="BG24" s="779" t="b">
        <f t="shared" ref="BG24:BG40" si="38">IF(ISNA($Z24),"NA",IF(OR(AZ24,AY24,AX24,AW24,AP24,BA24,BB24),TRUE,FALSE))</f>
        <v>1</v>
      </c>
      <c r="BH24" s="779">
        <f t="shared" si="32"/>
        <v>1</v>
      </c>
      <c r="BI24" s="779">
        <f t="shared" si="22"/>
        <v>2</v>
      </c>
      <c r="BJ24" s="779" t="str">
        <f t="shared" si="23"/>
        <v>2*</v>
      </c>
      <c r="BK24" s="779">
        <f t="shared" si="24"/>
        <v>3</v>
      </c>
      <c r="BL24" s="780">
        <f t="shared" si="33"/>
        <v>1</v>
      </c>
      <c r="BM24" s="779">
        <f t="shared" si="25"/>
        <v>2</v>
      </c>
      <c r="BN24" s="779">
        <f t="shared" si="26"/>
        <v>3</v>
      </c>
      <c r="BO24" s="1141"/>
      <c r="BP24" s="791" t="s">
        <v>361</v>
      </c>
      <c r="BQ24" s="799">
        <f t="shared" si="36"/>
        <v>0.7</v>
      </c>
      <c r="BR24" s="800">
        <f t="shared" si="36"/>
        <v>0.76670000000000005</v>
      </c>
      <c r="BS24" s="800">
        <f t="shared" si="36"/>
        <v>0.83330000000000004</v>
      </c>
      <c r="BT24" s="800">
        <f t="shared" si="36"/>
        <v>0.9</v>
      </c>
      <c r="BU24" s="801">
        <f t="shared" si="36"/>
        <v>1</v>
      </c>
      <c r="BV24" s="711"/>
      <c r="BW24" s="802"/>
    </row>
    <row r="25" spans="2:75" s="731" customFormat="1" ht="12.95" customHeight="1" x14ac:dyDescent="0.25">
      <c r="B25" s="783">
        <f>IF(ISNA(Z25),"",IF(OR(Z25=1,Z25=2),"    ",MAX($B$9:B24)+1))</f>
        <v>13</v>
      </c>
      <c r="C25" s="1116" t="str">
        <f t="shared" si="0"/>
        <v xml:space="preserve">      - Data Honesty &amp; Context (6.0%)</v>
      </c>
      <c r="D25" s="1116"/>
      <c r="E25" s="1116"/>
      <c r="F25" s="1117"/>
      <c r="G25" s="763">
        <f t="shared" si="1"/>
        <v>1</v>
      </c>
      <c r="H25" s="764" t="str">
        <f t="shared" si="2"/>
        <v>2*</v>
      </c>
      <c r="I25" s="784">
        <f t="shared" si="2"/>
        <v>3</v>
      </c>
      <c r="J25" s="789"/>
      <c r="K25" s="786"/>
      <c r="L25" s="1134"/>
      <c r="M25" s="1135"/>
      <c r="N25" s="1135"/>
      <c r="O25" s="1135"/>
      <c r="P25" s="1135"/>
      <c r="Q25" s="1135"/>
      <c r="R25" s="1136"/>
      <c r="T25" s="727">
        <v>17</v>
      </c>
      <c r="U25" s="716" t="s">
        <v>992</v>
      </c>
      <c r="V25" s="768">
        <v>1</v>
      </c>
      <c r="W25" s="768">
        <v>2</v>
      </c>
      <c r="X25" s="768" t="s">
        <v>340</v>
      </c>
      <c r="Y25" s="768" t="s">
        <v>340</v>
      </c>
      <c r="Z25" s="777" t="s">
        <v>340</v>
      </c>
      <c r="AA25" s="777">
        <v>2</v>
      </c>
      <c r="AB25" s="777">
        <v>1</v>
      </c>
      <c r="AC25" s="768">
        <v>3</v>
      </c>
      <c r="AD25" s="768">
        <v>2</v>
      </c>
      <c r="AE25" s="768">
        <v>1</v>
      </c>
      <c r="AF25" s="768" t="b">
        <v>1</v>
      </c>
      <c r="AG25" s="768">
        <f t="shared" si="3"/>
        <v>2</v>
      </c>
      <c r="AH25" s="768">
        <f t="shared" si="4"/>
        <v>1</v>
      </c>
      <c r="AI25" s="769">
        <f>IF(NOT(OR(Z25=1,Z25=2)),IF(AQ25&gt;0,$AR$45*AQ25/SUMIF($AQ$9:$AQ$40,"&gt;0"),IF(AU25&gt;0,$AV$45*AU25/SUMIF($AU$9:$AU$40,"&gt;0"),IF(AS25&gt;0,$AT$45*AS25/SUMIF($AS$9:$AS$40,"&gt;0"),""))),IF(SUMIF(AJ26:$AJ$40,"=" &amp; AJ25,AI26:$AI$40)=0,"",SUMIF(AJ26:$AJ$40,"=" &amp; AJ25,AI26:$AI$40)))</f>
        <v>6.0000001932000051E-2</v>
      </c>
      <c r="AJ25" s="770">
        <f t="shared" si="34"/>
        <v>3</v>
      </c>
      <c r="AK25" s="768">
        <f t="shared" si="27"/>
        <v>2</v>
      </c>
      <c r="AL25" s="777" t="str">
        <f t="shared" si="28"/>
        <v/>
      </c>
      <c r="AM25" s="777" t="str">
        <f t="shared" si="35"/>
        <v/>
      </c>
      <c r="AN25" s="777" t="str">
        <f t="shared" si="5"/>
        <v/>
      </c>
      <c r="AO25" s="777" t="str">
        <f t="shared" si="6"/>
        <v/>
      </c>
      <c r="AP25" s="768" t="b">
        <f t="shared" si="7"/>
        <v>1</v>
      </c>
      <c r="AQ25" s="771">
        <f t="shared" si="29"/>
        <v>2</v>
      </c>
      <c r="AR25" s="772" t="str">
        <f t="shared" si="8"/>
        <v/>
      </c>
      <c r="AS25" s="773">
        <f t="shared" si="30"/>
        <v>0</v>
      </c>
      <c r="AT25" s="772" t="str">
        <f t="shared" si="9"/>
        <v/>
      </c>
      <c r="AU25" s="774">
        <f t="shared" si="10"/>
        <v>0</v>
      </c>
      <c r="AV25" s="775" t="str">
        <f t="shared" si="11"/>
        <v/>
      </c>
      <c r="AW25" s="774" t="b">
        <f t="shared" si="12"/>
        <v>0</v>
      </c>
      <c r="AX25" s="776" t="b">
        <f t="shared" si="13"/>
        <v>1</v>
      </c>
      <c r="AY25" s="774" t="b">
        <f t="shared" si="14"/>
        <v>0</v>
      </c>
      <c r="AZ25" s="776" t="b">
        <f t="shared" si="15"/>
        <v>0</v>
      </c>
      <c r="BA25" s="768" t="b">
        <f t="shared" si="16"/>
        <v>0</v>
      </c>
      <c r="BB25" s="768" t="b">
        <f t="shared" si="17"/>
        <v>0</v>
      </c>
      <c r="BC25" s="774" t="b">
        <f t="shared" si="18"/>
        <v>0</v>
      </c>
      <c r="BD25" s="777" t="b">
        <f t="shared" si="31"/>
        <v>0</v>
      </c>
      <c r="BE25" s="776" t="b">
        <f t="shared" si="37"/>
        <v>0</v>
      </c>
      <c r="BF25" s="778" t="b">
        <f t="shared" si="20"/>
        <v>0</v>
      </c>
      <c r="BG25" s="779" t="b">
        <f t="shared" si="38"/>
        <v>1</v>
      </c>
      <c r="BH25" s="779">
        <f t="shared" si="32"/>
        <v>1</v>
      </c>
      <c r="BI25" s="779">
        <f t="shared" si="22"/>
        <v>2</v>
      </c>
      <c r="BJ25" s="779" t="str">
        <f t="shared" si="23"/>
        <v>2*</v>
      </c>
      <c r="BK25" s="779">
        <f t="shared" si="24"/>
        <v>3</v>
      </c>
      <c r="BL25" s="780">
        <f t="shared" si="33"/>
        <v>1</v>
      </c>
      <c r="BM25" s="779">
        <f t="shared" si="25"/>
        <v>2</v>
      </c>
      <c r="BN25" s="779">
        <f t="shared" si="26"/>
        <v>3</v>
      </c>
      <c r="BO25" s="1141"/>
      <c r="BP25" s="791" t="s">
        <v>362</v>
      </c>
      <c r="BQ25" s="799">
        <f t="shared" si="36"/>
        <v>0.6</v>
      </c>
      <c r="BR25" s="800">
        <f t="shared" si="36"/>
        <v>0.9</v>
      </c>
      <c r="BS25" s="800">
        <f t="shared" si="36"/>
        <v>0.93330000000000002</v>
      </c>
      <c r="BT25" s="800">
        <f t="shared" si="36"/>
        <v>0.9667</v>
      </c>
      <c r="BU25" s="801">
        <f t="shared" si="36"/>
        <v>1</v>
      </c>
      <c r="BV25" s="711"/>
      <c r="BW25" s="802"/>
    </row>
    <row r="26" spans="2:75" s="731" customFormat="1" ht="12.95" customHeight="1" x14ac:dyDescent="0.25">
      <c r="B26" s="783" t="str">
        <f>IF(ISNA(Z26),"",IF(OR(Z26=1,Z26=2),"    ",MAX($B$9:B25)+1))</f>
        <v/>
      </c>
      <c r="C26" s="1116" t="str">
        <f t="shared" si="0"/>
        <v/>
      </c>
      <c r="D26" s="1116"/>
      <c r="E26" s="1116"/>
      <c r="F26" s="1117"/>
      <c r="G26" s="763" t="str">
        <f t="shared" si="1"/>
        <v/>
      </c>
      <c r="H26" s="764" t="str">
        <f t="shared" si="2"/>
        <v/>
      </c>
      <c r="I26" s="784" t="str">
        <f t="shared" si="2"/>
        <v/>
      </c>
      <c r="J26" s="793"/>
      <c r="K26" s="794"/>
      <c r="L26" s="1134"/>
      <c r="M26" s="1135"/>
      <c r="N26" s="1135"/>
      <c r="O26" s="1135"/>
      <c r="P26" s="1135"/>
      <c r="Q26" s="1135"/>
      <c r="R26" s="1136"/>
      <c r="T26" s="727">
        <v>18</v>
      </c>
      <c r="U26" s="716" t="e">
        <v>#N/A</v>
      </c>
      <c r="V26" s="768" t="e">
        <v>#N/A</v>
      </c>
      <c r="W26" s="768" t="e">
        <v>#N/A</v>
      </c>
      <c r="X26" s="768" t="e">
        <v>#N/A</v>
      </c>
      <c r="Y26" s="768" t="e">
        <v>#N/A</v>
      </c>
      <c r="Z26" s="777" t="e">
        <v>#N/A</v>
      </c>
      <c r="AA26" s="777" t="e">
        <v>#N/A</v>
      </c>
      <c r="AB26" s="777" t="e">
        <v>#N/A</v>
      </c>
      <c r="AC26" s="768" t="e">
        <v>#N/A</v>
      </c>
      <c r="AD26" s="768" t="e">
        <v>#N/A</v>
      </c>
      <c r="AE26" s="768" t="e">
        <v>#N/A</v>
      </c>
      <c r="AF26" s="768" t="e">
        <v>#N/A</v>
      </c>
      <c r="AG26" s="768" t="e">
        <f t="shared" si="3"/>
        <v>#N/A</v>
      </c>
      <c r="AH26" s="768" t="str">
        <f t="shared" si="4"/>
        <v/>
      </c>
      <c r="AI26" s="769" t="e">
        <f>IF(NOT(OR(Z26=1,Z26=2)),IF(AQ26&gt;0,$AR$45*AQ26/SUMIF($AQ$9:$AQ$40,"&gt;0"),IF(AU26&gt;0,$AV$45*AU26/SUMIF($AU$9:$AU$40,"&gt;0"),IF(AS26&gt;0,$AT$45*AS26/SUMIF($AS$9:$AS$40,"&gt;0"),""))),IF(SUMIF(AJ27:$AJ$40,"=" &amp; AJ26,AI27:$AI$40)=0,"",SUMIF(AJ27:$AJ$40,"=" &amp; AJ26,AI27:$AI$40)))</f>
        <v>#N/A</v>
      </c>
      <c r="AJ26" s="770" t="e">
        <f t="shared" si="34"/>
        <v>#N/A</v>
      </c>
      <c r="AK26" s="768" t="str">
        <f t="shared" si="27"/>
        <v/>
      </c>
      <c r="AL26" s="777" t="str">
        <f t="shared" si="28"/>
        <v/>
      </c>
      <c r="AM26" s="777" t="str">
        <f t="shared" si="35"/>
        <v/>
      </c>
      <c r="AN26" s="777" t="str">
        <f t="shared" si="5"/>
        <v/>
      </c>
      <c r="AO26" s="777" t="e">
        <f t="shared" si="6"/>
        <v>#N/A</v>
      </c>
      <c r="AP26" s="768" t="str">
        <f t="shared" si="7"/>
        <v/>
      </c>
      <c r="AQ26" s="771">
        <f t="shared" si="29"/>
        <v>0</v>
      </c>
      <c r="AR26" s="772" t="str">
        <f t="shared" si="8"/>
        <v/>
      </c>
      <c r="AS26" s="773">
        <f t="shared" si="30"/>
        <v>0</v>
      </c>
      <c r="AT26" s="772" t="str">
        <f t="shared" si="9"/>
        <v/>
      </c>
      <c r="AU26" s="774">
        <f t="shared" si="10"/>
        <v>0</v>
      </c>
      <c r="AV26" s="775" t="str">
        <f t="shared" si="11"/>
        <v/>
      </c>
      <c r="AW26" s="774" t="b">
        <f t="shared" si="12"/>
        <v>0</v>
      </c>
      <c r="AX26" s="776" t="b">
        <f t="shared" si="13"/>
        <v>0</v>
      </c>
      <c r="AY26" s="774" t="b">
        <f t="shared" si="14"/>
        <v>0</v>
      </c>
      <c r="AZ26" s="776" t="b">
        <f t="shared" si="15"/>
        <v>0</v>
      </c>
      <c r="BA26" s="768" t="b">
        <f t="shared" si="16"/>
        <v>0</v>
      </c>
      <c r="BB26" s="768" t="b">
        <f t="shared" si="17"/>
        <v>0</v>
      </c>
      <c r="BC26" s="774" t="b">
        <f t="shared" si="18"/>
        <v>0</v>
      </c>
      <c r="BD26" s="777" t="b">
        <f t="shared" si="31"/>
        <v>0</v>
      </c>
      <c r="BE26" s="776" t="b">
        <f t="shared" si="37"/>
        <v>0</v>
      </c>
      <c r="BF26" s="778" t="b">
        <f t="shared" si="20"/>
        <v>0</v>
      </c>
      <c r="BG26" s="779" t="str">
        <f t="shared" si="38"/>
        <v>NA</v>
      </c>
      <c r="BH26" s="779" t="str">
        <f t="shared" si="32"/>
        <v/>
      </c>
      <c r="BI26" s="779" t="str">
        <f t="shared" si="22"/>
        <v/>
      </c>
      <c r="BJ26" s="779" t="str">
        <f t="shared" si="23"/>
        <v/>
      </c>
      <c r="BK26" s="779" t="str">
        <f t="shared" si="24"/>
        <v/>
      </c>
      <c r="BL26" s="780" t="str">
        <f t="shared" si="33"/>
        <v/>
      </c>
      <c r="BM26" s="779" t="str">
        <f t="shared" si="25"/>
        <v/>
      </c>
      <c r="BN26" s="779" t="str">
        <f t="shared" si="26"/>
        <v/>
      </c>
      <c r="BO26" s="1141"/>
      <c r="BP26" s="791" t="s">
        <v>363</v>
      </c>
      <c r="BQ26" s="799">
        <f t="shared" si="36"/>
        <v>0.6</v>
      </c>
      <c r="BR26" s="800">
        <f t="shared" si="36"/>
        <v>0.7</v>
      </c>
      <c r="BS26" s="800">
        <f t="shared" si="36"/>
        <v>0.9</v>
      </c>
      <c r="BT26" s="800">
        <f t="shared" si="36"/>
        <v>0.95</v>
      </c>
      <c r="BU26" s="801">
        <f t="shared" si="36"/>
        <v>1</v>
      </c>
      <c r="BV26" s="711"/>
      <c r="BW26" s="802"/>
    </row>
    <row r="27" spans="2:75" s="731" customFormat="1" ht="12.95" customHeight="1" x14ac:dyDescent="0.25">
      <c r="B27" s="783" t="str">
        <f>IF(ISNA(Z27),"",IF(OR(Z27=1,Z27=2),"    ",MAX($B$9:B26)+1))</f>
        <v/>
      </c>
      <c r="C27" s="1116" t="str">
        <f t="shared" si="0"/>
        <v/>
      </c>
      <c r="D27" s="1116"/>
      <c r="E27" s="1116"/>
      <c r="F27" s="1117"/>
      <c r="G27" s="763" t="str">
        <f t="shared" si="1"/>
        <v/>
      </c>
      <c r="H27" s="764" t="str">
        <f t="shared" si="2"/>
        <v/>
      </c>
      <c r="I27" s="784" t="str">
        <f t="shared" si="2"/>
        <v/>
      </c>
      <c r="J27" s="793"/>
      <c r="K27" s="794"/>
      <c r="L27" s="1134"/>
      <c r="M27" s="1135"/>
      <c r="N27" s="1135"/>
      <c r="O27" s="1135"/>
      <c r="P27" s="1135"/>
      <c r="Q27" s="1135"/>
      <c r="R27" s="1136"/>
      <c r="T27" s="727">
        <v>19</v>
      </c>
      <c r="U27" s="716" t="e">
        <v>#N/A</v>
      </c>
      <c r="V27" s="768" t="e">
        <v>#N/A</v>
      </c>
      <c r="W27" s="768" t="e">
        <v>#N/A</v>
      </c>
      <c r="X27" s="768" t="e">
        <v>#N/A</v>
      </c>
      <c r="Y27" s="768" t="e">
        <v>#N/A</v>
      </c>
      <c r="Z27" s="777" t="e">
        <v>#N/A</v>
      </c>
      <c r="AA27" s="777" t="e">
        <v>#N/A</v>
      </c>
      <c r="AB27" s="777" t="e">
        <v>#N/A</v>
      </c>
      <c r="AC27" s="768" t="e">
        <v>#N/A</v>
      </c>
      <c r="AD27" s="768" t="e">
        <v>#N/A</v>
      </c>
      <c r="AE27" s="768" t="e">
        <v>#N/A</v>
      </c>
      <c r="AF27" s="768" t="e">
        <v>#N/A</v>
      </c>
      <c r="AG27" s="768" t="e">
        <f t="shared" si="3"/>
        <v>#N/A</v>
      </c>
      <c r="AH27" s="768" t="str">
        <f t="shared" si="4"/>
        <v/>
      </c>
      <c r="AI27" s="769" t="e">
        <f>IF(NOT(OR(Z27=1,Z27=2)),IF(AQ27&gt;0,$AR$45*AQ27/SUMIF($AQ$9:$AQ$40,"&gt;0"),IF(AU27&gt;0,$AV$45*AU27/SUMIF($AU$9:$AU$40,"&gt;0"),IF(AS27&gt;0,$AT$45*AS27/SUMIF($AS$9:$AS$40,"&gt;0"),""))),IF(SUMIF(AJ28:$AJ$40,"=" &amp; AJ27,AI28:$AI$40)=0,"",SUMIF(AJ28:$AJ$40,"=" &amp; AJ27,AI28:$AI$40)))</f>
        <v>#N/A</v>
      </c>
      <c r="AJ27" s="770" t="e">
        <f t="shared" si="34"/>
        <v>#N/A</v>
      </c>
      <c r="AK27" s="768" t="str">
        <f t="shared" si="27"/>
        <v/>
      </c>
      <c r="AL27" s="777" t="str">
        <f t="shared" si="28"/>
        <v/>
      </c>
      <c r="AM27" s="777" t="str">
        <f t="shared" si="35"/>
        <v/>
      </c>
      <c r="AN27" s="777" t="str">
        <f t="shared" si="5"/>
        <v/>
      </c>
      <c r="AO27" s="777" t="e">
        <f t="shared" si="6"/>
        <v>#N/A</v>
      </c>
      <c r="AP27" s="768" t="str">
        <f t="shared" si="7"/>
        <v/>
      </c>
      <c r="AQ27" s="771">
        <f t="shared" si="29"/>
        <v>0</v>
      </c>
      <c r="AR27" s="772" t="str">
        <f t="shared" si="8"/>
        <v/>
      </c>
      <c r="AS27" s="773">
        <f t="shared" si="30"/>
        <v>0</v>
      </c>
      <c r="AT27" s="772" t="str">
        <f t="shared" si="9"/>
        <v/>
      </c>
      <c r="AU27" s="774">
        <f t="shared" si="10"/>
        <v>0</v>
      </c>
      <c r="AV27" s="775" t="str">
        <f t="shared" si="11"/>
        <v/>
      </c>
      <c r="AW27" s="774" t="b">
        <f t="shared" si="12"/>
        <v>0</v>
      </c>
      <c r="AX27" s="776" t="b">
        <f t="shared" si="13"/>
        <v>0</v>
      </c>
      <c r="AY27" s="774" t="b">
        <f t="shared" si="14"/>
        <v>0</v>
      </c>
      <c r="AZ27" s="776" t="b">
        <f t="shared" si="15"/>
        <v>0</v>
      </c>
      <c r="BA27" s="768" t="b">
        <f t="shared" si="16"/>
        <v>0</v>
      </c>
      <c r="BB27" s="768" t="b">
        <f t="shared" si="17"/>
        <v>0</v>
      </c>
      <c r="BC27" s="774" t="b">
        <f t="shared" si="18"/>
        <v>0</v>
      </c>
      <c r="BD27" s="777" t="b">
        <f t="shared" si="31"/>
        <v>0</v>
      </c>
      <c r="BE27" s="776" t="b">
        <f t="shared" si="37"/>
        <v>0</v>
      </c>
      <c r="BF27" s="778" t="b">
        <f t="shared" si="20"/>
        <v>0</v>
      </c>
      <c r="BG27" s="779" t="str">
        <f t="shared" si="38"/>
        <v>NA</v>
      </c>
      <c r="BH27" s="779" t="str">
        <f t="shared" si="32"/>
        <v/>
      </c>
      <c r="BI27" s="779" t="str">
        <f t="shared" si="22"/>
        <v/>
      </c>
      <c r="BJ27" s="779" t="str">
        <f t="shared" si="23"/>
        <v/>
      </c>
      <c r="BK27" s="779" t="str">
        <f t="shared" si="24"/>
        <v/>
      </c>
      <c r="BL27" s="780" t="str">
        <f t="shared" si="33"/>
        <v/>
      </c>
      <c r="BM27" s="779" t="str">
        <f t="shared" si="25"/>
        <v/>
      </c>
      <c r="BN27" s="779" t="str">
        <f t="shared" si="26"/>
        <v/>
      </c>
      <c r="BO27" s="1141"/>
      <c r="BP27" s="791" t="s">
        <v>364</v>
      </c>
      <c r="BQ27" s="799">
        <f t="shared" si="36"/>
        <v>0.6</v>
      </c>
      <c r="BR27" s="800">
        <f t="shared" si="36"/>
        <v>0.7</v>
      </c>
      <c r="BS27" s="800">
        <f t="shared" si="36"/>
        <v>0.8</v>
      </c>
      <c r="BT27" s="800">
        <f t="shared" si="36"/>
        <v>0.9</v>
      </c>
      <c r="BU27" s="801">
        <f t="shared" si="36"/>
        <v>1</v>
      </c>
    </row>
    <row r="28" spans="2:75" s="731" customFormat="1" ht="12.95" customHeight="1" x14ac:dyDescent="0.25">
      <c r="B28" s="783" t="str">
        <f>IF(ISNA(Z28),"",IF(OR(Z28=1,Z28=2),"    ",MAX($B$9:B27)+1))</f>
        <v/>
      </c>
      <c r="C28" s="1116" t="str">
        <f t="shared" si="0"/>
        <v/>
      </c>
      <c r="D28" s="1116"/>
      <c r="E28" s="1116"/>
      <c r="F28" s="1117"/>
      <c r="G28" s="763" t="str">
        <f t="shared" si="1"/>
        <v/>
      </c>
      <c r="H28" s="764" t="str">
        <f t="shared" si="2"/>
        <v/>
      </c>
      <c r="I28" s="784" t="str">
        <f t="shared" si="2"/>
        <v/>
      </c>
      <c r="J28" s="793"/>
      <c r="K28" s="794"/>
      <c r="L28" s="1134"/>
      <c r="M28" s="1135"/>
      <c r="N28" s="1135"/>
      <c r="O28" s="1135"/>
      <c r="P28" s="1135"/>
      <c r="Q28" s="1135"/>
      <c r="R28" s="1136"/>
      <c r="T28" s="727">
        <v>20</v>
      </c>
      <c r="U28" s="716" t="e">
        <v>#N/A</v>
      </c>
      <c r="V28" s="768" t="e">
        <v>#N/A</v>
      </c>
      <c r="W28" s="768" t="e">
        <v>#N/A</v>
      </c>
      <c r="X28" s="768" t="e">
        <v>#N/A</v>
      </c>
      <c r="Y28" s="768" t="e">
        <v>#N/A</v>
      </c>
      <c r="Z28" s="777" t="e">
        <v>#N/A</v>
      </c>
      <c r="AA28" s="777" t="e">
        <v>#N/A</v>
      </c>
      <c r="AB28" s="777" t="e">
        <v>#N/A</v>
      </c>
      <c r="AC28" s="768" t="e">
        <v>#N/A</v>
      </c>
      <c r="AD28" s="768" t="e">
        <v>#N/A</v>
      </c>
      <c r="AE28" s="768" t="e">
        <v>#N/A</v>
      </c>
      <c r="AF28" s="768" t="e">
        <v>#N/A</v>
      </c>
      <c r="AG28" s="768" t="e">
        <f t="shared" si="3"/>
        <v>#N/A</v>
      </c>
      <c r="AH28" s="768" t="str">
        <f t="shared" si="4"/>
        <v/>
      </c>
      <c r="AI28" s="769" t="e">
        <f>IF(NOT(OR(Z28=1,Z28=2)),IF(AQ28&gt;0,$AR$45*AQ28/SUMIF($AQ$9:$AQ$40,"&gt;0"),IF(AU28&gt;0,$AV$45*AU28/SUMIF($AU$9:$AU$40,"&gt;0"),IF(AS28&gt;0,$AT$45*AS28/SUMIF($AS$9:$AS$40,"&gt;0"),""))),IF(SUMIF(AJ29:$AJ$40,"=" &amp; AJ28,AI29:$AI$40)=0,"",SUMIF(AJ29:$AJ$40,"=" &amp; AJ28,AI29:$AI$40)))</f>
        <v>#N/A</v>
      </c>
      <c r="AJ28" s="770" t="e">
        <f t="shared" si="34"/>
        <v>#N/A</v>
      </c>
      <c r="AK28" s="768" t="str">
        <f t="shared" si="27"/>
        <v/>
      </c>
      <c r="AL28" s="777" t="str">
        <f t="shared" si="28"/>
        <v/>
      </c>
      <c r="AM28" s="777" t="str">
        <f t="shared" si="35"/>
        <v/>
      </c>
      <c r="AN28" s="777" t="str">
        <f t="shared" si="5"/>
        <v/>
      </c>
      <c r="AO28" s="777" t="e">
        <f t="shared" si="6"/>
        <v>#N/A</v>
      </c>
      <c r="AP28" s="768" t="str">
        <f t="shared" si="7"/>
        <v/>
      </c>
      <c r="AQ28" s="771">
        <f t="shared" si="29"/>
        <v>0</v>
      </c>
      <c r="AR28" s="772" t="str">
        <f t="shared" si="8"/>
        <v/>
      </c>
      <c r="AS28" s="773">
        <f t="shared" si="30"/>
        <v>0</v>
      </c>
      <c r="AT28" s="772" t="str">
        <f t="shared" si="9"/>
        <v/>
      </c>
      <c r="AU28" s="774">
        <f t="shared" si="10"/>
        <v>0</v>
      </c>
      <c r="AV28" s="775" t="str">
        <f t="shared" si="11"/>
        <v/>
      </c>
      <c r="AW28" s="774" t="b">
        <f t="shared" si="12"/>
        <v>0</v>
      </c>
      <c r="AX28" s="776" t="b">
        <f t="shared" si="13"/>
        <v>0</v>
      </c>
      <c r="AY28" s="774" t="b">
        <f t="shared" si="14"/>
        <v>0</v>
      </c>
      <c r="AZ28" s="776" t="b">
        <f t="shared" si="15"/>
        <v>0</v>
      </c>
      <c r="BA28" s="768" t="b">
        <f t="shared" si="16"/>
        <v>0</v>
      </c>
      <c r="BB28" s="768" t="b">
        <f t="shared" si="17"/>
        <v>0</v>
      </c>
      <c r="BC28" s="774" t="b">
        <f t="shared" si="18"/>
        <v>0</v>
      </c>
      <c r="BD28" s="777" t="b">
        <f t="shared" si="31"/>
        <v>0</v>
      </c>
      <c r="BE28" s="776" t="b">
        <f t="shared" si="37"/>
        <v>0</v>
      </c>
      <c r="BF28" s="778" t="b">
        <f t="shared" si="20"/>
        <v>0</v>
      </c>
      <c r="BG28" s="779" t="str">
        <f t="shared" si="38"/>
        <v>NA</v>
      </c>
      <c r="BH28" s="779" t="str">
        <f t="shared" si="32"/>
        <v/>
      </c>
      <c r="BI28" s="779" t="str">
        <f t="shared" si="22"/>
        <v/>
      </c>
      <c r="BJ28" s="779" t="str">
        <f t="shared" si="23"/>
        <v/>
      </c>
      <c r="BK28" s="779" t="str">
        <f t="shared" si="24"/>
        <v/>
      </c>
      <c r="BL28" s="780" t="str">
        <f t="shared" si="33"/>
        <v/>
      </c>
      <c r="BM28" s="779" t="str">
        <f t="shared" si="25"/>
        <v/>
      </c>
      <c r="BN28" s="779" t="str">
        <f t="shared" si="26"/>
        <v/>
      </c>
      <c r="BO28" s="1141"/>
      <c r="BP28" s="791" t="s">
        <v>365</v>
      </c>
      <c r="BQ28" s="799">
        <f t="shared" si="36"/>
        <v>0.3</v>
      </c>
      <c r="BR28" s="800">
        <f t="shared" si="36"/>
        <v>0.6</v>
      </c>
      <c r="BS28" s="800">
        <f t="shared" si="36"/>
        <v>0.9</v>
      </c>
      <c r="BT28" s="800">
        <f t="shared" si="36"/>
        <v>0.95</v>
      </c>
      <c r="BU28" s="801">
        <f t="shared" si="36"/>
        <v>1</v>
      </c>
    </row>
    <row r="29" spans="2:75" s="731" customFormat="1" ht="12.95" customHeight="1" x14ac:dyDescent="0.25">
      <c r="B29" s="783" t="str">
        <f>IF(ISNA(Z29),"",IF(OR(Z29=1,Z29=2),"    ",MAX($B$9:B28)+1))</f>
        <v/>
      </c>
      <c r="C29" s="1116" t="str">
        <f t="shared" si="0"/>
        <v/>
      </c>
      <c r="D29" s="1116"/>
      <c r="E29" s="1116"/>
      <c r="F29" s="1117"/>
      <c r="G29" s="763" t="str">
        <f t="shared" si="1"/>
        <v/>
      </c>
      <c r="H29" s="764" t="str">
        <f t="shared" si="2"/>
        <v/>
      </c>
      <c r="I29" s="784" t="str">
        <f t="shared" si="2"/>
        <v/>
      </c>
      <c r="J29" s="793"/>
      <c r="K29" s="794"/>
      <c r="L29" s="1134"/>
      <c r="M29" s="1135"/>
      <c r="N29" s="1135"/>
      <c r="O29" s="1135"/>
      <c r="P29" s="1135"/>
      <c r="Q29" s="1135"/>
      <c r="R29" s="1136"/>
      <c r="T29" s="727">
        <v>21</v>
      </c>
      <c r="U29" s="716" t="e">
        <v>#N/A</v>
      </c>
      <c r="V29" s="768" t="e">
        <v>#N/A</v>
      </c>
      <c r="W29" s="768" t="e">
        <v>#N/A</v>
      </c>
      <c r="X29" s="768" t="e">
        <v>#N/A</v>
      </c>
      <c r="Y29" s="768" t="e">
        <v>#N/A</v>
      </c>
      <c r="Z29" s="777" t="e">
        <v>#N/A</v>
      </c>
      <c r="AA29" s="777" t="e">
        <v>#N/A</v>
      </c>
      <c r="AB29" s="777" t="e">
        <v>#N/A</v>
      </c>
      <c r="AC29" s="768" t="e">
        <v>#N/A</v>
      </c>
      <c r="AD29" s="768" t="e">
        <v>#N/A</v>
      </c>
      <c r="AE29" s="768" t="e">
        <v>#N/A</v>
      </c>
      <c r="AF29" s="768" t="e">
        <v>#N/A</v>
      </c>
      <c r="AG29" s="768" t="e">
        <f t="shared" si="3"/>
        <v>#N/A</v>
      </c>
      <c r="AH29" s="768" t="str">
        <f t="shared" si="4"/>
        <v/>
      </c>
      <c r="AI29" s="769" t="e">
        <f>IF(NOT(OR(Z29=1,Z29=2)),IF(AQ29&gt;0,$AR$45*AQ29/SUMIF($AQ$9:$AQ$40,"&gt;0"),IF(AU29&gt;0,$AV$45*AU29/SUMIF($AU$9:$AU$40,"&gt;0"),IF(AS29&gt;0,$AT$45*AS29/SUMIF($AS$9:$AS$40,"&gt;0"),""))),IF(SUMIF(AJ30:$AJ$40,"=" &amp; AJ29,AI30:$AI$40)=0,"",SUMIF(AJ30:$AJ$40,"=" &amp; AJ29,AI30:$AI$40)))</f>
        <v>#N/A</v>
      </c>
      <c r="AJ29" s="770" t="e">
        <f t="shared" si="34"/>
        <v>#N/A</v>
      </c>
      <c r="AK29" s="768" t="str">
        <f t="shared" si="27"/>
        <v/>
      </c>
      <c r="AL29" s="777" t="str">
        <f t="shared" si="28"/>
        <v/>
      </c>
      <c r="AM29" s="777" t="str">
        <f t="shared" si="35"/>
        <v/>
      </c>
      <c r="AN29" s="777" t="str">
        <f t="shared" si="5"/>
        <v/>
      </c>
      <c r="AO29" s="777" t="e">
        <f t="shared" si="6"/>
        <v>#N/A</v>
      </c>
      <c r="AP29" s="768" t="str">
        <f t="shared" si="7"/>
        <v/>
      </c>
      <c r="AQ29" s="771">
        <f t="shared" si="29"/>
        <v>0</v>
      </c>
      <c r="AR29" s="772" t="str">
        <f t="shared" si="8"/>
        <v/>
      </c>
      <c r="AS29" s="773">
        <f t="shared" si="30"/>
        <v>0</v>
      </c>
      <c r="AT29" s="772" t="str">
        <f t="shared" si="9"/>
        <v/>
      </c>
      <c r="AU29" s="774">
        <f t="shared" si="10"/>
        <v>0</v>
      </c>
      <c r="AV29" s="775" t="str">
        <f t="shared" si="11"/>
        <v/>
      </c>
      <c r="AW29" s="774" t="b">
        <f t="shared" si="12"/>
        <v>0</v>
      </c>
      <c r="AX29" s="776" t="b">
        <f t="shared" si="13"/>
        <v>0</v>
      </c>
      <c r="AY29" s="774" t="b">
        <f t="shared" si="14"/>
        <v>0</v>
      </c>
      <c r="AZ29" s="776" t="b">
        <f t="shared" si="15"/>
        <v>0</v>
      </c>
      <c r="BA29" s="768" t="b">
        <f t="shared" si="16"/>
        <v>0</v>
      </c>
      <c r="BB29" s="768" t="b">
        <f t="shared" si="17"/>
        <v>0</v>
      </c>
      <c r="BC29" s="774" t="b">
        <f t="shared" si="18"/>
        <v>0</v>
      </c>
      <c r="BD29" s="777" t="b">
        <f t="shared" si="31"/>
        <v>0</v>
      </c>
      <c r="BE29" s="776" t="b">
        <f t="shared" si="37"/>
        <v>0</v>
      </c>
      <c r="BF29" s="778" t="b">
        <f t="shared" si="20"/>
        <v>0</v>
      </c>
      <c r="BG29" s="779" t="str">
        <f t="shared" si="38"/>
        <v>NA</v>
      </c>
      <c r="BH29" s="779" t="str">
        <f t="shared" si="32"/>
        <v/>
      </c>
      <c r="BI29" s="779" t="str">
        <f t="shared" si="22"/>
        <v/>
      </c>
      <c r="BJ29" s="779" t="str">
        <f t="shared" si="23"/>
        <v/>
      </c>
      <c r="BK29" s="779" t="str">
        <f t="shared" si="24"/>
        <v/>
      </c>
      <c r="BL29" s="780" t="str">
        <f t="shared" si="33"/>
        <v/>
      </c>
      <c r="BM29" s="779" t="str">
        <f t="shared" si="25"/>
        <v/>
      </c>
      <c r="BN29" s="779" t="str">
        <f t="shared" si="26"/>
        <v/>
      </c>
      <c r="BO29" s="1141"/>
      <c r="BP29" s="791" t="s">
        <v>366</v>
      </c>
      <c r="BQ29" s="799">
        <f t="shared" si="36"/>
        <v>0.3</v>
      </c>
      <c r="BR29" s="800">
        <f t="shared" si="36"/>
        <v>0.6</v>
      </c>
      <c r="BS29" s="800">
        <f t="shared" si="36"/>
        <v>0.7</v>
      </c>
      <c r="BT29" s="800">
        <f t="shared" si="36"/>
        <v>0.9</v>
      </c>
      <c r="BU29" s="801">
        <f t="shared" si="36"/>
        <v>1</v>
      </c>
    </row>
    <row r="30" spans="2:75" s="731" customFormat="1" ht="12.95" customHeight="1" x14ac:dyDescent="0.25">
      <c r="B30" s="783" t="str">
        <f>IF(ISNA(Z30),"",IF(OR(Z30=1,Z30=2),"    ",MAX($B$9:B29)+1))</f>
        <v/>
      </c>
      <c r="C30" s="1116" t="str">
        <f t="shared" si="0"/>
        <v/>
      </c>
      <c r="D30" s="1116"/>
      <c r="E30" s="1116"/>
      <c r="F30" s="1117"/>
      <c r="G30" s="763" t="str">
        <f t="shared" si="1"/>
        <v/>
      </c>
      <c r="H30" s="764" t="str">
        <f t="shared" si="2"/>
        <v/>
      </c>
      <c r="I30" s="784" t="str">
        <f t="shared" si="2"/>
        <v/>
      </c>
      <c r="J30" s="793"/>
      <c r="K30" s="794"/>
      <c r="L30" s="1134"/>
      <c r="M30" s="1135"/>
      <c r="N30" s="1135"/>
      <c r="O30" s="1135"/>
      <c r="P30" s="1135"/>
      <c r="Q30" s="1135"/>
      <c r="R30" s="1136"/>
      <c r="T30" s="727">
        <v>22</v>
      </c>
      <c r="U30" s="716" t="e">
        <v>#N/A</v>
      </c>
      <c r="V30" s="768" t="e">
        <v>#N/A</v>
      </c>
      <c r="W30" s="768" t="e">
        <v>#N/A</v>
      </c>
      <c r="X30" s="768" t="e">
        <v>#N/A</v>
      </c>
      <c r="Y30" s="768" t="e">
        <v>#N/A</v>
      </c>
      <c r="Z30" s="777" t="e">
        <v>#N/A</v>
      </c>
      <c r="AA30" s="777" t="e">
        <v>#N/A</v>
      </c>
      <c r="AB30" s="777" t="e">
        <v>#N/A</v>
      </c>
      <c r="AC30" s="768" t="e">
        <v>#N/A</v>
      </c>
      <c r="AD30" s="768" t="e">
        <v>#N/A</v>
      </c>
      <c r="AE30" s="768" t="e">
        <v>#N/A</v>
      </c>
      <c r="AF30" s="768" t="e">
        <v>#N/A</v>
      </c>
      <c r="AG30" s="768" t="e">
        <f t="shared" si="3"/>
        <v>#N/A</v>
      </c>
      <c r="AH30" s="768" t="str">
        <f t="shared" si="4"/>
        <v/>
      </c>
      <c r="AI30" s="769" t="e">
        <f>IF(NOT(OR(Z30=1,Z30=2)),IF(AQ30&gt;0,$AR$45*AQ30/SUMIF($AQ$9:$AQ$40,"&gt;0"),IF(AU30&gt;0,$AV$45*AU30/SUMIF($AU$9:$AU$40,"&gt;0"),IF(AS30&gt;0,$AT$45*AS30/SUMIF($AS$9:$AS$40,"&gt;0"),""))),IF(SUMIF(AJ31:$AJ$40,"=" &amp; AJ30,AI31:$AI$40)=0,"",SUMIF(AJ31:$AJ$40,"=" &amp; AJ30,AI31:$AI$40)))</f>
        <v>#N/A</v>
      </c>
      <c r="AJ30" s="770" t="e">
        <f t="shared" si="34"/>
        <v>#N/A</v>
      </c>
      <c r="AK30" s="768" t="str">
        <f t="shared" si="27"/>
        <v/>
      </c>
      <c r="AL30" s="777" t="str">
        <f t="shared" si="28"/>
        <v/>
      </c>
      <c r="AM30" s="777" t="str">
        <f t="shared" si="35"/>
        <v/>
      </c>
      <c r="AN30" s="777" t="str">
        <f t="shared" si="5"/>
        <v/>
      </c>
      <c r="AO30" s="777" t="e">
        <f t="shared" si="6"/>
        <v>#N/A</v>
      </c>
      <c r="AP30" s="768" t="str">
        <f t="shared" si="7"/>
        <v/>
      </c>
      <c r="AQ30" s="771">
        <f t="shared" si="29"/>
        <v>0</v>
      </c>
      <c r="AR30" s="772" t="str">
        <f t="shared" si="8"/>
        <v/>
      </c>
      <c r="AS30" s="773">
        <f t="shared" si="30"/>
        <v>0</v>
      </c>
      <c r="AT30" s="772" t="str">
        <f t="shared" si="9"/>
        <v/>
      </c>
      <c r="AU30" s="774">
        <f t="shared" si="10"/>
        <v>0</v>
      </c>
      <c r="AV30" s="775" t="str">
        <f t="shared" si="11"/>
        <v/>
      </c>
      <c r="AW30" s="774" t="b">
        <f t="shared" si="12"/>
        <v>0</v>
      </c>
      <c r="AX30" s="776" t="b">
        <f t="shared" si="13"/>
        <v>0</v>
      </c>
      <c r="AY30" s="774" t="b">
        <f t="shared" si="14"/>
        <v>0</v>
      </c>
      <c r="AZ30" s="776" t="b">
        <f t="shared" si="15"/>
        <v>0</v>
      </c>
      <c r="BA30" s="768" t="b">
        <f t="shared" si="16"/>
        <v>0</v>
      </c>
      <c r="BB30" s="768" t="b">
        <f t="shared" si="17"/>
        <v>0</v>
      </c>
      <c r="BC30" s="774" t="b">
        <f t="shared" si="18"/>
        <v>0</v>
      </c>
      <c r="BD30" s="777" t="b">
        <f t="shared" si="31"/>
        <v>0</v>
      </c>
      <c r="BE30" s="776" t="b">
        <f t="shared" si="37"/>
        <v>0</v>
      </c>
      <c r="BF30" s="778" t="b">
        <f t="shared" si="20"/>
        <v>0</v>
      </c>
      <c r="BG30" s="779" t="str">
        <f t="shared" si="38"/>
        <v>NA</v>
      </c>
      <c r="BH30" s="779" t="str">
        <f t="shared" si="32"/>
        <v/>
      </c>
      <c r="BI30" s="779" t="str">
        <f t="shared" si="22"/>
        <v/>
      </c>
      <c r="BJ30" s="779" t="str">
        <f t="shared" si="23"/>
        <v/>
      </c>
      <c r="BK30" s="779" t="str">
        <f t="shared" si="24"/>
        <v/>
      </c>
      <c r="BL30" s="780" t="str">
        <f t="shared" si="33"/>
        <v/>
      </c>
      <c r="BM30" s="779" t="str">
        <f t="shared" si="25"/>
        <v/>
      </c>
      <c r="BN30" s="779" t="str">
        <f t="shared" si="26"/>
        <v/>
      </c>
      <c r="BO30" s="1141"/>
      <c r="BP30" s="791" t="s">
        <v>367</v>
      </c>
      <c r="BQ30" s="803">
        <f t="shared" si="36"/>
        <v>0</v>
      </c>
      <c r="BR30" s="804">
        <f t="shared" si="36"/>
        <v>0.3</v>
      </c>
      <c r="BS30" s="804">
        <f t="shared" si="36"/>
        <v>0.6</v>
      </c>
      <c r="BT30" s="804">
        <f t="shared" si="36"/>
        <v>0.9</v>
      </c>
      <c r="BU30" s="805">
        <f t="shared" si="36"/>
        <v>1</v>
      </c>
    </row>
    <row r="31" spans="2:75" s="731" customFormat="1" ht="12.95" customHeight="1" x14ac:dyDescent="0.25">
      <c r="B31" s="783" t="str">
        <f>IF(ISNA(Z31),"",IF(OR(Z31=1,Z31=2),"    ",MAX($B$9:B30)+1))</f>
        <v/>
      </c>
      <c r="C31" s="1116" t="str">
        <f t="shared" si="0"/>
        <v/>
      </c>
      <c r="D31" s="1116"/>
      <c r="E31" s="1116"/>
      <c r="F31" s="1117"/>
      <c r="G31" s="763" t="str">
        <f t="shared" si="1"/>
        <v/>
      </c>
      <c r="H31" s="764" t="str">
        <f t="shared" si="2"/>
        <v/>
      </c>
      <c r="I31" s="784" t="str">
        <f t="shared" si="2"/>
        <v/>
      </c>
      <c r="J31" s="793"/>
      <c r="K31" s="794"/>
      <c r="L31" s="1134"/>
      <c r="M31" s="1135"/>
      <c r="N31" s="1135"/>
      <c r="O31" s="1135"/>
      <c r="P31" s="1135"/>
      <c r="Q31" s="1135"/>
      <c r="R31" s="1136"/>
      <c r="T31" s="727">
        <v>23</v>
      </c>
      <c r="U31" s="716" t="e">
        <v>#N/A</v>
      </c>
      <c r="V31" s="768" t="e">
        <v>#N/A</v>
      </c>
      <c r="W31" s="768" t="e">
        <v>#N/A</v>
      </c>
      <c r="X31" s="768" t="e">
        <v>#N/A</v>
      </c>
      <c r="Y31" s="768" t="e">
        <v>#N/A</v>
      </c>
      <c r="Z31" s="777" t="e">
        <v>#N/A</v>
      </c>
      <c r="AA31" s="777" t="e">
        <v>#N/A</v>
      </c>
      <c r="AB31" s="777" t="e">
        <v>#N/A</v>
      </c>
      <c r="AC31" s="768" t="e">
        <v>#N/A</v>
      </c>
      <c r="AD31" s="768" t="e">
        <v>#N/A</v>
      </c>
      <c r="AE31" s="768" t="e">
        <v>#N/A</v>
      </c>
      <c r="AF31" s="768" t="e">
        <v>#N/A</v>
      </c>
      <c r="AG31" s="768" t="e">
        <f t="shared" si="3"/>
        <v>#N/A</v>
      </c>
      <c r="AH31" s="768" t="str">
        <f t="shared" si="4"/>
        <v/>
      </c>
      <c r="AI31" s="769" t="e">
        <f>IF(NOT(OR(Z31=1,Z31=2)),IF(AQ31&gt;0,$AR$45*AQ31/SUMIF($AQ$9:$AQ$40,"&gt;0"),IF(AU31&gt;0,$AV$45*AU31/SUMIF($AU$9:$AU$40,"&gt;0"),IF(AS31&gt;0,$AT$45*AS31/SUMIF($AS$9:$AS$40,"&gt;0"),""))),IF(SUMIF(AJ32:$AJ$40,"=" &amp; AJ31,AI32:$AI$40)=0,"",SUMIF(AJ32:$AJ$40,"=" &amp; AJ31,AI32:$AI$40)))</f>
        <v>#N/A</v>
      </c>
      <c r="AJ31" s="770" t="e">
        <f t="shared" si="34"/>
        <v>#N/A</v>
      </c>
      <c r="AK31" s="768" t="str">
        <f t="shared" si="27"/>
        <v/>
      </c>
      <c r="AL31" s="777" t="str">
        <f t="shared" si="28"/>
        <v/>
      </c>
      <c r="AM31" s="777" t="str">
        <f t="shared" si="35"/>
        <v/>
      </c>
      <c r="AN31" s="777" t="str">
        <f t="shared" si="5"/>
        <v/>
      </c>
      <c r="AO31" s="777" t="e">
        <f t="shared" si="6"/>
        <v>#N/A</v>
      </c>
      <c r="AP31" s="768" t="str">
        <f t="shared" si="7"/>
        <v/>
      </c>
      <c r="AQ31" s="771">
        <f t="shared" si="29"/>
        <v>0</v>
      </c>
      <c r="AR31" s="772" t="str">
        <f t="shared" si="8"/>
        <v/>
      </c>
      <c r="AS31" s="773">
        <f t="shared" si="30"/>
        <v>0</v>
      </c>
      <c r="AT31" s="772" t="str">
        <f t="shared" si="9"/>
        <v/>
      </c>
      <c r="AU31" s="774">
        <f t="shared" si="10"/>
        <v>0</v>
      </c>
      <c r="AV31" s="775" t="str">
        <f t="shared" si="11"/>
        <v/>
      </c>
      <c r="AW31" s="774" t="b">
        <f t="shared" si="12"/>
        <v>0</v>
      </c>
      <c r="AX31" s="776" t="b">
        <f t="shared" si="13"/>
        <v>0</v>
      </c>
      <c r="AY31" s="774" t="b">
        <f t="shared" si="14"/>
        <v>0</v>
      </c>
      <c r="AZ31" s="776" t="b">
        <f t="shared" si="15"/>
        <v>0</v>
      </c>
      <c r="BA31" s="768" t="b">
        <f t="shared" si="16"/>
        <v>0</v>
      </c>
      <c r="BB31" s="768" t="b">
        <f t="shared" si="17"/>
        <v>0</v>
      </c>
      <c r="BC31" s="774" t="b">
        <f t="shared" si="18"/>
        <v>0</v>
      </c>
      <c r="BD31" s="777" t="b">
        <f t="shared" si="31"/>
        <v>0</v>
      </c>
      <c r="BE31" s="776" t="b">
        <f t="shared" si="37"/>
        <v>0</v>
      </c>
      <c r="BF31" s="778" t="b">
        <f t="shared" si="20"/>
        <v>0</v>
      </c>
      <c r="BG31" s="779" t="str">
        <f t="shared" si="38"/>
        <v>NA</v>
      </c>
      <c r="BH31" s="779" t="str">
        <f t="shared" si="32"/>
        <v/>
      </c>
      <c r="BI31" s="779" t="str">
        <f t="shared" si="22"/>
        <v/>
      </c>
      <c r="BJ31" s="779" t="str">
        <f t="shared" si="23"/>
        <v/>
      </c>
      <c r="BK31" s="779" t="str">
        <f t="shared" si="24"/>
        <v/>
      </c>
      <c r="BL31" s="780" t="str">
        <f t="shared" si="33"/>
        <v/>
      </c>
      <c r="BM31" s="779" t="str">
        <f t="shared" si="25"/>
        <v/>
      </c>
      <c r="BN31" s="779" t="str">
        <f t="shared" si="26"/>
        <v/>
      </c>
      <c r="BO31" s="719"/>
    </row>
    <row r="32" spans="2:75" s="731" customFormat="1" ht="12.95" customHeight="1" x14ac:dyDescent="0.25">
      <c r="B32" s="783" t="str">
        <f>IF(ISNA(Z32),"",IF(OR(Z32=1,Z32=2),"    ",MAX($B$9:B31)+1))</f>
        <v/>
      </c>
      <c r="C32" s="1116" t="str">
        <f t="shared" si="0"/>
        <v/>
      </c>
      <c r="D32" s="1116"/>
      <c r="E32" s="1116"/>
      <c r="F32" s="1117"/>
      <c r="G32" s="763" t="str">
        <f t="shared" si="1"/>
        <v/>
      </c>
      <c r="H32" s="764" t="str">
        <f t="shared" si="2"/>
        <v/>
      </c>
      <c r="I32" s="784" t="str">
        <f t="shared" si="2"/>
        <v/>
      </c>
      <c r="J32" s="793"/>
      <c r="K32" s="794"/>
      <c r="L32" s="1134"/>
      <c r="M32" s="1135"/>
      <c r="N32" s="1135"/>
      <c r="O32" s="1135"/>
      <c r="P32" s="1135"/>
      <c r="Q32" s="1135"/>
      <c r="R32" s="1136"/>
      <c r="T32" s="727">
        <v>24</v>
      </c>
      <c r="U32" s="716" t="e">
        <v>#N/A</v>
      </c>
      <c r="V32" s="768" t="e">
        <v>#N/A</v>
      </c>
      <c r="W32" s="768" t="e">
        <v>#N/A</v>
      </c>
      <c r="X32" s="768" t="e">
        <v>#N/A</v>
      </c>
      <c r="Y32" s="768" t="e">
        <v>#N/A</v>
      </c>
      <c r="Z32" s="777" t="e">
        <v>#N/A</v>
      </c>
      <c r="AA32" s="777" t="e">
        <v>#N/A</v>
      </c>
      <c r="AB32" s="777" t="e">
        <v>#N/A</v>
      </c>
      <c r="AC32" s="768" t="e">
        <v>#N/A</v>
      </c>
      <c r="AD32" s="768" t="e">
        <v>#N/A</v>
      </c>
      <c r="AE32" s="768" t="e">
        <v>#N/A</v>
      </c>
      <c r="AF32" s="768" t="e">
        <v>#N/A</v>
      </c>
      <c r="AG32" s="768" t="e">
        <f t="shared" si="3"/>
        <v>#N/A</v>
      </c>
      <c r="AH32" s="768" t="str">
        <f t="shared" si="4"/>
        <v/>
      </c>
      <c r="AI32" s="769" t="e">
        <f>IF(NOT(OR(Z32=1,Z32=2)),IF(AQ32&gt;0,$AR$45*AQ32/SUMIF($AQ$9:$AQ$40,"&gt;0"),IF(AU32&gt;0,$AV$45*AU32/SUMIF($AU$9:$AU$40,"&gt;0"),IF(AS32&gt;0,$AT$45*AS32/SUMIF($AS$9:$AS$40,"&gt;0"),""))),IF(SUMIF(AJ33:$AJ$40,"=" &amp; AJ32,AI33:$AI$40)=0,"",SUMIF(AJ33:$AJ$40,"=" &amp; AJ32,AI33:$AI$40)))</f>
        <v>#N/A</v>
      </c>
      <c r="AJ32" s="770" t="e">
        <f t="shared" si="34"/>
        <v>#N/A</v>
      </c>
      <c r="AK32" s="768" t="str">
        <f t="shared" si="27"/>
        <v/>
      </c>
      <c r="AL32" s="777" t="str">
        <f t="shared" si="28"/>
        <v/>
      </c>
      <c r="AM32" s="777" t="str">
        <f t="shared" si="35"/>
        <v/>
      </c>
      <c r="AN32" s="777" t="str">
        <f t="shared" si="5"/>
        <v/>
      </c>
      <c r="AO32" s="777" t="e">
        <f t="shared" si="6"/>
        <v>#N/A</v>
      </c>
      <c r="AP32" s="768" t="str">
        <f t="shared" si="7"/>
        <v/>
      </c>
      <c r="AQ32" s="771">
        <f t="shared" si="29"/>
        <v>0</v>
      </c>
      <c r="AR32" s="772" t="str">
        <f t="shared" si="8"/>
        <v/>
      </c>
      <c r="AS32" s="773">
        <f t="shared" si="30"/>
        <v>0</v>
      </c>
      <c r="AT32" s="772" t="str">
        <f t="shared" si="9"/>
        <v/>
      </c>
      <c r="AU32" s="774">
        <f t="shared" si="10"/>
        <v>0</v>
      </c>
      <c r="AV32" s="775" t="str">
        <f t="shared" si="11"/>
        <v/>
      </c>
      <c r="AW32" s="774" t="b">
        <f t="shared" si="12"/>
        <v>0</v>
      </c>
      <c r="AX32" s="776" t="b">
        <f t="shared" si="13"/>
        <v>0</v>
      </c>
      <c r="AY32" s="774" t="b">
        <f t="shared" si="14"/>
        <v>0</v>
      </c>
      <c r="AZ32" s="776" t="b">
        <f t="shared" si="15"/>
        <v>0</v>
      </c>
      <c r="BA32" s="768" t="b">
        <f t="shared" si="16"/>
        <v>0</v>
      </c>
      <c r="BB32" s="768" t="b">
        <f t="shared" si="17"/>
        <v>0</v>
      </c>
      <c r="BC32" s="774" t="b">
        <f t="shared" si="18"/>
        <v>0</v>
      </c>
      <c r="BD32" s="777" t="b">
        <f>IF(OR(ISNA($Z32),ISNUMBER($Z32),NOT(ISNUMBER(K32))),FALSE,OR(NOT(ISNUMBER(J32)),J32=0,AND(J32=0,K32&lt;&gt;0)))</f>
        <v>0</v>
      </c>
      <c r="BE32" s="776" t="b">
        <f t="shared" si="37"/>
        <v>0</v>
      </c>
      <c r="BF32" s="778" t="b">
        <f>IF(OR(ISNA($Z32),H32&lt;&gt;"NG"),FALSE,IF(AND(J32="NA",K32&lt;&gt;""),TRUE,FALSE))</f>
        <v>0</v>
      </c>
      <c r="BG32" s="779" t="str">
        <f t="shared" si="38"/>
        <v>NA</v>
      </c>
      <c r="BH32" s="779" t="str">
        <f t="shared" si="32"/>
        <v/>
      </c>
      <c r="BI32" s="779" t="str">
        <f t="shared" si="22"/>
        <v/>
      </c>
      <c r="BJ32" s="779" t="str">
        <f t="shared" si="23"/>
        <v/>
      </c>
      <c r="BK32" s="779" t="str">
        <f t="shared" si="24"/>
        <v/>
      </c>
      <c r="BL32" s="780" t="str">
        <f t="shared" si="33"/>
        <v/>
      </c>
      <c r="BM32" s="779" t="str">
        <f t="shared" si="25"/>
        <v/>
      </c>
      <c r="BN32" s="779" t="str">
        <f t="shared" si="26"/>
        <v/>
      </c>
      <c r="BO32" s="787" t="s">
        <v>368</v>
      </c>
      <c r="BP32" s="792" t="s">
        <v>369</v>
      </c>
    </row>
    <row r="33" spans="2:73 1271:1271" s="731" customFormat="1" ht="12.95" customHeight="1" x14ac:dyDescent="0.25">
      <c r="B33" s="783" t="str">
        <f>IF(ISNA(Z33),"",IF(OR(Z33=1,Z33=2),"    ",MAX($B$9:B32)+1))</f>
        <v/>
      </c>
      <c r="C33" s="1116" t="str">
        <f t="shared" si="0"/>
        <v/>
      </c>
      <c r="D33" s="1116"/>
      <c r="E33" s="1116"/>
      <c r="F33" s="1117"/>
      <c r="G33" s="763" t="str">
        <f t="shared" si="1"/>
        <v/>
      </c>
      <c r="H33" s="764" t="str">
        <f t="shared" si="2"/>
        <v/>
      </c>
      <c r="I33" s="784" t="str">
        <f t="shared" si="2"/>
        <v/>
      </c>
      <c r="J33" s="793"/>
      <c r="K33" s="794"/>
      <c r="L33" s="1134"/>
      <c r="M33" s="1135"/>
      <c r="N33" s="1135"/>
      <c r="O33" s="1135"/>
      <c r="P33" s="1135"/>
      <c r="Q33" s="1135"/>
      <c r="R33" s="1136"/>
      <c r="T33" s="727">
        <v>25</v>
      </c>
      <c r="U33" s="716" t="e">
        <v>#N/A</v>
      </c>
      <c r="V33" s="768" t="e">
        <v>#N/A</v>
      </c>
      <c r="W33" s="768" t="e">
        <v>#N/A</v>
      </c>
      <c r="X33" s="768" t="e">
        <v>#N/A</v>
      </c>
      <c r="Y33" s="768" t="e">
        <v>#N/A</v>
      </c>
      <c r="Z33" s="777" t="e">
        <v>#N/A</v>
      </c>
      <c r="AA33" s="777" t="e">
        <v>#N/A</v>
      </c>
      <c r="AB33" s="777" t="e">
        <v>#N/A</v>
      </c>
      <c r="AC33" s="768" t="e">
        <v>#N/A</v>
      </c>
      <c r="AD33" s="768" t="e">
        <v>#N/A</v>
      </c>
      <c r="AE33" s="768" t="e">
        <v>#N/A</v>
      </c>
      <c r="AF33" s="768" t="e">
        <v>#N/A</v>
      </c>
      <c r="AG33" s="768" t="e">
        <f t="shared" si="3"/>
        <v>#N/A</v>
      </c>
      <c r="AH33" s="768" t="str">
        <f t="shared" si="4"/>
        <v/>
      </c>
      <c r="AI33" s="769" t="e">
        <f>IF(NOT(OR(Z33=1,Z33=2)),IF(AQ33&gt;0,$AR$45*AQ33/SUMIF($AQ$9:$AQ$40,"&gt;0"),IF(AU33&gt;0,$AV$45*AU33/SUMIF($AU$9:$AU$40,"&gt;0"),IF(AS33&gt;0,$AT$45*AS33/SUMIF($AS$9:$AS$40,"&gt;0"),""))),IF(SUMIF(AJ34:$AJ$40,"=" &amp; AJ33,AI34:$AI$40)=0,"",SUMIF(AJ34:$AJ$40,"=" &amp; AJ33,AI34:$AI$40)))</f>
        <v>#N/A</v>
      </c>
      <c r="AJ33" s="770" t="e">
        <f t="shared" si="34"/>
        <v>#N/A</v>
      </c>
      <c r="AK33" s="768" t="str">
        <f t="shared" si="27"/>
        <v/>
      </c>
      <c r="AL33" s="777" t="str">
        <f t="shared" si="28"/>
        <v/>
      </c>
      <c r="AM33" s="777" t="str">
        <f t="shared" si="35"/>
        <v/>
      </c>
      <c r="AN33" s="777" t="str">
        <f t="shared" si="5"/>
        <v/>
      </c>
      <c r="AO33" s="777" t="e">
        <f t="shared" si="6"/>
        <v>#N/A</v>
      </c>
      <c r="AP33" s="768" t="str">
        <f t="shared" si="7"/>
        <v/>
      </c>
      <c r="AQ33" s="771">
        <f t="shared" si="29"/>
        <v>0</v>
      </c>
      <c r="AR33" s="772" t="str">
        <f t="shared" si="8"/>
        <v/>
      </c>
      <c r="AS33" s="773">
        <f t="shared" si="30"/>
        <v>0</v>
      </c>
      <c r="AT33" s="772" t="str">
        <f t="shared" si="9"/>
        <v/>
      </c>
      <c r="AU33" s="774">
        <f t="shared" si="10"/>
        <v>0</v>
      </c>
      <c r="AV33" s="775" t="str">
        <f t="shared" si="11"/>
        <v/>
      </c>
      <c r="AW33" s="774" t="b">
        <f t="shared" si="12"/>
        <v>0</v>
      </c>
      <c r="AX33" s="776" t="b">
        <f t="shared" si="13"/>
        <v>0</v>
      </c>
      <c r="AY33" s="774" t="b">
        <f t="shared" si="14"/>
        <v>0</v>
      </c>
      <c r="AZ33" s="776" t="b">
        <f t="shared" si="15"/>
        <v>0</v>
      </c>
      <c r="BA33" s="768" t="b">
        <f t="shared" si="16"/>
        <v>0</v>
      </c>
      <c r="BB33" s="768" t="b">
        <f t="shared" si="17"/>
        <v>0</v>
      </c>
      <c r="BC33" s="774" t="b">
        <f t="shared" si="18"/>
        <v>0</v>
      </c>
      <c r="BD33" s="777" t="b">
        <f t="shared" si="31"/>
        <v>0</v>
      </c>
      <c r="BE33" s="776" t="b">
        <f t="shared" si="37"/>
        <v>0</v>
      </c>
      <c r="BF33" s="778" t="b">
        <f t="shared" ref="BF33:BF40" si="39">IF(OR(ISNA($Z33),H33&lt;&gt;"NG"),FALSE,IF(AND(J33="NA",K33&lt;&gt;""),TRUE,FALSE))</f>
        <v>0</v>
      </c>
      <c r="BG33" s="779" t="str">
        <f t="shared" si="38"/>
        <v>NA</v>
      </c>
      <c r="BH33" s="779" t="str">
        <f t="shared" si="32"/>
        <v/>
      </c>
      <c r="BI33" s="779" t="str">
        <f t="shared" si="22"/>
        <v/>
      </c>
      <c r="BJ33" s="779" t="str">
        <f t="shared" si="23"/>
        <v/>
      </c>
      <c r="BK33" s="779" t="str">
        <f t="shared" si="24"/>
        <v/>
      </c>
      <c r="BL33" s="780" t="str">
        <f t="shared" si="33"/>
        <v/>
      </c>
      <c r="BM33" s="779" t="str">
        <f t="shared" si="25"/>
        <v/>
      </c>
      <c r="BN33" s="779" t="str">
        <f t="shared" si="26"/>
        <v/>
      </c>
      <c r="BO33" s="787" t="s">
        <v>370</v>
      </c>
      <c r="BP33" s="792" t="s">
        <v>371</v>
      </c>
    </row>
    <row r="34" spans="2:73 1271:1271" s="731" customFormat="1" ht="12.95" customHeight="1" x14ac:dyDescent="0.25">
      <c r="B34" s="783" t="str">
        <f>IF(ISNA(Z34),"",IF(OR(Z34=1,Z34=2),"    ",MAX($B$9:B33)+1))</f>
        <v/>
      </c>
      <c r="C34" s="1116" t="str">
        <f t="shared" si="0"/>
        <v/>
      </c>
      <c r="D34" s="1116"/>
      <c r="E34" s="1116"/>
      <c r="F34" s="1117"/>
      <c r="G34" s="763" t="str">
        <f t="shared" si="1"/>
        <v/>
      </c>
      <c r="H34" s="764" t="str">
        <f t="shared" si="2"/>
        <v/>
      </c>
      <c r="I34" s="784" t="str">
        <f t="shared" si="2"/>
        <v/>
      </c>
      <c r="J34" s="793"/>
      <c r="K34" s="794"/>
      <c r="L34" s="1134"/>
      <c r="M34" s="1135"/>
      <c r="N34" s="1135"/>
      <c r="O34" s="1135"/>
      <c r="P34" s="1135"/>
      <c r="Q34" s="1135"/>
      <c r="R34" s="1136"/>
      <c r="T34" s="727">
        <v>26</v>
      </c>
      <c r="U34" s="716" t="e">
        <v>#N/A</v>
      </c>
      <c r="V34" s="768" t="e">
        <v>#N/A</v>
      </c>
      <c r="W34" s="768" t="e">
        <v>#N/A</v>
      </c>
      <c r="X34" s="768" t="e">
        <v>#N/A</v>
      </c>
      <c r="Y34" s="768" t="e">
        <v>#N/A</v>
      </c>
      <c r="Z34" s="777" t="e">
        <v>#N/A</v>
      </c>
      <c r="AA34" s="777" t="e">
        <v>#N/A</v>
      </c>
      <c r="AB34" s="777" t="e">
        <v>#N/A</v>
      </c>
      <c r="AC34" s="768" t="e">
        <v>#N/A</v>
      </c>
      <c r="AD34" s="768" t="e">
        <v>#N/A</v>
      </c>
      <c r="AE34" s="768" t="e">
        <v>#N/A</v>
      </c>
      <c r="AF34" s="768" t="e">
        <v>#N/A</v>
      </c>
      <c r="AG34" s="768" t="e">
        <f t="shared" si="3"/>
        <v>#N/A</v>
      </c>
      <c r="AH34" s="768" t="str">
        <f t="shared" si="4"/>
        <v/>
      </c>
      <c r="AI34" s="769" t="e">
        <f>IF(NOT(OR(Z34=1,Z34=2)),IF(AQ34&gt;0,$AR$45*AQ34/SUMIF($AQ$9:$AQ$40,"&gt;0"),IF(AU34&gt;0,$AV$45*AU34/SUMIF($AU$9:$AU$40,"&gt;0"),IF(AS34&gt;0,$AT$45*AS34/SUMIF($AS$9:$AS$40,"&gt;0"),""))),IF(SUMIF(AJ35:$AJ$40,"=" &amp; AJ34,AI35:$AI$40)=0,"",SUMIF(AJ35:$AJ$40,"=" &amp; AJ34,AI35:$AI$40)))</f>
        <v>#N/A</v>
      </c>
      <c r="AJ34" s="770" t="e">
        <f t="shared" si="34"/>
        <v>#N/A</v>
      </c>
      <c r="AK34" s="768" t="str">
        <f t="shared" si="27"/>
        <v/>
      </c>
      <c r="AL34" s="777" t="str">
        <f t="shared" si="28"/>
        <v/>
      </c>
      <c r="AM34" s="777" t="str">
        <f t="shared" si="35"/>
        <v/>
      </c>
      <c r="AN34" s="777" t="str">
        <f t="shared" si="5"/>
        <v/>
      </c>
      <c r="AO34" s="777" t="e">
        <f t="shared" si="6"/>
        <v>#N/A</v>
      </c>
      <c r="AP34" s="768" t="str">
        <f t="shared" si="7"/>
        <v/>
      </c>
      <c r="AQ34" s="771">
        <f t="shared" si="29"/>
        <v>0</v>
      </c>
      <c r="AR34" s="772" t="str">
        <f t="shared" si="8"/>
        <v/>
      </c>
      <c r="AS34" s="773">
        <f t="shared" si="30"/>
        <v>0</v>
      </c>
      <c r="AT34" s="772" t="str">
        <f t="shared" si="9"/>
        <v/>
      </c>
      <c r="AU34" s="774">
        <f t="shared" si="10"/>
        <v>0</v>
      </c>
      <c r="AV34" s="775" t="str">
        <f t="shared" si="11"/>
        <v/>
      </c>
      <c r="AW34" s="774" t="b">
        <f t="shared" si="12"/>
        <v>0</v>
      </c>
      <c r="AX34" s="776" t="b">
        <f t="shared" si="13"/>
        <v>0</v>
      </c>
      <c r="AY34" s="774" t="b">
        <f t="shared" si="14"/>
        <v>0</v>
      </c>
      <c r="AZ34" s="776" t="b">
        <f t="shared" si="15"/>
        <v>0</v>
      </c>
      <c r="BA34" s="768" t="b">
        <f t="shared" si="16"/>
        <v>0</v>
      </c>
      <c r="BB34" s="768" t="b">
        <f t="shared" si="17"/>
        <v>0</v>
      </c>
      <c r="BC34" s="774" t="b">
        <f t="shared" si="18"/>
        <v>0</v>
      </c>
      <c r="BD34" s="777" t="b">
        <f t="shared" si="31"/>
        <v>0</v>
      </c>
      <c r="BE34" s="776" t="b">
        <f t="shared" si="37"/>
        <v>0</v>
      </c>
      <c r="BF34" s="778" t="b">
        <f t="shared" si="39"/>
        <v>0</v>
      </c>
      <c r="BG34" s="779" t="str">
        <f t="shared" si="38"/>
        <v>NA</v>
      </c>
      <c r="BH34" s="779" t="str">
        <f t="shared" si="32"/>
        <v/>
      </c>
      <c r="BI34" s="779" t="str">
        <f t="shared" si="22"/>
        <v/>
      </c>
      <c r="BJ34" s="779" t="str">
        <f t="shared" si="23"/>
        <v/>
      </c>
      <c r="BK34" s="779" t="str">
        <f t="shared" si="24"/>
        <v/>
      </c>
      <c r="BL34" s="780" t="str">
        <f t="shared" si="33"/>
        <v/>
      </c>
      <c r="BM34" s="779" t="str">
        <f t="shared" si="25"/>
        <v/>
      </c>
      <c r="BN34" s="779" t="str">
        <f t="shared" si="26"/>
        <v/>
      </c>
      <c r="BO34" s="782" t="s">
        <v>372</v>
      </c>
      <c r="BP34" s="792"/>
      <c r="BQ34" s="792"/>
      <c r="BR34" s="792"/>
      <c r="BS34" s="792"/>
      <c r="BT34" s="792"/>
      <c r="BU34" s="792"/>
    </row>
    <row r="35" spans="2:73 1271:1271" s="731" customFormat="1" ht="12.95" customHeight="1" x14ac:dyDescent="0.25">
      <c r="B35" s="783" t="str">
        <f>IF(ISNA(Z35),"",IF(OR(Z35=1,Z35=2),"    ",MAX($B$9:B34)+1))</f>
        <v/>
      </c>
      <c r="C35" s="1116" t="str">
        <f t="shared" si="0"/>
        <v/>
      </c>
      <c r="D35" s="1116"/>
      <c r="E35" s="1116"/>
      <c r="F35" s="1117"/>
      <c r="G35" s="763" t="str">
        <f t="shared" si="1"/>
        <v/>
      </c>
      <c r="H35" s="764" t="str">
        <f t="shared" si="2"/>
        <v/>
      </c>
      <c r="I35" s="784" t="str">
        <f t="shared" si="2"/>
        <v/>
      </c>
      <c r="J35" s="793"/>
      <c r="K35" s="794"/>
      <c r="L35" s="1134"/>
      <c r="M35" s="1135"/>
      <c r="N35" s="1135"/>
      <c r="O35" s="1135"/>
      <c r="P35" s="1135"/>
      <c r="Q35" s="1135"/>
      <c r="R35" s="1136"/>
      <c r="T35" s="727">
        <v>27</v>
      </c>
      <c r="U35" s="716" t="e">
        <v>#N/A</v>
      </c>
      <c r="V35" s="768" t="e">
        <v>#N/A</v>
      </c>
      <c r="W35" s="768" t="e">
        <v>#N/A</v>
      </c>
      <c r="X35" s="768" t="e">
        <v>#N/A</v>
      </c>
      <c r="Y35" s="768" t="e">
        <v>#N/A</v>
      </c>
      <c r="Z35" s="777" t="e">
        <v>#N/A</v>
      </c>
      <c r="AA35" s="777" t="e">
        <v>#N/A</v>
      </c>
      <c r="AB35" s="777" t="e">
        <v>#N/A</v>
      </c>
      <c r="AC35" s="768" t="e">
        <v>#N/A</v>
      </c>
      <c r="AD35" s="768" t="e">
        <v>#N/A</v>
      </c>
      <c r="AE35" s="768" t="e">
        <v>#N/A</v>
      </c>
      <c r="AF35" s="768" t="e">
        <v>#N/A</v>
      </c>
      <c r="AG35" s="768" t="e">
        <f t="shared" si="3"/>
        <v>#N/A</v>
      </c>
      <c r="AH35" s="768" t="str">
        <f t="shared" si="4"/>
        <v/>
      </c>
      <c r="AI35" s="769" t="e">
        <f>IF(NOT(OR(Z35=1,Z35=2)),IF(AQ35&gt;0,$AR$45*AQ35/SUMIF($AQ$9:$AQ$40,"&gt;0"),IF(AU35&gt;0,$AV$45*AU35/SUMIF($AU$9:$AU$40,"&gt;0"),IF(AS35&gt;0,$AT$45*AS35/SUMIF($AS$9:$AS$40,"&gt;0"),""))),IF(SUMIF(AJ36:$AJ$40,"=" &amp; AJ35,AI36:$AI$40)=0,"",SUMIF(AJ36:$AJ$40,"=" &amp; AJ35,AI36:$AI$40)))</f>
        <v>#N/A</v>
      </c>
      <c r="AJ35" s="770" t="e">
        <f t="shared" si="34"/>
        <v>#N/A</v>
      </c>
      <c r="AK35" s="768" t="str">
        <f t="shared" si="27"/>
        <v/>
      </c>
      <c r="AL35" s="777" t="str">
        <f t="shared" si="28"/>
        <v/>
      </c>
      <c r="AM35" s="777" t="str">
        <f t="shared" si="35"/>
        <v/>
      </c>
      <c r="AN35" s="777" t="str">
        <f t="shared" si="5"/>
        <v/>
      </c>
      <c r="AO35" s="777" t="e">
        <f t="shared" si="6"/>
        <v>#N/A</v>
      </c>
      <c r="AP35" s="768" t="str">
        <f t="shared" si="7"/>
        <v/>
      </c>
      <c r="AQ35" s="771">
        <f t="shared" si="29"/>
        <v>0</v>
      </c>
      <c r="AR35" s="772" t="str">
        <f t="shared" si="8"/>
        <v/>
      </c>
      <c r="AS35" s="773">
        <f t="shared" si="30"/>
        <v>0</v>
      </c>
      <c r="AT35" s="772" t="str">
        <f t="shared" si="9"/>
        <v/>
      </c>
      <c r="AU35" s="774">
        <f t="shared" si="10"/>
        <v>0</v>
      </c>
      <c r="AV35" s="775" t="str">
        <f t="shared" si="11"/>
        <v/>
      </c>
      <c r="AW35" s="774" t="b">
        <f t="shared" si="12"/>
        <v>0</v>
      </c>
      <c r="AX35" s="776" t="b">
        <f t="shared" si="13"/>
        <v>0</v>
      </c>
      <c r="AY35" s="774" t="b">
        <f t="shared" si="14"/>
        <v>0</v>
      </c>
      <c r="AZ35" s="776" t="b">
        <f t="shared" si="15"/>
        <v>0</v>
      </c>
      <c r="BA35" s="768" t="b">
        <f t="shared" si="16"/>
        <v>0</v>
      </c>
      <c r="BB35" s="768" t="b">
        <f t="shared" si="17"/>
        <v>0</v>
      </c>
      <c r="BC35" s="774" t="b">
        <f t="shared" si="18"/>
        <v>0</v>
      </c>
      <c r="BD35" s="777" t="b">
        <f t="shared" si="31"/>
        <v>0</v>
      </c>
      <c r="BE35" s="776" t="b">
        <f t="shared" si="37"/>
        <v>0</v>
      </c>
      <c r="BF35" s="778" t="b">
        <f t="shared" si="39"/>
        <v>0</v>
      </c>
      <c r="BG35" s="779" t="str">
        <f t="shared" si="38"/>
        <v>NA</v>
      </c>
      <c r="BH35" s="779" t="str">
        <f t="shared" si="32"/>
        <v/>
      </c>
      <c r="BI35" s="779" t="str">
        <f t="shared" si="22"/>
        <v/>
      </c>
      <c r="BJ35" s="779" t="str">
        <f t="shared" si="23"/>
        <v/>
      </c>
      <c r="BK35" s="779" t="str">
        <f t="shared" si="24"/>
        <v/>
      </c>
      <c r="BL35" s="780" t="str">
        <f t="shared" si="33"/>
        <v/>
      </c>
      <c r="BM35" s="779" t="str">
        <f t="shared" si="25"/>
        <v/>
      </c>
      <c r="BN35" s="779" t="str">
        <f t="shared" si="26"/>
        <v/>
      </c>
      <c r="BO35" s="1142"/>
      <c r="BP35" s="1143"/>
      <c r="BQ35" s="1143"/>
      <c r="BR35" s="1143"/>
      <c r="BS35" s="1143"/>
      <c r="BT35" s="1143"/>
      <c r="BU35" s="1144"/>
    </row>
    <row r="36" spans="2:73 1271:1271" s="731" customFormat="1" ht="12.95" customHeight="1" x14ac:dyDescent="0.25">
      <c r="B36" s="783" t="str">
        <f>IF(ISNA(Z36),"",IF(OR(Z36=1,Z36=2),"    ",MAX($B$9:B35)+1))</f>
        <v/>
      </c>
      <c r="C36" s="1116" t="str">
        <f t="shared" si="0"/>
        <v/>
      </c>
      <c r="D36" s="1116"/>
      <c r="E36" s="1116"/>
      <c r="F36" s="1117"/>
      <c r="G36" s="763" t="str">
        <f t="shared" si="1"/>
        <v/>
      </c>
      <c r="H36" s="764" t="str">
        <f t="shared" si="2"/>
        <v/>
      </c>
      <c r="I36" s="784" t="str">
        <f t="shared" si="2"/>
        <v/>
      </c>
      <c r="J36" s="793"/>
      <c r="K36" s="794"/>
      <c r="L36" s="1134"/>
      <c r="M36" s="1135"/>
      <c r="N36" s="1135"/>
      <c r="O36" s="1135"/>
      <c r="P36" s="1135"/>
      <c r="Q36" s="1135"/>
      <c r="R36" s="1136"/>
      <c r="T36" s="727">
        <v>28</v>
      </c>
      <c r="U36" s="716" t="e">
        <v>#N/A</v>
      </c>
      <c r="V36" s="768" t="e">
        <v>#N/A</v>
      </c>
      <c r="W36" s="768" t="e">
        <v>#N/A</v>
      </c>
      <c r="X36" s="768" t="e">
        <v>#N/A</v>
      </c>
      <c r="Y36" s="768" t="e">
        <v>#N/A</v>
      </c>
      <c r="Z36" s="777" t="e">
        <v>#N/A</v>
      </c>
      <c r="AA36" s="777" t="e">
        <v>#N/A</v>
      </c>
      <c r="AB36" s="777" t="e">
        <v>#N/A</v>
      </c>
      <c r="AC36" s="768" t="e">
        <v>#N/A</v>
      </c>
      <c r="AD36" s="768" t="e">
        <v>#N/A</v>
      </c>
      <c r="AE36" s="768" t="e">
        <v>#N/A</v>
      </c>
      <c r="AF36" s="768" t="e">
        <v>#N/A</v>
      </c>
      <c r="AG36" s="768" t="e">
        <f t="shared" si="3"/>
        <v>#N/A</v>
      </c>
      <c r="AH36" s="768" t="str">
        <f t="shared" si="4"/>
        <v/>
      </c>
      <c r="AI36" s="769" t="e">
        <f>IF(NOT(OR(Z36=1,Z36=2)),IF(AQ36&gt;0,$AR$45*AQ36/SUMIF($AQ$9:$AQ$40,"&gt;0"),IF(AU36&gt;0,$AV$45*AU36/SUMIF($AU$9:$AU$40,"&gt;0"),IF(AS36&gt;0,$AT$45*AS36/SUMIF($AS$9:$AS$40,"&gt;0"),""))),IF(SUMIF(AJ37:$AJ$40,"=" &amp; AJ36,AI37:$AI$40)=0,"",SUMIF(AJ37:$AJ$40,"=" &amp; AJ36,AI37:$AI$40)))</f>
        <v>#N/A</v>
      </c>
      <c r="AJ36" s="770" t="e">
        <f t="shared" si="34"/>
        <v>#N/A</v>
      </c>
      <c r="AK36" s="768" t="str">
        <f t="shared" si="27"/>
        <v/>
      </c>
      <c r="AL36" s="777" t="str">
        <f t="shared" si="28"/>
        <v/>
      </c>
      <c r="AM36" s="777" t="str">
        <f t="shared" si="35"/>
        <v/>
      </c>
      <c r="AN36" s="777" t="str">
        <f t="shared" si="5"/>
        <v/>
      </c>
      <c r="AO36" s="777" t="e">
        <f t="shared" si="6"/>
        <v>#N/A</v>
      </c>
      <c r="AP36" s="768" t="str">
        <f t="shared" si="7"/>
        <v/>
      </c>
      <c r="AQ36" s="771">
        <f t="shared" si="29"/>
        <v>0</v>
      </c>
      <c r="AR36" s="772" t="str">
        <f t="shared" si="8"/>
        <v/>
      </c>
      <c r="AS36" s="773">
        <f t="shared" si="30"/>
        <v>0</v>
      </c>
      <c r="AT36" s="772" t="str">
        <f t="shared" si="9"/>
        <v/>
      </c>
      <c r="AU36" s="774">
        <f t="shared" si="10"/>
        <v>0</v>
      </c>
      <c r="AV36" s="775" t="str">
        <f t="shared" si="11"/>
        <v/>
      </c>
      <c r="AW36" s="774" t="b">
        <f t="shared" si="12"/>
        <v>0</v>
      </c>
      <c r="AX36" s="776" t="b">
        <f t="shared" si="13"/>
        <v>0</v>
      </c>
      <c r="AY36" s="774" t="b">
        <f t="shared" si="14"/>
        <v>0</v>
      </c>
      <c r="AZ36" s="776" t="b">
        <f t="shared" si="15"/>
        <v>0</v>
      </c>
      <c r="BA36" s="768" t="b">
        <f t="shared" si="16"/>
        <v>0</v>
      </c>
      <c r="BB36" s="768" t="b">
        <f t="shared" si="17"/>
        <v>0</v>
      </c>
      <c r="BC36" s="774" t="b">
        <f t="shared" si="18"/>
        <v>0</v>
      </c>
      <c r="BD36" s="777" t="b">
        <f t="shared" si="31"/>
        <v>0</v>
      </c>
      <c r="BE36" s="776" t="b">
        <f t="shared" si="37"/>
        <v>0</v>
      </c>
      <c r="BF36" s="778" t="b">
        <f t="shared" si="39"/>
        <v>0</v>
      </c>
      <c r="BG36" s="779" t="str">
        <f t="shared" si="38"/>
        <v>NA</v>
      </c>
      <c r="BH36" s="779" t="str">
        <f t="shared" si="32"/>
        <v/>
      </c>
      <c r="BI36" s="779" t="str">
        <f t="shared" si="22"/>
        <v/>
      </c>
      <c r="BJ36" s="779" t="str">
        <f t="shared" si="23"/>
        <v/>
      </c>
      <c r="BK36" s="779" t="str">
        <f t="shared" si="24"/>
        <v/>
      </c>
      <c r="BL36" s="780" t="str">
        <f t="shared" si="33"/>
        <v/>
      </c>
      <c r="BM36" s="779" t="str">
        <f t="shared" si="25"/>
        <v/>
      </c>
      <c r="BN36" s="779" t="str">
        <f t="shared" si="26"/>
        <v/>
      </c>
      <c r="BO36" s="1145"/>
      <c r="BP36" s="1146"/>
      <c r="BQ36" s="1146"/>
      <c r="BR36" s="1146"/>
      <c r="BS36" s="1146"/>
      <c r="BT36" s="1146"/>
      <c r="BU36" s="1147"/>
    </row>
    <row r="37" spans="2:73 1271:1271" s="731" customFormat="1" ht="12.95" customHeight="1" x14ac:dyDescent="0.25">
      <c r="B37" s="783" t="str">
        <f>IF(ISNA(Z37),"",IF(OR(Z37=1,Z37=2),"    ",MAX($B$9:B36)+1))</f>
        <v/>
      </c>
      <c r="C37" s="1116" t="str">
        <f t="shared" si="0"/>
        <v/>
      </c>
      <c r="D37" s="1116"/>
      <c r="E37" s="1116"/>
      <c r="F37" s="1117"/>
      <c r="G37" s="763" t="str">
        <f t="shared" si="1"/>
        <v/>
      </c>
      <c r="H37" s="764" t="str">
        <f t="shared" si="2"/>
        <v/>
      </c>
      <c r="I37" s="784" t="str">
        <f t="shared" si="2"/>
        <v/>
      </c>
      <c r="J37" s="793"/>
      <c r="K37" s="794"/>
      <c r="L37" s="1134"/>
      <c r="M37" s="1135"/>
      <c r="N37" s="1135"/>
      <c r="O37" s="1135"/>
      <c r="P37" s="1135"/>
      <c r="Q37" s="1135"/>
      <c r="R37" s="1136"/>
      <c r="T37" s="727">
        <v>29</v>
      </c>
      <c r="U37" s="716" t="e">
        <v>#N/A</v>
      </c>
      <c r="V37" s="768" t="e">
        <v>#N/A</v>
      </c>
      <c r="W37" s="768" t="e">
        <v>#N/A</v>
      </c>
      <c r="X37" s="768" t="e">
        <v>#N/A</v>
      </c>
      <c r="Y37" s="768" t="e">
        <v>#N/A</v>
      </c>
      <c r="Z37" s="777" t="e">
        <v>#N/A</v>
      </c>
      <c r="AA37" s="777" t="e">
        <v>#N/A</v>
      </c>
      <c r="AB37" s="777" t="e">
        <v>#N/A</v>
      </c>
      <c r="AC37" s="768" t="e">
        <v>#N/A</v>
      </c>
      <c r="AD37" s="768" t="e">
        <v>#N/A</v>
      </c>
      <c r="AE37" s="768" t="e">
        <v>#N/A</v>
      </c>
      <c r="AF37" s="768" t="e">
        <v>#N/A</v>
      </c>
      <c r="AG37" s="768" t="e">
        <f t="shared" si="3"/>
        <v>#N/A</v>
      </c>
      <c r="AH37" s="768" t="str">
        <f t="shared" si="4"/>
        <v/>
      </c>
      <c r="AI37" s="769" t="e">
        <f>IF(NOT(OR(Z37=1,Z37=2)),IF(AQ37&gt;0,$AR$45*AQ37/SUMIF($AQ$9:$AQ$40,"&gt;0"),IF(AU37&gt;0,$AV$45*AU37/SUMIF($AU$9:$AU$40,"&gt;0"),IF(AS37&gt;0,$AT$45*AS37/SUMIF($AS$9:$AS$40,"&gt;0"),""))),IF(SUMIF(AJ38:$AJ$40,"=" &amp; AJ37,AI38:$AI$40)=0,"",SUMIF(AJ38:$AJ$40,"=" &amp; AJ37,AI38:$AI$40)))</f>
        <v>#N/A</v>
      </c>
      <c r="AJ37" s="770" t="e">
        <f t="shared" si="34"/>
        <v>#N/A</v>
      </c>
      <c r="AK37" s="768" t="str">
        <f t="shared" si="27"/>
        <v/>
      </c>
      <c r="AL37" s="777" t="str">
        <f t="shared" si="28"/>
        <v/>
      </c>
      <c r="AM37" s="777" t="str">
        <f t="shared" si="35"/>
        <v/>
      </c>
      <c r="AN37" s="777" t="str">
        <f t="shared" si="5"/>
        <v/>
      </c>
      <c r="AO37" s="777" t="e">
        <f t="shared" si="6"/>
        <v>#N/A</v>
      </c>
      <c r="AP37" s="768" t="str">
        <f t="shared" si="7"/>
        <v/>
      </c>
      <c r="AQ37" s="771">
        <f t="shared" si="29"/>
        <v>0</v>
      </c>
      <c r="AR37" s="772" t="str">
        <f t="shared" si="8"/>
        <v/>
      </c>
      <c r="AS37" s="773">
        <f t="shared" si="30"/>
        <v>0</v>
      </c>
      <c r="AT37" s="772" t="str">
        <f t="shared" si="9"/>
        <v/>
      </c>
      <c r="AU37" s="774">
        <f t="shared" si="10"/>
        <v>0</v>
      </c>
      <c r="AV37" s="775" t="str">
        <f t="shared" si="11"/>
        <v/>
      </c>
      <c r="AW37" s="774" t="b">
        <f t="shared" si="12"/>
        <v>0</v>
      </c>
      <c r="AX37" s="776" t="b">
        <f t="shared" si="13"/>
        <v>0</v>
      </c>
      <c r="AY37" s="774" t="b">
        <f t="shared" si="14"/>
        <v>0</v>
      </c>
      <c r="AZ37" s="776" t="b">
        <f t="shared" si="15"/>
        <v>0</v>
      </c>
      <c r="BA37" s="768" t="b">
        <f t="shared" si="16"/>
        <v>0</v>
      </c>
      <c r="BB37" s="768" t="b">
        <f t="shared" si="17"/>
        <v>0</v>
      </c>
      <c r="BC37" s="774" t="b">
        <f t="shared" si="18"/>
        <v>0</v>
      </c>
      <c r="BD37" s="777" t="b">
        <f t="shared" si="31"/>
        <v>0</v>
      </c>
      <c r="BE37" s="776" t="b">
        <f t="shared" si="37"/>
        <v>0</v>
      </c>
      <c r="BF37" s="778" t="b">
        <f t="shared" si="39"/>
        <v>0</v>
      </c>
      <c r="BG37" s="779" t="str">
        <f t="shared" si="38"/>
        <v>NA</v>
      </c>
      <c r="BH37" s="779" t="str">
        <f t="shared" si="32"/>
        <v/>
      </c>
      <c r="BI37" s="779" t="str">
        <f t="shared" si="22"/>
        <v/>
      </c>
      <c r="BJ37" s="779" t="str">
        <f t="shared" si="23"/>
        <v/>
      </c>
      <c r="BK37" s="779" t="str">
        <f t="shared" si="24"/>
        <v/>
      </c>
      <c r="BL37" s="780" t="str">
        <f t="shared" si="33"/>
        <v/>
      </c>
      <c r="BM37" s="779" t="str">
        <f t="shared" si="25"/>
        <v/>
      </c>
      <c r="BN37" s="779" t="str">
        <f t="shared" si="26"/>
        <v/>
      </c>
      <c r="BO37" s="1145"/>
      <c r="BP37" s="1146"/>
      <c r="BQ37" s="1146"/>
      <c r="BR37" s="1146"/>
      <c r="BS37" s="1146"/>
      <c r="BT37" s="1146"/>
      <c r="BU37" s="1147"/>
    </row>
    <row r="38" spans="2:73 1271:1271" s="731" customFormat="1" ht="12.95" customHeight="1" x14ac:dyDescent="0.25">
      <c r="B38" s="783" t="str">
        <f>IF(ISNA(Z38),"",IF(OR(Z38=1,Z38=2),"    ",MAX($B$9:B37)+1))</f>
        <v/>
      </c>
      <c r="C38" s="1116" t="str">
        <f>IF(ISNA(Z38),"",CONCATENATE($U38,IF(ISNUMBER(AI38),TEXT(ROUND($AI38,3)," (0.0%)"),""),IF(AU38&gt;0," Bonus","")))</f>
        <v/>
      </c>
      <c r="D38" s="1116"/>
      <c r="E38" s="1116"/>
      <c r="F38" s="1117"/>
      <c r="G38" s="763" t="str">
        <f t="shared" si="1"/>
        <v/>
      </c>
      <c r="H38" s="764" t="str">
        <f t="shared" si="2"/>
        <v/>
      </c>
      <c r="I38" s="784" t="str">
        <f t="shared" si="2"/>
        <v/>
      </c>
      <c r="J38" s="793"/>
      <c r="K38" s="794"/>
      <c r="L38" s="1134"/>
      <c r="M38" s="1135"/>
      <c r="N38" s="1135"/>
      <c r="O38" s="1135"/>
      <c r="P38" s="1135"/>
      <c r="Q38" s="1135"/>
      <c r="R38" s="1136"/>
      <c r="T38" s="727">
        <v>30</v>
      </c>
      <c r="U38" s="716" t="e">
        <v>#N/A</v>
      </c>
      <c r="V38" s="768" t="e">
        <v>#N/A</v>
      </c>
      <c r="W38" s="768" t="e">
        <v>#N/A</v>
      </c>
      <c r="X38" s="768" t="e">
        <v>#N/A</v>
      </c>
      <c r="Y38" s="768" t="e">
        <v>#N/A</v>
      </c>
      <c r="Z38" s="777" t="e">
        <v>#N/A</v>
      </c>
      <c r="AA38" s="777" t="e">
        <v>#N/A</v>
      </c>
      <c r="AB38" s="777" t="e">
        <v>#N/A</v>
      </c>
      <c r="AC38" s="768" t="e">
        <v>#N/A</v>
      </c>
      <c r="AD38" s="768" t="e">
        <v>#N/A</v>
      </c>
      <c r="AE38" s="768" t="e">
        <v>#N/A</v>
      </c>
      <c r="AF38" s="768" t="e">
        <v>#N/A</v>
      </c>
      <c r="AG38" s="768" t="e">
        <f t="shared" si="3"/>
        <v>#N/A</v>
      </c>
      <c r="AH38" s="768" t="str">
        <f t="shared" si="4"/>
        <v/>
      </c>
      <c r="AI38" s="769" t="e">
        <f>IF(NOT(OR(Z38=1,Z38=2)),IF(AQ38&gt;0,$AR$45*AQ38/SUMIF($AQ$9:$AQ$40,"&gt;0"),IF(AU38&gt;0,$AV$45*AU38/SUMIF($AU$9:$AU$40,"&gt;0"),IF(AS38&gt;0,$AT$45*AS38/SUMIF($AS$9:$AS$40,"&gt;0"),""))),IF(SUMIF(AJ39:$AJ$40,"=" &amp; AJ38,AI39:$AI$40)=0,"",SUMIF(AJ39:$AJ$40,"=" &amp; AJ38,AI39:$AI$40)))</f>
        <v>#N/A</v>
      </c>
      <c r="AJ38" s="770" t="e">
        <f t="shared" si="34"/>
        <v>#N/A</v>
      </c>
      <c r="AK38" s="768" t="str">
        <f t="shared" si="27"/>
        <v/>
      </c>
      <c r="AL38" s="777" t="str">
        <f t="shared" si="28"/>
        <v/>
      </c>
      <c r="AM38" s="777" t="str">
        <f t="shared" si="35"/>
        <v/>
      </c>
      <c r="AN38" s="777" t="str">
        <f>IF(ISNUMBER(AH38),IF(AND(AB38=0,ISNUMBER(AC38),ISNUMBER(AL38)),1,""),"")</f>
        <v/>
      </c>
      <c r="AO38" s="777" t="e">
        <f t="shared" si="6"/>
        <v>#N/A</v>
      </c>
      <c r="AP38" s="768" t="str">
        <f t="shared" si="7"/>
        <v/>
      </c>
      <c r="AQ38" s="771">
        <f t="shared" si="29"/>
        <v>0</v>
      </c>
      <c r="AR38" s="772" t="str">
        <f t="shared" si="8"/>
        <v/>
      </c>
      <c r="AS38" s="773">
        <f t="shared" si="30"/>
        <v>0</v>
      </c>
      <c r="AT38" s="772" t="str">
        <f t="shared" si="9"/>
        <v/>
      </c>
      <c r="AU38" s="774">
        <f t="shared" si="10"/>
        <v>0</v>
      </c>
      <c r="AV38" s="775" t="str">
        <f t="shared" si="11"/>
        <v/>
      </c>
      <c r="AW38" s="774" t="b">
        <f t="shared" si="12"/>
        <v>0</v>
      </c>
      <c r="AX38" s="776" t="b">
        <f t="shared" si="13"/>
        <v>0</v>
      </c>
      <c r="AY38" s="774" t="b">
        <f t="shared" si="14"/>
        <v>0</v>
      </c>
      <c r="AZ38" s="776" t="b">
        <f t="shared" si="15"/>
        <v>0</v>
      </c>
      <c r="BA38" s="768" t="b">
        <f t="shared" si="16"/>
        <v>0</v>
      </c>
      <c r="BB38" s="768" t="b">
        <f t="shared" si="17"/>
        <v>0</v>
      </c>
      <c r="BC38" s="774" t="b">
        <f t="shared" si="18"/>
        <v>0</v>
      </c>
      <c r="BD38" s="777" t="b">
        <f t="shared" si="31"/>
        <v>0</v>
      </c>
      <c r="BE38" s="776" t="b">
        <f t="shared" si="37"/>
        <v>0</v>
      </c>
      <c r="BF38" s="778" t="b">
        <f t="shared" si="39"/>
        <v>0</v>
      </c>
      <c r="BG38" s="779" t="str">
        <f t="shared" si="38"/>
        <v>NA</v>
      </c>
      <c r="BH38" s="779" t="str">
        <f t="shared" si="32"/>
        <v/>
      </c>
      <c r="BI38" s="779" t="str">
        <f t="shared" si="22"/>
        <v/>
      </c>
      <c r="BJ38" s="779" t="str">
        <f t="shared" si="23"/>
        <v/>
      </c>
      <c r="BK38" s="779" t="str">
        <f t="shared" si="24"/>
        <v/>
      </c>
      <c r="BL38" s="780" t="str">
        <f t="shared" si="33"/>
        <v/>
      </c>
      <c r="BM38" s="779" t="str">
        <f t="shared" si="25"/>
        <v/>
      </c>
      <c r="BN38" s="779" t="str">
        <f t="shared" si="26"/>
        <v/>
      </c>
      <c r="BO38" s="1148"/>
      <c r="BP38" s="1149"/>
      <c r="BQ38" s="1149"/>
      <c r="BR38" s="1149"/>
      <c r="BS38" s="1149"/>
      <c r="BT38" s="1149"/>
      <c r="BU38" s="1150"/>
    </row>
    <row r="39" spans="2:73 1271:1271" s="731" customFormat="1" ht="12.95" customHeight="1" x14ac:dyDescent="0.25">
      <c r="B39" s="783" t="str">
        <f>IF(ISNA(Z39),"",IF(OR(Z39=1,Z39=2),"    ",MAX($B$9:B38)+1))</f>
        <v/>
      </c>
      <c r="C39" s="1116" t="str">
        <f t="shared" ref="C39:C40" si="40">IF(ISNA(Z39),"",CONCATENATE($U39,IF(ISNUMBER(AI39),TEXT(ROUND($AI39,3)," (0.0%)"),""),IF(AU39&gt;0," Bonus","")))</f>
        <v/>
      </c>
      <c r="D39" s="1116"/>
      <c r="E39" s="1116"/>
      <c r="F39" s="1117"/>
      <c r="G39" s="763" t="str">
        <f t="shared" si="1"/>
        <v/>
      </c>
      <c r="H39" s="764" t="str">
        <f t="shared" si="2"/>
        <v/>
      </c>
      <c r="I39" s="784" t="str">
        <f t="shared" si="2"/>
        <v/>
      </c>
      <c r="J39" s="793"/>
      <c r="K39" s="794"/>
      <c r="L39" s="1134"/>
      <c r="M39" s="1135"/>
      <c r="N39" s="1135"/>
      <c r="O39" s="1135"/>
      <c r="P39" s="1135"/>
      <c r="Q39" s="1135"/>
      <c r="R39" s="1136"/>
      <c r="T39" s="727">
        <v>31</v>
      </c>
      <c r="U39" s="716" t="e">
        <v>#N/A</v>
      </c>
      <c r="V39" s="768" t="e">
        <v>#N/A</v>
      </c>
      <c r="W39" s="768" t="e">
        <v>#N/A</v>
      </c>
      <c r="X39" s="768" t="e">
        <v>#N/A</v>
      </c>
      <c r="Y39" s="768" t="e">
        <v>#N/A</v>
      </c>
      <c r="Z39" s="777" t="e">
        <v>#N/A</v>
      </c>
      <c r="AA39" s="777" t="e">
        <v>#N/A</v>
      </c>
      <c r="AB39" s="777" t="e">
        <v>#N/A</v>
      </c>
      <c r="AC39" s="768" t="e">
        <v>#N/A</v>
      </c>
      <c r="AD39" s="768" t="e">
        <v>#N/A</v>
      </c>
      <c r="AE39" s="768" t="e">
        <v>#N/A</v>
      </c>
      <c r="AF39" s="768" t="e">
        <v>#N/A</v>
      </c>
      <c r="AG39" s="768" t="e">
        <f t="shared" si="3"/>
        <v>#N/A</v>
      </c>
      <c r="AH39" s="768" t="str">
        <f t="shared" si="4"/>
        <v/>
      </c>
      <c r="AI39" s="769" t="e">
        <f>IF(NOT(OR(Z39=1,Z39=2)),IF(AQ39&gt;0,$AR$45*AQ39/SUMIF($AQ$9:$AQ$40,"&gt;0"),IF(AU39&gt;0,$AV$45*AU39/SUMIF($AU$9:$AU$40,"&gt;0"),IF(AS39&gt;0,$AT$45*AS39/SUMIF($AS$9:$AS$40,"&gt;0"),""))),IF(SUMIF(AJ40:$AJ$40,"=" &amp; AJ39,AI40:$AI$40)=0,"",SUMIF(AJ40:$AJ$40,"=" &amp; AJ39,AI40:$AI$40)))</f>
        <v>#N/A</v>
      </c>
      <c r="AJ39" s="770" t="e">
        <f t="shared" si="34"/>
        <v>#N/A</v>
      </c>
      <c r="AK39" s="768" t="str">
        <f t="shared" si="27"/>
        <v/>
      </c>
      <c r="AL39" s="777" t="str">
        <f t="shared" si="28"/>
        <v/>
      </c>
      <c r="AM39" s="777" t="str">
        <f t="shared" si="35"/>
        <v/>
      </c>
      <c r="AN39" s="777" t="str">
        <f>IF(ISNUMBER(AH39),IF(AND(AB39=0,ISNUMBER(AC39),ISNUMBER(AL39)),1,""),"")</f>
        <v/>
      </c>
      <c r="AO39" s="777" t="e">
        <f t="shared" si="6"/>
        <v>#N/A</v>
      </c>
      <c r="AP39" s="768" t="str">
        <f t="shared" si="7"/>
        <v/>
      </c>
      <c r="AQ39" s="771">
        <f t="shared" si="29"/>
        <v>0</v>
      </c>
      <c r="AR39" s="772" t="str">
        <f t="shared" si="8"/>
        <v/>
      </c>
      <c r="AS39" s="773">
        <f t="shared" si="30"/>
        <v>0</v>
      </c>
      <c r="AT39" s="772" t="str">
        <f t="shared" si="9"/>
        <v/>
      </c>
      <c r="AU39" s="774">
        <f t="shared" si="10"/>
        <v>0</v>
      </c>
      <c r="AV39" s="775" t="str">
        <f t="shared" si="11"/>
        <v/>
      </c>
      <c r="AW39" s="774" t="b">
        <f t="shared" si="12"/>
        <v>0</v>
      </c>
      <c r="AX39" s="776" t="b">
        <f t="shared" si="13"/>
        <v>0</v>
      </c>
      <c r="AY39" s="774" t="b">
        <f t="shared" si="14"/>
        <v>0</v>
      </c>
      <c r="AZ39" s="776" t="b">
        <f t="shared" si="15"/>
        <v>0</v>
      </c>
      <c r="BA39" s="768" t="b">
        <f t="shared" si="16"/>
        <v>0</v>
      </c>
      <c r="BB39" s="768" t="b">
        <f t="shared" si="17"/>
        <v>0</v>
      </c>
      <c r="BC39" s="774" t="b">
        <f t="shared" si="18"/>
        <v>0</v>
      </c>
      <c r="BD39" s="777" t="b">
        <f t="shared" si="31"/>
        <v>0</v>
      </c>
      <c r="BE39" s="776" t="b">
        <f t="shared" si="37"/>
        <v>0</v>
      </c>
      <c r="BF39" s="778" t="b">
        <f t="shared" si="39"/>
        <v>0</v>
      </c>
      <c r="BG39" s="779" t="str">
        <f t="shared" si="38"/>
        <v>NA</v>
      </c>
      <c r="BH39" s="779" t="str">
        <f t="shared" si="32"/>
        <v/>
      </c>
      <c r="BI39" s="779" t="str">
        <f t="shared" si="22"/>
        <v/>
      </c>
      <c r="BJ39" s="779" t="str">
        <f t="shared" si="23"/>
        <v/>
      </c>
      <c r="BK39" s="779" t="str">
        <f t="shared" si="24"/>
        <v/>
      </c>
      <c r="BL39" s="780" t="str">
        <f t="shared" si="33"/>
        <v/>
      </c>
      <c r="BM39" s="779" t="str">
        <f t="shared" si="25"/>
        <v/>
      </c>
      <c r="BN39" s="779" t="str">
        <f t="shared" si="26"/>
        <v/>
      </c>
      <c r="BO39" s="782" t="s">
        <v>373</v>
      </c>
      <c r="BP39" s="782"/>
      <c r="BQ39" s="782"/>
      <c r="BR39" s="782"/>
      <c r="BS39" s="782"/>
      <c r="BT39" s="782"/>
      <c r="BU39" s="782"/>
    </row>
    <row r="40" spans="2:73 1271:1271" s="731" customFormat="1" ht="12.95" customHeight="1" thickBot="1" x14ac:dyDescent="0.3">
      <c r="B40" s="783" t="str">
        <f>IF(ISNA(Z40),"",IF(OR(Z40=1,Z40=2),"    ",MAX($B$9:B39)+1))</f>
        <v/>
      </c>
      <c r="C40" s="1116" t="str">
        <f t="shared" si="40"/>
        <v/>
      </c>
      <c r="D40" s="1116"/>
      <c r="E40" s="1116"/>
      <c r="F40" s="1117"/>
      <c r="G40" s="808" t="str">
        <f t="shared" si="1"/>
        <v/>
      </c>
      <c r="H40" s="764" t="str">
        <f t="shared" si="2"/>
        <v/>
      </c>
      <c r="I40" s="809" t="str">
        <f t="shared" si="2"/>
        <v/>
      </c>
      <c r="J40" s="810"/>
      <c r="K40" s="811"/>
      <c r="L40" s="1137"/>
      <c r="M40" s="1138"/>
      <c r="N40" s="1138"/>
      <c r="O40" s="1138"/>
      <c r="P40" s="1138"/>
      <c r="Q40" s="1138"/>
      <c r="R40" s="1139"/>
      <c r="T40" s="727">
        <v>32</v>
      </c>
      <c r="U40" s="716" t="e">
        <v>#N/A</v>
      </c>
      <c r="V40" s="768" t="e">
        <v>#N/A</v>
      </c>
      <c r="W40" s="768" t="e">
        <v>#N/A</v>
      </c>
      <c r="X40" s="768" t="e">
        <v>#N/A</v>
      </c>
      <c r="Y40" s="768" t="e">
        <v>#N/A</v>
      </c>
      <c r="Z40" s="777" t="e">
        <v>#N/A</v>
      </c>
      <c r="AA40" s="777" t="e">
        <v>#N/A</v>
      </c>
      <c r="AB40" s="777" t="e">
        <v>#N/A</v>
      </c>
      <c r="AC40" s="768" t="e">
        <v>#N/A</v>
      </c>
      <c r="AD40" s="768" t="e">
        <v>#N/A</v>
      </c>
      <c r="AE40" s="768" t="e">
        <v>#N/A</v>
      </c>
      <c r="AF40" s="768" t="e">
        <v>#N/A</v>
      </c>
      <c r="AG40" s="768" t="e">
        <f t="shared" si="3"/>
        <v>#N/A</v>
      </c>
      <c r="AH40" s="768" t="str">
        <f t="shared" si="4"/>
        <v/>
      </c>
      <c r="AI40" s="769" t="e">
        <f>IF(NOT(OR(Z40=1,Z40=2)),IF(AQ40&gt;0,$AR$45*AQ40/SUMIF($AQ$9:$AQ$40,"&gt;0"),IF(AU40&gt;0,$AV$45*AU40/SUMIF($AU$9:$AU$40,"&gt;0"),IF(AS40&gt;0,$AT$45*AS40/SUMIF($AS$9:$AS$40,"&gt;0"),""))),IF(SUMIF(AJ$40:$AJ41,"=" &amp; AJ40,AI$40:$AI41)=0,"",SUMIF(AJ$40:$AJ41,"=" &amp; AJ40,AI$40:$AI41)))</f>
        <v>#N/A</v>
      </c>
      <c r="AJ40" s="770" t="e">
        <f t="shared" si="34"/>
        <v>#N/A</v>
      </c>
      <c r="AK40" s="768" t="str">
        <f t="shared" si="27"/>
        <v/>
      </c>
      <c r="AL40" s="777" t="str">
        <f t="shared" si="28"/>
        <v/>
      </c>
      <c r="AM40" s="777" t="str">
        <f t="shared" si="35"/>
        <v/>
      </c>
      <c r="AN40" s="777" t="str">
        <f>IF(ISNUMBER(AH40),IF(AND(AB40=0,ISNUMBER(AC40),ISNUMBER(AL40)),1,""),"")</f>
        <v/>
      </c>
      <c r="AO40" s="777" t="e">
        <f t="shared" si="6"/>
        <v>#N/A</v>
      </c>
      <c r="AP40" s="768" t="str">
        <f t="shared" si="7"/>
        <v/>
      </c>
      <c r="AQ40" s="771">
        <f t="shared" si="29"/>
        <v>0</v>
      </c>
      <c r="AR40" s="772" t="str">
        <f t="shared" si="8"/>
        <v/>
      </c>
      <c r="AS40" s="773">
        <f t="shared" si="30"/>
        <v>0</v>
      </c>
      <c r="AT40" s="772" t="str">
        <f t="shared" si="9"/>
        <v/>
      </c>
      <c r="AU40" s="774">
        <f t="shared" si="10"/>
        <v>0</v>
      </c>
      <c r="AV40" s="775" t="str">
        <f t="shared" si="11"/>
        <v/>
      </c>
      <c r="AW40" s="774" t="b">
        <f t="shared" si="12"/>
        <v>0</v>
      </c>
      <c r="AX40" s="776" t="b">
        <f t="shared" si="13"/>
        <v>0</v>
      </c>
      <c r="AY40" s="774" t="b">
        <f t="shared" si="14"/>
        <v>0</v>
      </c>
      <c r="AZ40" s="776" t="b">
        <f t="shared" si="15"/>
        <v>0</v>
      </c>
      <c r="BA40" s="768" t="b">
        <f t="shared" si="16"/>
        <v>0</v>
      </c>
      <c r="BB40" s="768" t="b">
        <f t="shared" si="17"/>
        <v>0</v>
      </c>
      <c r="BC40" s="774" t="b">
        <f t="shared" si="18"/>
        <v>0</v>
      </c>
      <c r="BD40" s="777" t="b">
        <f t="shared" si="31"/>
        <v>0</v>
      </c>
      <c r="BE40" s="776" t="b">
        <f t="shared" si="37"/>
        <v>0</v>
      </c>
      <c r="BF40" s="778" t="b">
        <f t="shared" si="39"/>
        <v>0</v>
      </c>
      <c r="BG40" s="779" t="str">
        <f t="shared" si="38"/>
        <v>NA</v>
      </c>
      <c r="BH40" s="779" t="str">
        <f t="shared" si="32"/>
        <v/>
      </c>
      <c r="BI40" s="779" t="str">
        <f t="shared" si="22"/>
        <v/>
      </c>
      <c r="BJ40" s="779" t="str">
        <f t="shared" si="23"/>
        <v/>
      </c>
      <c r="BK40" s="779" t="str">
        <f t="shared" si="24"/>
        <v/>
      </c>
      <c r="BL40" s="779" t="str">
        <f t="shared" si="33"/>
        <v/>
      </c>
      <c r="BM40" s="779" t="str">
        <f t="shared" si="25"/>
        <v/>
      </c>
      <c r="BN40" s="779" t="str">
        <f t="shared" si="26"/>
        <v/>
      </c>
      <c r="BO40" s="1142"/>
      <c r="BP40" s="1143"/>
      <c r="BQ40" s="1143"/>
      <c r="BR40" s="1143"/>
      <c r="BS40" s="1143"/>
      <c r="BT40" s="1143"/>
      <c r="BU40" s="1144"/>
    </row>
    <row r="41" spans="2:73 1271:1271" s="720" customFormat="1" ht="8.25" customHeight="1" x14ac:dyDescent="0.25">
      <c r="B41" s="1151" t="s">
        <v>374</v>
      </c>
      <c r="C41" s="1152"/>
      <c r="D41" s="1153"/>
      <c r="E41" s="812" t="s">
        <v>375</v>
      </c>
      <c r="F41" s="1154" t="s">
        <v>376</v>
      </c>
      <c r="G41" s="1155"/>
      <c r="H41" s="1155" t="s">
        <v>377</v>
      </c>
      <c r="I41" s="1155"/>
      <c r="J41" s="1156" t="s">
        <v>378</v>
      </c>
      <c r="K41" s="1157"/>
      <c r="L41" s="813" t="s">
        <v>379</v>
      </c>
      <c r="M41" s="1158" t="s">
        <v>380</v>
      </c>
      <c r="N41" s="1158"/>
      <c r="O41" s="1159" t="str">
        <f>IF(U45,"DO REVIEW","DO REV N/A")</f>
        <v>DO REV N/A</v>
      </c>
      <c r="P41" s="1160"/>
      <c r="Q41" s="814" t="str">
        <f>IF(U46,"ED REVIEW","ED REV N/A")</f>
        <v>ED REVIEW</v>
      </c>
      <c r="R41" s="815"/>
      <c r="S41" s="816">
        <v>0</v>
      </c>
      <c r="AI41" s="817"/>
      <c r="AJ41" s="721"/>
      <c r="AK41" s="721"/>
      <c r="AL41" s="721"/>
      <c r="AM41" s="721"/>
      <c r="AN41" s="721"/>
      <c r="AO41" s="718"/>
      <c r="AP41" s="721"/>
      <c r="AQ41" s="818"/>
      <c r="AR41" s="721"/>
      <c r="AS41" s="818"/>
      <c r="AT41" s="721"/>
      <c r="AU41" s="818"/>
      <c r="AV41" s="819"/>
      <c r="AW41" s="721"/>
      <c r="AX41" s="721"/>
      <c r="AY41" s="721"/>
      <c r="AZ41" s="721"/>
      <c r="BA41" s="721"/>
      <c r="BB41" s="721"/>
      <c r="BC41" s="721"/>
      <c r="BD41" s="721"/>
      <c r="BE41" s="721"/>
      <c r="BF41" s="721"/>
      <c r="BG41" s="721"/>
      <c r="BH41" s="718"/>
      <c r="BI41" s="718"/>
      <c r="BJ41" s="718"/>
      <c r="BK41" s="718"/>
      <c r="BL41" s="718"/>
      <c r="BM41" s="718"/>
      <c r="BN41" s="718"/>
      <c r="BO41" s="1145"/>
      <c r="BP41" s="1146"/>
      <c r="BQ41" s="1146"/>
      <c r="BR41" s="1146"/>
      <c r="BS41" s="1146"/>
      <c r="BT41" s="1146"/>
      <c r="BU41" s="1147"/>
    </row>
    <row r="42" spans="2:73 1271:1271" ht="18.75" customHeight="1" thickBot="1" x14ac:dyDescent="0.3">
      <c r="B42" s="1161" t="str">
        <f>IF(ISERROR(AR47),"",TEXT(AR46,"0.0%"))</f>
        <v>0.0%</v>
      </c>
      <c r="C42" s="1162"/>
      <c r="D42" s="1163"/>
      <c r="E42" s="820" t="str">
        <f>IF(AU42=0,"N/A",CONCATENATE(TEXT(AV46,"0.0%")," of ",TEXT(AV45,"0.0%")))</f>
        <v>N/A</v>
      </c>
      <c r="F42" s="1165" t="str">
        <f>IF((graded_aca_events+graded_amn_events)&lt;1,"---",IF(AND(AW5,AX5),"INCOMPLETE",IF(AND(NOT(AW5),AX5),"ACA INC",IF(AND(AW5,NOT(AX5)),"AMN INC","COMPLETE"))))</f>
        <v>---</v>
      </c>
      <c r="G42" s="1165"/>
      <c r="H42" s="1165" t="str">
        <f>IF(AU5,IF(OR(AY5="UNK",NOT(AN7)),"---",IF(AY5,"UNSAT",IF(AVERAGEIFS(AT9:AT40,AS9:AS40,"&gt;0")&lt;0.9,"MARG","SAT"))),"N/A")</f>
        <v>N/A</v>
      </c>
      <c r="I42" s="1165"/>
      <c r="J42" s="1166" t="str">
        <f>IF(OR(AZ5="UNK",NOT(AM7)),"---",IF(OR(AZ5,AR46&lt;0.7),"FAIL","PASS"))</f>
        <v>---</v>
      </c>
      <c r="K42" s="1167"/>
      <c r="L42" s="821"/>
      <c r="M42" s="1168"/>
      <c r="N42" s="1168"/>
      <c r="O42" s="1306" t="s">
        <v>265</v>
      </c>
      <c r="P42" s="1306"/>
      <c r="Q42" s="1306" t="s">
        <v>265</v>
      </c>
      <c r="R42" s="1307"/>
      <c r="S42" s="802"/>
      <c r="T42" s="727" t="s">
        <v>381</v>
      </c>
      <c r="U42" s="777" t="s">
        <v>382</v>
      </c>
      <c r="V42" s="822"/>
      <c r="W42" s="822"/>
      <c r="X42" s="822"/>
      <c r="Y42" s="822"/>
      <c r="Z42" s="822"/>
      <c r="AA42" s="822"/>
      <c r="AB42" s="822"/>
      <c r="AC42" s="822"/>
      <c r="AD42" s="822"/>
      <c r="AE42" s="822"/>
      <c r="AF42" s="822"/>
      <c r="AG42" s="822"/>
      <c r="AH42" s="822"/>
      <c r="AI42" s="713"/>
      <c r="AJ42" s="712"/>
      <c r="AK42" s="822"/>
      <c r="AL42" s="822"/>
      <c r="AM42" s="822">
        <f>SUM(AM9:AM40)</f>
        <v>0</v>
      </c>
      <c r="AN42" s="822">
        <f>SUM(AN9:AN40)</f>
        <v>0</v>
      </c>
      <c r="AO42" s="727"/>
      <c r="AP42" s="712"/>
      <c r="AQ42" s="823">
        <f>SUMIF(AQ9:AQ40,"&gt;0")</f>
        <v>33.333332260000006</v>
      </c>
      <c r="AR42" s="824">
        <f>IF(AQ42=0,0,SUMPRODUCT($AQ$9:$AQ$40,AR9:AR40)/SUM($AQ$9:$AQ$40))</f>
        <v>0</v>
      </c>
      <c r="AS42" s="825">
        <f>SUMIF(AS9:AS40,"&gt;0")</f>
        <v>0</v>
      </c>
      <c r="AT42" s="824">
        <f>IF(AS42=0,0,SUMPRODUCT($AS$9:$AS$40,AT9:AT40)/SUM($AS$9:$AS$40))</f>
        <v>0</v>
      </c>
      <c r="AU42" s="825">
        <f>SUM(AU10:AU40)</f>
        <v>0</v>
      </c>
      <c r="AV42" s="824">
        <f>IF(AU42=0,0,SUMPRODUCT($AU$9:$AU$40,AV9:AV40)/SUM($AU$9:$AU$40))</f>
        <v>0</v>
      </c>
      <c r="AW42" s="826"/>
      <c r="AX42" s="826"/>
      <c r="AY42" s="826"/>
      <c r="AZ42" s="826"/>
      <c r="BA42" s="826"/>
      <c r="BB42" s="826"/>
      <c r="BC42" s="716" t="s">
        <v>383</v>
      </c>
      <c r="BD42" s="716" t="s">
        <v>384</v>
      </c>
      <c r="BE42" s="716" t="s">
        <v>385</v>
      </c>
      <c r="BF42" s="716"/>
      <c r="BG42" s="718"/>
      <c r="BO42" s="1145"/>
      <c r="BP42" s="1146"/>
      <c r="BQ42" s="1146"/>
      <c r="BR42" s="1146"/>
      <c r="BS42" s="1146"/>
      <c r="BT42" s="1146"/>
      <c r="BU42" s="1147"/>
      <c r="AVW42" s="827"/>
    </row>
    <row r="43" spans="2:73 1271:1271" ht="7.5" customHeight="1" thickTop="1" x14ac:dyDescent="0.25">
      <c r="L43" s="1164" t="s">
        <v>889</v>
      </c>
      <c r="M43" s="1164"/>
      <c r="N43" s="1164"/>
      <c r="O43" s="1164"/>
      <c r="P43" s="1164"/>
      <c r="Q43" s="1164"/>
      <c r="R43" s="1164"/>
      <c r="AP43" s="822"/>
      <c r="AQ43" s="712"/>
      <c r="AR43" s="712"/>
      <c r="AT43" s="824"/>
      <c r="AU43" s="824"/>
      <c r="AV43" s="824"/>
      <c r="AW43" s="712"/>
      <c r="AX43" s="824"/>
      <c r="BE43" s="716"/>
      <c r="BF43" s="716"/>
      <c r="BO43" s="1148"/>
      <c r="BP43" s="1149"/>
      <c r="BQ43" s="1149"/>
      <c r="BR43" s="1149"/>
      <c r="BS43" s="1149"/>
      <c r="BT43" s="1149"/>
      <c r="BU43" s="1150"/>
    </row>
    <row r="44" spans="2:73 1271:1271" ht="30.75" customHeight="1" x14ac:dyDescent="0.25">
      <c r="T44" s="828" t="s">
        <v>386</v>
      </c>
      <c r="U44" s="777" t="b">
        <v>0</v>
      </c>
      <c r="AI44" s="717">
        <f ca="1">SUMIF(AJ9:$AJ$40,"=" &amp; AJ9,AI10:$AI$40)</f>
        <v>0.69999999153999959</v>
      </c>
      <c r="AK44" s="718"/>
      <c r="AL44" s="718"/>
      <c r="AM44" s="718"/>
      <c r="AN44" s="718"/>
      <c r="AO44" s="829"/>
      <c r="AQ44" s="718"/>
      <c r="AR44" s="718"/>
      <c r="AS44" s="748" t="s">
        <v>387</v>
      </c>
      <c r="AT44" s="830">
        <f>SUMIF(X9:X40,"&gt;0")/SUMIF(W9:W40,"&gt;0")</f>
        <v>0</v>
      </c>
      <c r="AU44" s="748" t="s">
        <v>388</v>
      </c>
      <c r="AV44" s="831">
        <f>SUMIF(AU9:AU40,"&gt;0")/SUMIF(AQ9:AQ40,"&gt;0")</f>
        <v>0</v>
      </c>
      <c r="AW44" s="832"/>
      <c r="AY44" s="718"/>
      <c r="AZ44" s="718"/>
      <c r="BE44" s="716" t="b">
        <f>AND(ISBLANK($K31),J31&gt;0)</f>
        <v>0</v>
      </c>
      <c r="BF44" s="716"/>
      <c r="BH44" s="716"/>
      <c r="BO44" s="718"/>
      <c r="BP44" s="718"/>
      <c r="BQ44" s="719"/>
    </row>
    <row r="45" spans="2:73 1271:1271" ht="30.75" customHeight="1" x14ac:dyDescent="0.25">
      <c r="J45" s="833"/>
      <c r="T45" s="834" t="s">
        <v>389</v>
      </c>
      <c r="U45" s="716" t="b">
        <f>IF(AND(Flight?,OR(AW5,AY5,BA5,AZ5,AR46&lt;0.7,H42="MARG")),TRUE,FALSE)</f>
        <v>0</v>
      </c>
      <c r="AK45" s="718"/>
      <c r="AL45" s="718"/>
      <c r="AM45" s="718"/>
      <c r="AN45" s="718"/>
      <c r="AO45" s="835"/>
      <c r="AP45" s="718"/>
      <c r="AQ45" s="748" t="s">
        <v>390</v>
      </c>
      <c r="AR45" s="836">
        <f>1-AT45</f>
        <v>1</v>
      </c>
      <c r="AS45" s="748" t="s">
        <v>391</v>
      </c>
      <c r="AT45" s="830">
        <f>MIN(AT44,AT7)</f>
        <v>0</v>
      </c>
      <c r="AU45" s="748" t="s">
        <v>392</v>
      </c>
      <c r="AV45" s="837">
        <f>MIN(AV44,AV7)</f>
        <v>0</v>
      </c>
      <c r="AZ45" s="718"/>
      <c r="BE45" s="716"/>
      <c r="BF45" s="716"/>
      <c r="BH45" s="716"/>
      <c r="BO45" s="718"/>
      <c r="BP45" s="718"/>
      <c r="BQ45" s="719"/>
    </row>
    <row r="46" spans="2:73 1271:1271" ht="26.25" x14ac:dyDescent="0.25">
      <c r="T46" s="834" t="s">
        <v>393</v>
      </c>
      <c r="U46" s="716" t="b">
        <f>IF(OR(AX5,AY5,AZ5,BB5,AR46&lt;0.7),TRUE,FALSE)</f>
        <v>1</v>
      </c>
      <c r="AK46" s="718"/>
      <c r="AL46" s="718"/>
      <c r="AM46" s="718"/>
      <c r="AN46" s="718"/>
      <c r="AO46" s="838"/>
      <c r="AP46" s="718"/>
      <c r="AQ46" s="748" t="s">
        <v>394</v>
      </c>
      <c r="AR46" s="717">
        <f>AR42*(1-AT45)+(AT42*AT45)</f>
        <v>0</v>
      </c>
      <c r="AU46" s="718" t="s">
        <v>324</v>
      </c>
      <c r="AV46" s="837">
        <f>AV42*AV45</f>
        <v>0</v>
      </c>
      <c r="AY46" s="718"/>
      <c r="AZ46" s="718"/>
      <c r="BE46" s="716"/>
      <c r="BF46" s="716"/>
      <c r="BH46" s="716"/>
      <c r="BO46" s="718"/>
      <c r="BP46" s="718"/>
      <c r="BQ46" s="719"/>
    </row>
    <row r="47" spans="2:73 1271:1271" ht="26.25" x14ac:dyDescent="0.25">
      <c r="T47" s="834" t="s">
        <v>395</v>
      </c>
      <c r="U47" s="716" t="b">
        <v>0</v>
      </c>
      <c r="AK47" s="718"/>
      <c r="AL47" s="718"/>
      <c r="AM47" s="718"/>
      <c r="AN47" s="718"/>
      <c r="AO47" s="838"/>
      <c r="AP47" s="718"/>
      <c r="AQ47" s="748" t="s">
        <v>396</v>
      </c>
      <c r="AR47" s="837">
        <f>MIN(1,IF(NOT(OR(AY5,AZ5)),AR46+AV46,MIN(0.69,AR46+AV46)))</f>
        <v>0</v>
      </c>
      <c r="AY47" s="718"/>
      <c r="BE47" s="716"/>
      <c r="BF47" s="716"/>
      <c r="BI47" s="716"/>
      <c r="BO47" s="718"/>
      <c r="BP47" s="718"/>
      <c r="BQ47" s="719"/>
    </row>
    <row r="48" spans="2:73 1271:1271" x14ac:dyDescent="0.25">
      <c r="T48" s="834" t="s">
        <v>397</v>
      </c>
      <c r="U48" s="716" t="b">
        <f>IF(NOT(Flight?),TRUE,NOT(OR(ISBLANK(comments),ISBLANK(hdr_class),ISBLANK(hdr_date),ISBLANK(hdr_stud),ISBLANK(hdr_instr),ISBLANK(hdr_acft),ISBLANK(hdr_time),F42="---")))</f>
        <v>1</v>
      </c>
      <c r="AK48" s="718"/>
      <c r="AL48" s="718"/>
      <c r="AM48" s="718"/>
      <c r="AN48" s="718"/>
      <c r="AO48" s="838"/>
      <c r="AP48" s="718"/>
      <c r="AQ48" s="718"/>
      <c r="AR48" s="839"/>
      <c r="AS48" s="837"/>
      <c r="AU48" s="718"/>
      <c r="AV48" s="718"/>
      <c r="AW48" s="718"/>
    </row>
    <row r="49" spans="20:56" x14ac:dyDescent="0.25">
      <c r="T49" s="834" t="s">
        <v>398</v>
      </c>
      <c r="U49" s="716" t="b">
        <f>IF(Flight?,TRUE,NOT(OR(ISBLANK(comments),ISBLANK(hdr_class),ISBLANK(hdr_date),ISBLANK(hdr_stud),ISBLANK(hdr_instr),F42="---")))</f>
        <v>0</v>
      </c>
      <c r="AK49" s="718"/>
      <c r="AL49" s="718"/>
      <c r="AM49" s="718"/>
      <c r="AN49" s="718"/>
      <c r="AO49" s="835"/>
      <c r="AP49" s="712" t="s">
        <v>399</v>
      </c>
      <c r="AQ49" s="712"/>
      <c r="AR49" s="712"/>
      <c r="AS49" s="712"/>
      <c r="AT49" s="712"/>
      <c r="AU49" s="718"/>
      <c r="AV49" s="718"/>
      <c r="AW49" s="718"/>
    </row>
    <row r="50" spans="20:56" x14ac:dyDescent="0.25">
      <c r="T50" s="834" t="s">
        <v>400</v>
      </c>
      <c r="U50" s="716" t="b">
        <f>AND(U48:U49)</f>
        <v>0</v>
      </c>
      <c r="AK50" s="718"/>
      <c r="AL50" s="718"/>
      <c r="AM50" s="718"/>
      <c r="AN50" s="718"/>
      <c r="AO50" s="835"/>
      <c r="AP50" s="712"/>
      <c r="AQ50" s="712"/>
      <c r="AR50" s="712">
        <v>0</v>
      </c>
      <c r="AS50" s="712">
        <v>1</v>
      </c>
      <c r="AT50" s="712">
        <v>2</v>
      </c>
      <c r="AU50" s="712">
        <v>3</v>
      </c>
      <c r="AV50" s="712">
        <v>4</v>
      </c>
      <c r="AW50" s="718"/>
    </row>
    <row r="51" spans="20:56" x14ac:dyDescent="0.25">
      <c r="AK51" s="718"/>
      <c r="AL51" s="718"/>
      <c r="AM51" s="718"/>
      <c r="AN51" s="718"/>
      <c r="AO51" s="835"/>
      <c r="AP51" s="712" t="s">
        <v>359</v>
      </c>
      <c r="AQ51" s="712">
        <v>1</v>
      </c>
      <c r="AR51" s="840">
        <v>0.7</v>
      </c>
      <c r="AS51" s="840">
        <v>0.9</v>
      </c>
      <c r="AT51" s="840">
        <v>0.93330000000000002</v>
      </c>
      <c r="AU51" s="840">
        <v>0.9667</v>
      </c>
      <c r="AV51" s="840">
        <v>1</v>
      </c>
      <c r="AW51" s="718"/>
    </row>
    <row r="52" spans="20:56" x14ac:dyDescent="0.25">
      <c r="AK52" s="718"/>
      <c r="AL52" s="718"/>
      <c r="AM52" s="718"/>
      <c r="AN52" s="718"/>
      <c r="AO52" s="835"/>
      <c r="AP52" s="712" t="s">
        <v>360</v>
      </c>
      <c r="AQ52" s="712">
        <v>2</v>
      </c>
      <c r="AR52" s="840">
        <v>0.7</v>
      </c>
      <c r="AS52" s="840">
        <v>0.8</v>
      </c>
      <c r="AT52" s="840">
        <v>0.9</v>
      </c>
      <c r="AU52" s="840">
        <v>0.95</v>
      </c>
      <c r="AV52" s="840">
        <v>1</v>
      </c>
      <c r="AW52" s="718"/>
    </row>
    <row r="53" spans="20:56" x14ac:dyDescent="0.25">
      <c r="AK53" s="718"/>
      <c r="AL53" s="718"/>
      <c r="AM53" s="718"/>
      <c r="AN53" s="718"/>
      <c r="AO53" s="835"/>
      <c r="AP53" s="712" t="s">
        <v>361</v>
      </c>
      <c r="AQ53" s="712">
        <v>3</v>
      </c>
      <c r="AR53" s="840">
        <v>0.7</v>
      </c>
      <c r="AS53" s="840">
        <v>0.76670000000000005</v>
      </c>
      <c r="AT53" s="840">
        <v>0.83330000000000004</v>
      </c>
      <c r="AU53" s="840">
        <v>0.9</v>
      </c>
      <c r="AV53" s="840">
        <v>1</v>
      </c>
      <c r="AW53" s="718"/>
    </row>
    <row r="54" spans="20:56" x14ac:dyDescent="0.25">
      <c r="AP54" s="841" t="s">
        <v>362</v>
      </c>
      <c r="AQ54" s="712">
        <v>11</v>
      </c>
      <c r="AR54" s="840">
        <v>0.6</v>
      </c>
      <c r="AS54" s="840">
        <v>0.9</v>
      </c>
      <c r="AT54" s="840">
        <v>0.93330000000000002</v>
      </c>
      <c r="AU54" s="840">
        <v>0.9667</v>
      </c>
      <c r="AV54" s="840">
        <v>1</v>
      </c>
      <c r="AW54" s="718"/>
    </row>
    <row r="55" spans="20:56" x14ac:dyDescent="0.25">
      <c r="AP55" s="841" t="s">
        <v>363</v>
      </c>
      <c r="AQ55" s="712">
        <v>12</v>
      </c>
      <c r="AR55" s="840">
        <v>0.6</v>
      </c>
      <c r="AS55" s="840">
        <v>0.7</v>
      </c>
      <c r="AT55" s="840">
        <v>0.9</v>
      </c>
      <c r="AU55" s="840">
        <v>0.95</v>
      </c>
      <c r="AV55" s="840">
        <v>1</v>
      </c>
      <c r="AW55" s="718"/>
    </row>
    <row r="56" spans="20:56" x14ac:dyDescent="0.25">
      <c r="AP56" s="841" t="s">
        <v>364</v>
      </c>
      <c r="AQ56" s="712">
        <v>13</v>
      </c>
      <c r="AR56" s="840">
        <v>0.6</v>
      </c>
      <c r="AS56" s="840">
        <v>0.7</v>
      </c>
      <c r="AT56" s="840">
        <v>0.8</v>
      </c>
      <c r="AU56" s="840">
        <v>0.9</v>
      </c>
      <c r="AV56" s="840">
        <v>1</v>
      </c>
      <c r="AW56" s="718"/>
    </row>
    <row r="57" spans="20:56" x14ac:dyDescent="0.25">
      <c r="AP57" s="841" t="s">
        <v>365</v>
      </c>
      <c r="AQ57" s="712">
        <v>22</v>
      </c>
      <c r="AR57" s="840">
        <v>0.3</v>
      </c>
      <c r="AS57" s="840">
        <v>0.6</v>
      </c>
      <c r="AT57" s="840">
        <v>0.9</v>
      </c>
      <c r="AU57" s="840">
        <v>0.95</v>
      </c>
      <c r="AV57" s="840">
        <v>1</v>
      </c>
      <c r="AW57" s="718"/>
    </row>
    <row r="58" spans="20:56" x14ac:dyDescent="0.25">
      <c r="AP58" s="841" t="s">
        <v>366</v>
      </c>
      <c r="AQ58" s="712">
        <v>23</v>
      </c>
      <c r="AR58" s="840">
        <v>0.3</v>
      </c>
      <c r="AS58" s="840">
        <v>0.6</v>
      </c>
      <c r="AT58" s="840">
        <v>0.7</v>
      </c>
      <c r="AU58" s="840">
        <v>0.9</v>
      </c>
      <c r="AV58" s="840">
        <v>1</v>
      </c>
      <c r="AW58" s="718"/>
    </row>
    <row r="59" spans="20:56" x14ac:dyDescent="0.25">
      <c r="AP59" s="841" t="s">
        <v>367</v>
      </c>
      <c r="AQ59" s="712">
        <v>33</v>
      </c>
      <c r="AR59" s="840">
        <v>0</v>
      </c>
      <c r="AS59" s="840">
        <v>0.3</v>
      </c>
      <c r="AT59" s="840">
        <v>0.6</v>
      </c>
      <c r="AU59" s="840">
        <v>0.9</v>
      </c>
      <c r="AV59" s="840">
        <v>1</v>
      </c>
      <c r="AW59" s="85"/>
      <c r="AX59" s="88"/>
      <c r="BC59" s="88"/>
      <c r="BD59" s="88"/>
    </row>
    <row r="60" spans="20:56" x14ac:dyDescent="0.25">
      <c r="AP60" s="718"/>
      <c r="AQ60" s="718"/>
      <c r="AR60" s="718"/>
      <c r="AS60" s="718"/>
      <c r="AT60" s="718"/>
      <c r="AU60" s="718"/>
      <c r="AV60" s="718"/>
      <c r="AW60" s="88"/>
      <c r="AX60" s="88"/>
      <c r="BC60" s="88"/>
      <c r="BD60" s="88"/>
    </row>
    <row r="61" spans="20:56" x14ac:dyDescent="0.25">
      <c r="AP61" s="88"/>
      <c r="AQ61" s="85"/>
      <c r="AR61" s="88"/>
      <c r="AS61" s="88"/>
      <c r="AT61" s="88"/>
      <c r="AU61" s="88"/>
      <c r="AV61" s="88"/>
      <c r="AW61" s="85"/>
      <c r="AX61" s="85"/>
      <c r="BC61" s="88"/>
      <c r="BD61" s="88"/>
    </row>
    <row r="62" spans="20:56" x14ac:dyDescent="0.25">
      <c r="AP62" s="200"/>
      <c r="AQ62" s="85"/>
      <c r="AR62" s="88"/>
      <c r="AS62" s="88"/>
      <c r="AT62" s="88"/>
      <c r="AU62" s="88"/>
      <c r="AV62" s="88"/>
      <c r="AW62" s="85"/>
      <c r="AX62" s="85"/>
      <c r="BC62" s="88"/>
      <c r="BD62" s="88"/>
    </row>
    <row r="63" spans="20:56" x14ac:dyDescent="0.25">
      <c r="AP63" s="85"/>
      <c r="AQ63" s="85"/>
      <c r="AR63" s="88"/>
      <c r="AS63" s="88"/>
      <c r="AT63" s="88"/>
      <c r="AU63" s="88"/>
      <c r="AV63" s="88"/>
      <c r="AW63" s="85"/>
      <c r="AX63" s="85"/>
      <c r="BC63" s="88"/>
      <c r="BD63" s="88"/>
    </row>
    <row r="64" spans="20:56" x14ac:dyDescent="0.25">
      <c r="AP64" s="85"/>
      <c r="AQ64" s="85"/>
      <c r="AR64" s="88"/>
      <c r="AS64" s="88"/>
      <c r="AT64" s="88"/>
      <c r="AU64" s="88"/>
      <c r="AV64" s="88"/>
      <c r="AW64" s="85"/>
      <c r="AX64" s="88"/>
      <c r="BC64" s="88"/>
      <c r="BD64" s="88"/>
    </row>
    <row r="65" spans="42:56" x14ac:dyDescent="0.25">
      <c r="AP65" s="85"/>
      <c r="AQ65" s="85"/>
      <c r="AR65" s="88"/>
      <c r="AS65" s="88"/>
      <c r="AT65" s="88"/>
      <c r="AU65" s="88"/>
      <c r="AV65" s="88"/>
      <c r="AW65" s="85"/>
      <c r="AX65" s="88"/>
      <c r="BC65" s="88"/>
      <c r="BD65" s="88"/>
    </row>
    <row r="66" spans="42:56" x14ac:dyDescent="0.25">
      <c r="AP66" s="85"/>
      <c r="AQ66" s="85"/>
      <c r="AR66" s="88"/>
      <c r="AS66" s="88"/>
      <c r="AT66" s="88"/>
      <c r="AU66" s="88"/>
      <c r="AV66" s="88"/>
    </row>
    <row r="67" spans="42:56" x14ac:dyDescent="0.25">
      <c r="AP67" s="85"/>
      <c r="AQ67" s="85"/>
      <c r="AR67" s="88"/>
      <c r="AS67" s="88"/>
      <c r="AT67" s="88"/>
      <c r="AU67" s="88"/>
      <c r="AV67" s="88"/>
    </row>
  </sheetData>
  <sheetProtection algorithmName="SHA-512" hashValue="HLckinZ2Xsx1O1+9EzPp3RxXIb/MVPLZtjnB617C92Vgt/MHoiInJIJtSQa3DyJEC3F7KCdYRs4IGOAj7S4N2A==" saltValue="kHFRIV3khltErh4I7HLDHQ==" spinCount="100000" sheet="1"/>
  <mergeCells count="76">
    <mergeCell ref="C40:F40"/>
    <mergeCell ref="BO40:BU43"/>
    <mergeCell ref="B41:D41"/>
    <mergeCell ref="F41:G41"/>
    <mergeCell ref="H41:I41"/>
    <mergeCell ref="J41:K41"/>
    <mergeCell ref="M41:N41"/>
    <mergeCell ref="O41:P41"/>
    <mergeCell ref="B42:D42"/>
    <mergeCell ref="L43:R43"/>
    <mergeCell ref="F42:G42"/>
    <mergeCell ref="H42:I42"/>
    <mergeCell ref="J42:K42"/>
    <mergeCell ref="M42:N42"/>
    <mergeCell ref="O42:P42"/>
    <mergeCell ref="Q42:R42"/>
    <mergeCell ref="BO35:BU38"/>
    <mergeCell ref="C36:F36"/>
    <mergeCell ref="C37:F37"/>
    <mergeCell ref="C38:F38"/>
    <mergeCell ref="C39:F39"/>
    <mergeCell ref="BQ20:BU20"/>
    <mergeCell ref="C21:F21"/>
    <mergeCell ref="C22:F22"/>
    <mergeCell ref="BO22:BO30"/>
    <mergeCell ref="C23:F23"/>
    <mergeCell ref="C24:F24"/>
    <mergeCell ref="C25:F25"/>
    <mergeCell ref="C26:F26"/>
    <mergeCell ref="C27:F27"/>
    <mergeCell ref="C28:F28"/>
    <mergeCell ref="C29:F29"/>
    <mergeCell ref="C30:F30"/>
    <mergeCell ref="C33:F33"/>
    <mergeCell ref="C34:F34"/>
    <mergeCell ref="C35:F35"/>
    <mergeCell ref="C14:F14"/>
    <mergeCell ref="C15:F15"/>
    <mergeCell ref="C16:F16"/>
    <mergeCell ref="C17:F17"/>
    <mergeCell ref="C32:F32"/>
    <mergeCell ref="C19:F19"/>
    <mergeCell ref="C20:F20"/>
    <mergeCell ref="C31:F31"/>
    <mergeCell ref="Q6:R6"/>
    <mergeCell ref="B7:E7"/>
    <mergeCell ref="F7:G7"/>
    <mergeCell ref="H7:L7"/>
    <mergeCell ref="C18:F18"/>
    <mergeCell ref="M7:N7"/>
    <mergeCell ref="O7:P7"/>
    <mergeCell ref="Q7:R7"/>
    <mergeCell ref="B8:F8"/>
    <mergeCell ref="L8:R8"/>
    <mergeCell ref="C9:F9"/>
    <mergeCell ref="L9:R40"/>
    <mergeCell ref="C10:F10"/>
    <mergeCell ref="C11:F11"/>
    <mergeCell ref="C12:F12"/>
    <mergeCell ref="C13:F13"/>
    <mergeCell ref="B4:G4"/>
    <mergeCell ref="H4:N4"/>
    <mergeCell ref="O4:P4"/>
    <mergeCell ref="Q4:R4"/>
    <mergeCell ref="BP4:BU5"/>
    <mergeCell ref="B5:G5"/>
    <mergeCell ref="H5:N5"/>
    <mergeCell ref="O5:P5"/>
    <mergeCell ref="Q5:R5"/>
    <mergeCell ref="BH5:BK7"/>
    <mergeCell ref="BL5:BN7"/>
    <mergeCell ref="B6:E6"/>
    <mergeCell ref="F6:G6"/>
    <mergeCell ref="H6:L6"/>
    <mergeCell ref="M6:N6"/>
    <mergeCell ref="O6:P6"/>
  </mergeCells>
  <conditionalFormatting sqref="B9:F40">
    <cfRule type="expression" dxfId="58" priority="9" stopIfTrue="1">
      <formula>IF($Z9=1,TRUE,FALSE)</formula>
    </cfRule>
    <cfRule type="expression" dxfId="57" priority="10">
      <formula>IF($Z9=2,TRUE,FALSE)</formula>
    </cfRule>
  </conditionalFormatting>
  <conditionalFormatting sqref="C9:F40">
    <cfRule type="expression" dxfId="56" priority="2" stopIfTrue="1">
      <formula>IF($AF9=FALSE,TRUE,FALSE)</formula>
    </cfRule>
  </conditionalFormatting>
  <conditionalFormatting sqref="F6:G7 M6:P7">
    <cfRule type="expression" dxfId="55" priority="5" stopIfTrue="1">
      <formula>NOT($AU$5)</formula>
    </cfRule>
  </conditionalFormatting>
  <conditionalFormatting sqref="F7:G7">
    <cfRule type="cellIs" dxfId="54" priority="4" operator="equal">
      <formula>""</formula>
    </cfRule>
  </conditionalFormatting>
  <conditionalFormatting sqref="G9:K40">
    <cfRule type="expression" dxfId="53" priority="7" stopIfTrue="1">
      <formula>IF($Z9=1,TRUE,FALSE)</formula>
    </cfRule>
    <cfRule type="expression" dxfId="52" priority="8" stopIfTrue="1">
      <formula>IF($Z9=2,TRUE,FALSE)</formula>
    </cfRule>
  </conditionalFormatting>
  <conditionalFormatting sqref="H9:H40">
    <cfRule type="expression" dxfId="51" priority="11" stopIfTrue="1">
      <formula>IF($AB9=0,TRUE,FALSE)</formula>
    </cfRule>
  </conditionalFormatting>
  <conditionalFormatting sqref="H41:I42">
    <cfRule type="expression" dxfId="50" priority="3" stopIfTrue="1">
      <formula>IF($H$42="N/A",TRUE,FALSE)</formula>
    </cfRule>
  </conditionalFormatting>
  <conditionalFormatting sqref="H7:P7 O5:R5 B7 L9">
    <cfRule type="containsBlanks" dxfId="49" priority="6">
      <formula>LEN(TRIM(B5))=0</formula>
    </cfRule>
  </conditionalFormatting>
  <conditionalFormatting sqref="J9:J40">
    <cfRule type="expression" dxfId="48" priority="15">
      <formula>IF($Z9=1,FALSE,OR($BE9,$BD9))</formula>
    </cfRule>
  </conditionalFormatting>
  <conditionalFormatting sqref="J9:K40 C9:F40">
    <cfRule type="expression" dxfId="47" priority="14">
      <formula>IF($Z9=1,FALSE,OR($AW9,$AX9,$AY9,$AZ9))</formula>
    </cfRule>
  </conditionalFormatting>
  <conditionalFormatting sqref="J9:K40">
    <cfRule type="expression" dxfId="46" priority="12" stopIfTrue="1">
      <formula>IF(ISNA($Z9),TRUE,FALSE)</formula>
    </cfRule>
  </conditionalFormatting>
  <conditionalFormatting sqref="K9:K40">
    <cfRule type="expression" dxfId="45" priority="13">
      <formula>IF(OR($Z9=1,$Z9=2),FALSE,OR($BC9,$BE9,$BF9))</formula>
    </cfRule>
  </conditionalFormatting>
  <conditionalFormatting sqref="L42">
    <cfRule type="expression" dxfId="44" priority="1">
      <formula>NOT($U$50)</formula>
    </cfRule>
  </conditionalFormatting>
  <dataValidations count="6">
    <dataValidation type="list" allowBlank="1" showInputMessage="1" showErrorMessage="1" sqref="F7:G7" xr:uid="{C93BBCED-469B-4612-B192-85363E210A0D}">
      <formula1>"No,Yes"</formula1>
    </dataValidation>
    <dataValidation type="list" allowBlank="1" showInputMessage="1" showErrorMessage="1" sqref="J9:J40" xr:uid="{40B9D752-3031-48EA-92DD-B9985D8070EB}">
      <formula1>"NA,0,1,2,3,4,5,6,7,8,9,10,11,12,13,14,15"</formula1>
    </dataValidation>
    <dataValidation type="list" allowBlank="1" showInputMessage="1" showErrorMessage="1" sqref="K9:K40" xr:uid="{A59CD5A0-F54B-43B0-B05A-737889712D4A}">
      <formula1>"D,0,1,2,3,4"</formula1>
    </dataValidation>
    <dataValidation showInputMessage="1" showErrorMessage="1" sqref="O42:R42" xr:uid="{F6AA9F1E-1D3F-4C1F-9862-EBA9641A90EA}"/>
    <dataValidation type="decimal" allowBlank="1" showInputMessage="1" showErrorMessage="1" sqref="O7:P7" xr:uid="{EBECF769-9269-4A3D-B30C-EC41B77E4476}">
      <formula1>0</formula1>
      <formula2>10</formula2>
    </dataValidation>
    <dataValidation type="date" allowBlank="1" showInputMessage="1" showErrorMessage="1" sqref="Q5:R5" xr:uid="{CF229213-5DCD-486C-9DBB-D406607E1FB1}">
      <formula1>41151</formula1>
      <formula2>77433</formula2>
    </dataValidation>
  </dataValidations>
  <hyperlinks>
    <hyperlink ref="BP4" location="PF!A1" display="PF phase Summary Page" xr:uid="{ED3866E4-4874-4A19-A300-55AA5B2203E1}"/>
    <hyperlink ref="BP4:BU5" location="TF!A1" display="TF Summary Page" xr:uid="{58DEEDC0-3B29-40AC-9EC1-C2A96BB5540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1299" r:id="rId3" name="IP_Signature">
              <controlPr defaultSize="0" print="0" autoFill="0" autoPict="0" macro="[0]!IP_signature">
                <anchor moveWithCells="1" sizeWithCells="1">
                  <from>
                    <xdr:col>11</xdr:col>
                    <xdr:colOff>0</xdr:colOff>
                    <xdr:row>41</xdr:row>
                    <xdr:rowOff>0</xdr:rowOff>
                  </from>
                  <to>
                    <xdr:col>12</xdr:col>
                    <xdr:colOff>0</xdr:colOff>
                    <xdr:row>42</xdr:row>
                    <xdr:rowOff>0</xdr:rowOff>
                  </to>
                </anchor>
              </controlPr>
            </control>
          </mc:Choice>
        </mc:AlternateContent>
        <mc:AlternateContent xmlns:mc="http://schemas.openxmlformats.org/markup-compatibility/2006">
          <mc:Choice Requires="x14">
            <control shapeId="311300" r:id="rId4" name="CCG_Click">
              <controlPr defaultSize="0" print="0" autoFill="0" autoPict="0" macro="[0]!CCG_Click">
                <anchor moveWithCells="1" sizeWithCells="1">
                  <from>
                    <xdr:col>4</xdr:col>
                    <xdr:colOff>0</xdr:colOff>
                    <xdr:row>42</xdr:row>
                    <xdr:rowOff>38100</xdr:rowOff>
                  </from>
                  <to>
                    <xdr:col>6</xdr:col>
                    <xdr:colOff>123825</xdr:colOff>
                    <xdr:row>43</xdr:row>
                    <xdr:rowOff>190500</xdr:rowOff>
                  </to>
                </anchor>
              </controlPr>
            </control>
          </mc:Choice>
        </mc:AlternateContent>
        <mc:AlternateContent xmlns:mc="http://schemas.openxmlformats.org/markup-compatibility/2006">
          <mc:Choice Requires="x14">
            <control shapeId="311301" r:id="rId5" name="MCG_Click">
              <controlPr defaultSize="0" print="0" autoFill="0" autoPict="0" macro="[0]!MCG_Click">
                <anchor moveWithCells="1" sizeWithCells="1">
                  <from>
                    <xdr:col>6</xdr:col>
                    <xdr:colOff>190500</xdr:colOff>
                    <xdr:row>42</xdr:row>
                    <xdr:rowOff>38100</xdr:rowOff>
                  </from>
                  <to>
                    <xdr:col>11</xdr:col>
                    <xdr:colOff>66675</xdr:colOff>
                    <xdr:row>43</xdr:row>
                    <xdr:rowOff>190500</xdr:rowOff>
                  </to>
                </anchor>
              </controlPr>
            </control>
          </mc:Choice>
        </mc:AlternateContent>
        <mc:AlternateContent xmlns:mc="http://schemas.openxmlformats.org/markup-compatibility/2006">
          <mc:Choice Requires="x14">
            <control shapeId="311302" r:id="rId6" name="DCG_Click">
              <controlPr defaultSize="0" print="0" autoFill="0" autoPict="0" macro="[0]!DCG_Click">
                <anchor moveWithCells="1" sizeWithCells="1">
                  <from>
                    <xdr:col>11</xdr:col>
                    <xdr:colOff>123825</xdr:colOff>
                    <xdr:row>42</xdr:row>
                    <xdr:rowOff>38100</xdr:rowOff>
                  </from>
                  <to>
                    <xdr:col>12</xdr:col>
                    <xdr:colOff>276225</xdr:colOff>
                    <xdr:row>43</xdr:row>
                    <xdr:rowOff>190500</xdr:rowOff>
                  </to>
                </anchor>
              </controlPr>
            </control>
          </mc:Choice>
        </mc:AlternateContent>
        <mc:AlternateContent xmlns:mc="http://schemas.openxmlformats.org/markup-compatibility/2006">
          <mc:Choice Requires="x14">
            <control shapeId="311303" r:id="rId7" name="PMC_Click">
              <controlPr defaultSize="0" print="0" autoFill="0" autoPict="0" macro="[0]!PMC_Click">
                <anchor moveWithCells="1" sizeWithCells="1">
                  <from>
                    <xdr:col>12</xdr:col>
                    <xdr:colOff>342900</xdr:colOff>
                    <xdr:row>42</xdr:row>
                    <xdr:rowOff>38100</xdr:rowOff>
                  </from>
                  <to>
                    <xdr:col>17</xdr:col>
                    <xdr:colOff>257175</xdr:colOff>
                    <xdr:row>43</xdr:row>
                    <xdr:rowOff>190500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D11FAE-CB5E-47C0-A2D5-F66B2EC5E777}">
  <sheetPr>
    <tabColor rgb="FFFFFF00"/>
    <pageSetUpPr autoPageBreaks="0"/>
  </sheetPr>
  <dimension ref="A1:AVW67"/>
  <sheetViews>
    <sheetView showGridLines="0" showRowColHeaders="0" topLeftCell="A3" zoomScaleNormal="100" workbookViewId="0">
      <selection activeCell="L9" sqref="L9:R40"/>
    </sheetView>
  </sheetViews>
  <sheetFormatPr defaultColWidth="9.140625" defaultRowHeight="15" x14ac:dyDescent="0.25"/>
  <cols>
    <col min="1" max="1" width="1.5703125" style="714" customWidth="1"/>
    <col min="2" max="2" width="3.5703125" style="714" customWidth="1"/>
    <col min="3" max="3" width="5.5703125" style="715" customWidth="1"/>
    <col min="4" max="4" width="9.140625" style="715"/>
    <col min="5" max="5" width="14" style="715" customWidth="1"/>
    <col min="6" max="6" width="7.85546875" style="715" customWidth="1"/>
    <col min="7" max="11" width="5.140625" style="715" customWidth="1"/>
    <col min="12" max="12" width="21.5703125" style="715" customWidth="1"/>
    <col min="13" max="13" width="6.5703125" style="715" customWidth="1"/>
    <col min="14" max="14" width="12.5703125" style="715" customWidth="1"/>
    <col min="15" max="15" width="7.85546875" style="715" customWidth="1"/>
    <col min="16" max="16" width="2.7109375" style="715" customWidth="1"/>
    <col min="17" max="17" width="4.85546875" style="715" customWidth="1"/>
    <col min="18" max="18" width="7.28515625" style="715" customWidth="1"/>
    <col min="19" max="19" width="1.7109375" style="715" customWidth="1"/>
    <col min="20" max="20" width="19.140625" style="716" hidden="1" customWidth="1"/>
    <col min="21" max="21" width="31.140625" style="716" hidden="1" customWidth="1"/>
    <col min="22" max="22" width="5.140625" style="716" hidden="1" customWidth="1"/>
    <col min="23" max="24" width="6.28515625" style="716" hidden="1" customWidth="1"/>
    <col min="25" max="25" width="8.42578125" style="716" hidden="1" customWidth="1"/>
    <col min="26" max="26" width="7.85546875" style="716" hidden="1" customWidth="1"/>
    <col min="27" max="27" width="10.7109375" style="716" hidden="1" customWidth="1"/>
    <col min="28" max="28" width="8" style="716" hidden="1" customWidth="1"/>
    <col min="29" max="31" width="5.140625" style="716" hidden="1" customWidth="1"/>
    <col min="32" max="34" width="5.85546875" style="716" hidden="1" customWidth="1"/>
    <col min="35" max="35" width="8.5703125" style="717" hidden="1" customWidth="1"/>
    <col min="36" max="36" width="7" style="716" hidden="1" customWidth="1"/>
    <col min="37" max="38" width="5.28515625" style="716" hidden="1" customWidth="1"/>
    <col min="39" max="40" width="7" style="716" hidden="1" customWidth="1"/>
    <col min="41" max="41" width="5.140625" style="716" hidden="1" customWidth="1"/>
    <col min="42" max="42" width="11.28515625" style="716" hidden="1" customWidth="1"/>
    <col min="43" max="43" width="6.42578125" style="716" hidden="1" customWidth="1"/>
    <col min="44" max="44" width="8.28515625" style="716" hidden="1" customWidth="1"/>
    <col min="45" max="45" width="8.85546875" style="716" hidden="1" customWidth="1"/>
    <col min="46" max="46" width="10.7109375" style="716" hidden="1" customWidth="1"/>
    <col min="47" max="47" width="8.85546875" style="716" hidden="1" customWidth="1"/>
    <col min="48" max="48" width="6.28515625" style="716" hidden="1" customWidth="1"/>
    <col min="49" max="49" width="10" style="716" hidden="1" customWidth="1"/>
    <col min="50" max="50" width="7.5703125" style="716" hidden="1" customWidth="1"/>
    <col min="51" max="51" width="7" style="716" hidden="1" customWidth="1"/>
    <col min="52" max="52" width="8.140625" style="716" hidden="1" customWidth="1"/>
    <col min="53" max="53" width="12.5703125" style="716" hidden="1" customWidth="1"/>
    <col min="54" max="54" width="7.7109375" style="716" hidden="1" customWidth="1"/>
    <col min="55" max="55" width="12.7109375" style="716" hidden="1" customWidth="1"/>
    <col min="56" max="56" width="7" style="716" hidden="1" customWidth="1"/>
    <col min="57" max="57" width="15.5703125" style="718" hidden="1" customWidth="1"/>
    <col min="58" max="58" width="9.140625" style="718" hidden="1" customWidth="1"/>
    <col min="59" max="59" width="10" style="716" hidden="1" customWidth="1"/>
    <col min="60" max="60" width="5.28515625" style="718" hidden="1" customWidth="1"/>
    <col min="61" max="61" width="4" style="718" hidden="1" customWidth="1"/>
    <col min="62" max="62" width="4.7109375" style="718" hidden="1" customWidth="1"/>
    <col min="63" max="63" width="5.5703125" style="718" hidden="1" customWidth="1"/>
    <col min="64" max="64" width="5.28515625" style="718" hidden="1" customWidth="1"/>
    <col min="65" max="65" width="4" style="718" hidden="1" customWidth="1"/>
    <col min="66" max="66" width="5.5703125" style="718" hidden="1" customWidth="1"/>
    <col min="67" max="67" width="5.140625" style="719" customWidth="1"/>
    <col min="68" max="73" width="5.140625" style="715" customWidth="1"/>
    <col min="74" max="16384" width="9.140625" style="715"/>
  </cols>
  <sheetData>
    <row r="1" spans="2:73" s="711" customFormat="1" ht="12" hidden="1" x14ac:dyDescent="0.2">
      <c r="T1" s="712"/>
      <c r="U1" s="712"/>
      <c r="V1" s="712"/>
      <c r="W1" s="712"/>
      <c r="X1" s="712"/>
      <c r="Y1" s="712"/>
      <c r="Z1" s="712"/>
      <c r="AA1" s="712"/>
      <c r="AB1" s="712"/>
      <c r="AC1" s="712"/>
      <c r="AD1" s="712"/>
      <c r="AE1" s="712"/>
      <c r="AF1" s="712"/>
      <c r="AG1" s="712"/>
      <c r="AH1" s="712"/>
      <c r="AI1" s="713"/>
      <c r="AJ1" s="712"/>
      <c r="AK1" s="712"/>
      <c r="AL1" s="712"/>
      <c r="AM1" s="712"/>
      <c r="AN1" s="712"/>
      <c r="AO1" s="712"/>
      <c r="AP1" s="712"/>
      <c r="AQ1" s="712"/>
      <c r="AR1" s="712"/>
      <c r="AS1" s="712"/>
      <c r="AT1" s="712"/>
      <c r="AU1" s="712"/>
      <c r="AV1" s="712"/>
      <c r="AW1" s="712"/>
      <c r="AX1" s="712"/>
      <c r="AY1" s="712"/>
      <c r="AZ1" s="712"/>
      <c r="BA1" s="712"/>
      <c r="BB1" s="712"/>
      <c r="BC1" s="712"/>
      <c r="BD1" s="712"/>
      <c r="BE1" s="712"/>
      <c r="BF1" s="712"/>
      <c r="BG1" s="712"/>
      <c r="BH1" s="712"/>
      <c r="BI1" s="712"/>
      <c r="BJ1" s="712"/>
      <c r="BK1" s="712"/>
      <c r="BL1" s="712"/>
      <c r="BM1" s="712"/>
      <c r="BN1" s="712"/>
    </row>
    <row r="2" spans="2:73" s="711" customFormat="1" ht="12" hidden="1" x14ac:dyDescent="0.2">
      <c r="T2" s="712"/>
      <c r="U2" s="712"/>
      <c r="V2" s="712"/>
      <c r="W2" s="712"/>
      <c r="X2" s="712"/>
      <c r="Y2" s="712"/>
      <c r="Z2" s="712"/>
      <c r="AA2" s="712"/>
      <c r="AB2" s="712"/>
      <c r="AC2" s="712"/>
      <c r="AD2" s="712"/>
      <c r="AE2" s="712"/>
      <c r="AF2" s="712"/>
      <c r="AG2" s="712"/>
      <c r="AH2" s="712"/>
      <c r="AI2" s="713"/>
      <c r="AJ2" s="712"/>
      <c r="AK2" s="712"/>
      <c r="AL2" s="712"/>
      <c r="AM2" s="712"/>
      <c r="AN2" s="712"/>
      <c r="AO2" s="712"/>
      <c r="AP2" s="712"/>
      <c r="AQ2" s="712"/>
      <c r="AR2" s="712"/>
      <c r="AS2" s="712"/>
      <c r="AT2" s="712"/>
      <c r="AU2" s="712"/>
      <c r="AV2" s="712"/>
      <c r="AW2" s="712"/>
      <c r="AX2" s="712"/>
      <c r="AY2" s="712"/>
      <c r="AZ2" s="712"/>
      <c r="BA2" s="712"/>
      <c r="BB2" s="712"/>
      <c r="BC2" s="712"/>
      <c r="BD2" s="712"/>
      <c r="BE2" s="712"/>
      <c r="BF2" s="712"/>
      <c r="BG2" s="712"/>
      <c r="BH2" s="712"/>
      <c r="BI2" s="712"/>
      <c r="BJ2" s="712"/>
      <c r="BK2" s="712"/>
      <c r="BL2" s="712"/>
      <c r="BM2" s="712"/>
      <c r="BN2" s="712"/>
    </row>
    <row r="3" spans="2:73" ht="15.75" thickBot="1" x14ac:dyDescent="0.3">
      <c r="BE3" s="716"/>
      <c r="BF3" s="716"/>
      <c r="BG3" s="718"/>
    </row>
    <row r="4" spans="2:73" ht="13.5" customHeight="1" thickTop="1" x14ac:dyDescent="0.25">
      <c r="B4" s="1078" t="s">
        <v>267</v>
      </c>
      <c r="C4" s="1079"/>
      <c r="D4" s="1079"/>
      <c r="E4" s="1079"/>
      <c r="F4" s="1079"/>
      <c r="G4" s="1080"/>
      <c r="H4" s="1081" t="s">
        <v>628</v>
      </c>
      <c r="I4" s="1082"/>
      <c r="J4" s="1082"/>
      <c r="K4" s="1082"/>
      <c r="L4" s="1082"/>
      <c r="M4" s="1082"/>
      <c r="N4" s="1083"/>
      <c r="O4" s="1084" t="s">
        <v>269</v>
      </c>
      <c r="P4" s="1085"/>
      <c r="Q4" s="1084" t="s">
        <v>270</v>
      </c>
      <c r="R4" s="1086"/>
      <c r="S4" s="720"/>
      <c r="T4" s="721"/>
      <c r="U4" s="721"/>
      <c r="V4" s="721"/>
      <c r="W4" s="721"/>
      <c r="X4" s="721"/>
      <c r="Y4" s="721"/>
      <c r="Z4" s="721"/>
      <c r="AA4" s="721"/>
      <c r="AB4" s="721"/>
      <c r="AC4" s="721"/>
      <c r="AD4" s="721"/>
      <c r="AE4" s="721"/>
      <c r="AF4" s="721"/>
      <c r="AG4" s="721"/>
      <c r="AH4" s="721"/>
      <c r="AI4" s="722"/>
      <c r="AJ4" s="721"/>
      <c r="AK4" s="721"/>
      <c r="AL4" s="721"/>
      <c r="AM4" s="721"/>
      <c r="AN4" s="721"/>
      <c r="AO4" s="721"/>
      <c r="AP4" s="721"/>
      <c r="AQ4" s="712"/>
      <c r="AR4" s="712"/>
      <c r="AW4" s="716" t="s">
        <v>271</v>
      </c>
      <c r="AX4" s="716" t="s">
        <v>272</v>
      </c>
      <c r="AY4" s="716" t="s">
        <v>273</v>
      </c>
      <c r="AZ4" s="716" t="s">
        <v>274</v>
      </c>
      <c r="BA4" s="716" t="s">
        <v>275</v>
      </c>
      <c r="BB4" s="716" t="s">
        <v>276</v>
      </c>
      <c r="BE4" s="716"/>
      <c r="BF4" s="716"/>
      <c r="BG4" s="718"/>
      <c r="BP4" s="976" t="s">
        <v>845</v>
      </c>
      <c r="BQ4" s="976"/>
      <c r="BR4" s="976"/>
      <c r="BS4" s="976"/>
      <c r="BT4" s="976"/>
      <c r="BU4" s="976"/>
    </row>
    <row r="5" spans="2:73" s="731" customFormat="1" ht="15.75" customHeight="1" x14ac:dyDescent="0.2">
      <c r="B5" s="1087" t="s">
        <v>618</v>
      </c>
      <c r="C5" s="1088"/>
      <c r="D5" s="1088"/>
      <c r="E5" s="1088"/>
      <c r="F5" s="1088"/>
      <c r="G5" s="1089"/>
      <c r="H5" s="1090" t="s">
        <v>620</v>
      </c>
      <c r="I5" s="1091"/>
      <c r="J5" s="1091"/>
      <c r="K5" s="1091"/>
      <c r="L5" s="1091"/>
      <c r="M5" s="1091"/>
      <c r="N5" s="1092"/>
      <c r="O5" s="1093"/>
      <c r="P5" s="1094"/>
      <c r="Q5" s="1095"/>
      <c r="R5" s="1096"/>
      <c r="S5" s="723"/>
      <c r="T5" s="724"/>
      <c r="U5" s="724"/>
      <c r="V5" s="724"/>
      <c r="W5" s="724"/>
      <c r="X5" s="724"/>
      <c r="Y5" s="724"/>
      <c r="Z5" s="724"/>
      <c r="AA5" s="724"/>
      <c r="AB5" s="724"/>
      <c r="AC5" s="724"/>
      <c r="AD5" s="724"/>
      <c r="AE5" s="724"/>
      <c r="AF5" s="724"/>
      <c r="AG5" s="724"/>
      <c r="AH5" s="724"/>
      <c r="AI5" s="725"/>
      <c r="AJ5" s="724"/>
      <c r="AK5" s="724"/>
      <c r="AL5" s="724"/>
      <c r="AM5" s="724"/>
      <c r="AN5" s="724"/>
      <c r="AO5" s="724"/>
      <c r="AP5" s="724"/>
      <c r="AQ5" s="726"/>
      <c r="AR5" s="726"/>
      <c r="AS5" s="727"/>
      <c r="AT5" s="728" t="s">
        <v>278</v>
      </c>
      <c r="AU5" s="729" t="b">
        <v>0</v>
      </c>
      <c r="AV5" s="727">
        <v>0</v>
      </c>
      <c r="AW5" s="727" t="b">
        <f>IF(ISERR(OR(AW9:AW40)),"UNK",IF(AND(graded_aca_events&gt;=1,input_test),FALSE,OR(AW9:AW40)))</f>
        <v>0</v>
      </c>
      <c r="AX5" s="727" t="b">
        <f>IF(ISERR(OR(AX9:AX40)),"UNK",IF(AND(graded_aca_events&gt;=1,input_test),FALSE,OR(AX9:AX40)))</f>
        <v>1</v>
      </c>
      <c r="AY5" s="727" t="b">
        <f>IF(ISERR(OR(AY9:AY40)),"UNK",OR(AY9:AY40))</f>
        <v>0</v>
      </c>
      <c r="AZ5" s="727" t="b">
        <f>IF(ISERR(OR(AZ9:AZ40)),"UNK",OR(AZ9:AZ40))</f>
        <v>0</v>
      </c>
      <c r="BA5" s="727" t="b">
        <f>IF(ISERR(OR(BA9:BA40)),"UNK",OR(BA9:BA40))</f>
        <v>0</v>
      </c>
      <c r="BB5" s="727" t="b">
        <f>IF(ISERR(OR(BB9:BB40)),"UNK",OR(BB9:BB40))</f>
        <v>0</v>
      </c>
      <c r="BC5" s="730" t="b">
        <f>OR(BC9:BC40)</f>
        <v>0</v>
      </c>
      <c r="BD5" s="730" t="b">
        <f>OR(BD9:BD40)</f>
        <v>0</v>
      </c>
      <c r="BE5" s="730" t="b">
        <f>OR(BE9:BE40)</f>
        <v>0</v>
      </c>
      <c r="BF5" s="730"/>
      <c r="BG5" s="727"/>
      <c r="BH5" s="1097" t="s">
        <v>279</v>
      </c>
      <c r="BI5" s="1097"/>
      <c r="BJ5" s="1097"/>
      <c r="BK5" s="1097"/>
      <c r="BL5" s="1098" t="s">
        <v>280</v>
      </c>
      <c r="BM5" s="1098"/>
      <c r="BN5" s="1098"/>
      <c r="BO5" s="719"/>
      <c r="BP5" s="976"/>
      <c r="BQ5" s="976"/>
      <c r="BR5" s="976"/>
      <c r="BS5" s="976"/>
      <c r="BT5" s="976"/>
      <c r="BU5" s="976"/>
    </row>
    <row r="6" spans="2:73" s="720" customFormat="1" ht="7.5" customHeight="1" x14ac:dyDescent="0.25">
      <c r="B6" s="1099" t="s">
        <v>281</v>
      </c>
      <c r="C6" s="1100"/>
      <c r="D6" s="1100"/>
      <c r="E6" s="1101"/>
      <c r="F6" s="1102" t="s">
        <v>282</v>
      </c>
      <c r="G6" s="1101"/>
      <c r="H6" s="1102" t="s">
        <v>283</v>
      </c>
      <c r="I6" s="1100"/>
      <c r="J6" s="1100"/>
      <c r="K6" s="1100"/>
      <c r="L6" s="1101"/>
      <c r="M6" s="1103" t="s">
        <v>284</v>
      </c>
      <c r="N6" s="1104"/>
      <c r="O6" s="1105" t="s">
        <v>285</v>
      </c>
      <c r="P6" s="1106"/>
      <c r="Q6" s="1102" t="str">
        <f>IF(AU42=0,"GRADE","GRADE (inc. bonus)")</f>
        <v>GRADE</v>
      </c>
      <c r="R6" s="1107"/>
      <c r="T6" s="721"/>
      <c r="U6" s="721"/>
      <c r="V6" s="721"/>
      <c r="W6" s="721"/>
      <c r="X6" s="721"/>
      <c r="Y6" s="721"/>
      <c r="Z6" s="721"/>
      <c r="AA6" s="721"/>
      <c r="AB6" s="721"/>
      <c r="AC6" s="721"/>
      <c r="AD6" s="721"/>
      <c r="AE6" s="721"/>
      <c r="AF6" s="721"/>
      <c r="AG6" s="721"/>
      <c r="AH6" s="721"/>
      <c r="AI6" s="722"/>
      <c r="AJ6" s="721"/>
      <c r="AK6" s="721"/>
      <c r="AL6" s="721"/>
      <c r="AM6" s="721"/>
      <c r="AN6" s="721"/>
      <c r="AO6" s="721"/>
      <c r="AP6" s="721"/>
      <c r="AQ6" s="721"/>
      <c r="AR6" s="721"/>
      <c r="AS6" s="721"/>
      <c r="AT6" s="721"/>
      <c r="AU6" s="721"/>
      <c r="AV6" s="721"/>
      <c r="AW6" s="721"/>
      <c r="AX6" s="721"/>
      <c r="AY6" s="721"/>
      <c r="AZ6" s="721"/>
      <c r="BA6" s="721"/>
      <c r="BB6" s="721"/>
      <c r="BC6" s="721"/>
      <c r="BD6" s="721"/>
      <c r="BE6" s="721"/>
      <c r="BF6" s="721"/>
      <c r="BG6" s="721"/>
      <c r="BH6" s="1097"/>
      <c r="BI6" s="1097"/>
      <c r="BJ6" s="1097"/>
      <c r="BK6" s="1097"/>
      <c r="BL6" s="1098"/>
      <c r="BM6" s="1098"/>
      <c r="BN6" s="1098"/>
      <c r="BO6" s="732"/>
    </row>
    <row r="7" spans="2:73" s="731" customFormat="1" ht="15.75" customHeight="1" thickBot="1" x14ac:dyDescent="0.25">
      <c r="B7" s="1108"/>
      <c r="C7" s="1109"/>
      <c r="D7" s="1109"/>
      <c r="E7" s="1110"/>
      <c r="F7" s="1111" t="s">
        <v>457</v>
      </c>
      <c r="G7" s="1112"/>
      <c r="H7" s="1113"/>
      <c r="I7" s="1114"/>
      <c r="J7" s="1114"/>
      <c r="K7" s="1114"/>
      <c r="L7" s="1115"/>
      <c r="M7" s="1118"/>
      <c r="N7" s="1119"/>
      <c r="O7" s="1120"/>
      <c r="P7" s="1121"/>
      <c r="Q7" s="1122" t="str">
        <f>IF((graded_aca_events+graded_amn_events)&lt;1,"---",IF(ISERROR(AR47),"",IF(F42&lt;&gt;"COMPLETE","INCOMPLETE",AR47)))</f>
        <v>---</v>
      </c>
      <c r="R7" s="1123"/>
      <c r="S7" s="715"/>
      <c r="T7" s="727"/>
      <c r="U7" s="727">
        <v>2</v>
      </c>
      <c r="V7" s="727">
        <v>3</v>
      </c>
      <c r="W7" s="727">
        <v>6</v>
      </c>
      <c r="X7" s="727">
        <v>7</v>
      </c>
      <c r="Y7" s="727">
        <v>11</v>
      </c>
      <c r="Z7" s="727">
        <v>8</v>
      </c>
      <c r="AA7" s="733">
        <v>9</v>
      </c>
      <c r="AB7" s="733">
        <v>10</v>
      </c>
      <c r="AC7" s="733">
        <v>5</v>
      </c>
      <c r="AD7" s="733">
        <v>4</v>
      </c>
      <c r="AE7" s="733">
        <v>12</v>
      </c>
      <c r="AF7" s="733">
        <v>13</v>
      </c>
      <c r="AG7" s="733"/>
      <c r="AH7" s="733"/>
      <c r="AI7" s="734"/>
      <c r="AJ7" s="735"/>
      <c r="AK7" s="735"/>
      <c r="AL7" s="735"/>
      <c r="AM7" s="735" t="b">
        <f>IF(COUNT(AM9:AM40)&gt;0,TRUE,FALSE)</f>
        <v>0</v>
      </c>
      <c r="AN7" s="735" t="b">
        <f>IF(COUNT(AN9:AN40)&gt;0,TRUE,FALSE)</f>
        <v>0</v>
      </c>
      <c r="AO7" s="727"/>
      <c r="AP7" s="727"/>
      <c r="AQ7" s="726"/>
      <c r="AR7" s="726"/>
      <c r="AS7" s="727"/>
      <c r="AT7" s="736">
        <v>0.2</v>
      </c>
      <c r="AU7" s="727"/>
      <c r="AV7" s="737">
        <f>0.01*input_maxb</f>
        <v>0</v>
      </c>
      <c r="AW7" s="738" t="s">
        <v>287</v>
      </c>
      <c r="AX7" s="739"/>
      <c r="AY7" s="738" t="s">
        <v>288</v>
      </c>
      <c r="AZ7" s="739"/>
      <c r="BA7" s="740" t="s">
        <v>289</v>
      </c>
      <c r="BB7" s="740"/>
      <c r="BC7" s="738" t="s">
        <v>290</v>
      </c>
      <c r="BD7" s="740"/>
      <c r="BE7" s="741"/>
      <c r="BF7" s="742"/>
      <c r="BG7" s="727" t="s">
        <v>291</v>
      </c>
      <c r="BH7" s="1097"/>
      <c r="BI7" s="1097"/>
      <c r="BJ7" s="1097"/>
      <c r="BK7" s="1097"/>
      <c r="BL7" s="1098"/>
      <c r="BM7" s="1098"/>
      <c r="BN7" s="1098"/>
      <c r="BO7" s="719"/>
    </row>
    <row r="8" spans="2:73" ht="27" customHeight="1" thickBot="1" x14ac:dyDescent="0.3">
      <c r="B8" s="1124" t="s">
        <v>292</v>
      </c>
      <c r="C8" s="1125"/>
      <c r="D8" s="1125"/>
      <c r="E8" s="1125"/>
      <c r="F8" s="1126"/>
      <c r="G8" s="743" t="s">
        <v>293</v>
      </c>
      <c r="H8" s="744" t="s">
        <v>294</v>
      </c>
      <c r="I8" s="745" t="s">
        <v>295</v>
      </c>
      <c r="J8" s="746" t="s">
        <v>296</v>
      </c>
      <c r="K8" s="747" t="s">
        <v>297</v>
      </c>
      <c r="L8" s="1127" t="s">
        <v>298</v>
      </c>
      <c r="M8" s="1125"/>
      <c r="N8" s="1125"/>
      <c r="O8" s="1125"/>
      <c r="P8" s="1125"/>
      <c r="Q8" s="1125"/>
      <c r="R8" s="1128"/>
      <c r="S8" s="714"/>
      <c r="T8" s="748" t="s">
        <v>299</v>
      </c>
      <c r="U8" s="748"/>
      <c r="V8" s="748" t="s">
        <v>300</v>
      </c>
      <c r="W8" s="748" t="s">
        <v>301</v>
      </c>
      <c r="X8" s="748" t="s">
        <v>302</v>
      </c>
      <c r="Y8" s="748" t="s">
        <v>303</v>
      </c>
      <c r="Z8" s="748" t="s">
        <v>304</v>
      </c>
      <c r="AA8" s="748" t="s">
        <v>305</v>
      </c>
      <c r="AB8" s="748" t="s">
        <v>306</v>
      </c>
      <c r="AC8" s="748" t="s">
        <v>307</v>
      </c>
      <c r="AD8" s="748" t="s">
        <v>308</v>
      </c>
      <c r="AE8" s="748" t="s">
        <v>309</v>
      </c>
      <c r="AF8" s="748" t="s">
        <v>310</v>
      </c>
      <c r="AG8" s="748" t="s">
        <v>311</v>
      </c>
      <c r="AH8" s="748" t="s">
        <v>312</v>
      </c>
      <c r="AI8" s="749" t="s">
        <v>313</v>
      </c>
      <c r="AJ8" s="750" t="s">
        <v>314</v>
      </c>
      <c r="AK8" s="751" t="s">
        <v>315</v>
      </c>
      <c r="AL8" s="751" t="s">
        <v>316</v>
      </c>
      <c r="AM8" s="751" t="s">
        <v>317</v>
      </c>
      <c r="AN8" s="751" t="s">
        <v>318</v>
      </c>
      <c r="AO8" s="750" t="s">
        <v>319</v>
      </c>
      <c r="AP8" s="750" t="s">
        <v>320</v>
      </c>
      <c r="AQ8" s="752" t="s">
        <v>321</v>
      </c>
      <c r="AR8" s="753" t="s">
        <v>1</v>
      </c>
      <c r="AS8" s="752" t="s">
        <v>322</v>
      </c>
      <c r="AT8" s="753" t="s">
        <v>1</v>
      </c>
      <c r="AU8" s="752" t="s">
        <v>323</v>
      </c>
      <c r="AV8" s="754" t="s">
        <v>324</v>
      </c>
      <c r="AW8" s="755" t="s">
        <v>325</v>
      </c>
      <c r="AX8" s="756" t="s">
        <v>326</v>
      </c>
      <c r="AY8" s="755" t="s">
        <v>327</v>
      </c>
      <c r="AZ8" s="756" t="s">
        <v>328</v>
      </c>
      <c r="BA8" s="757" t="s">
        <v>329</v>
      </c>
      <c r="BB8" s="757" t="s">
        <v>330</v>
      </c>
      <c r="BC8" s="758" t="s">
        <v>331</v>
      </c>
      <c r="BD8" s="759" t="s">
        <v>332</v>
      </c>
      <c r="BE8" s="760" t="s">
        <v>333</v>
      </c>
      <c r="BF8" s="761" t="s">
        <v>334</v>
      </c>
      <c r="BG8" s="718"/>
      <c r="BH8" s="718" t="s">
        <v>335</v>
      </c>
      <c r="BI8" s="718" t="s">
        <v>336</v>
      </c>
      <c r="BJ8" s="748" t="s">
        <v>337</v>
      </c>
      <c r="BK8" s="718" t="s">
        <v>338</v>
      </c>
      <c r="BL8" s="718" t="s">
        <v>335</v>
      </c>
      <c r="BM8" s="718" t="s">
        <v>336</v>
      </c>
      <c r="BN8" s="718" t="s">
        <v>338</v>
      </c>
    </row>
    <row r="9" spans="2:73" ht="12.95" customHeight="1" x14ac:dyDescent="0.25">
      <c r="B9" s="762" t="str">
        <f>IF(ISNA(Z9),"",IF(OR(Z9=1,Z9=2),"",1))</f>
        <v/>
      </c>
      <c r="C9" s="1129" t="str">
        <f t="shared" ref="C9:C37" si="0">IF(ISNA(Z9),"",CONCATENATE($U9,IF(ISNUMBER(AI9),TEXT(ROUND($AI9,3)," (0.0%)"),""),IF(AU9&gt;0," Bonus","")))</f>
        <v>Structure &amp; Logic (30.0%)</v>
      </c>
      <c r="D9" s="1129"/>
      <c r="E9" s="1129"/>
      <c r="F9" s="1130"/>
      <c r="G9" s="763" t="str">
        <f t="shared" ref="G9:G40" si="1">BH9</f>
        <v/>
      </c>
      <c r="H9" s="764" t="str">
        <f t="shared" ref="H9:I40" si="2">BJ9</f>
        <v/>
      </c>
      <c r="I9" s="765" t="str">
        <f t="shared" si="2"/>
        <v/>
      </c>
      <c r="J9" s="766"/>
      <c r="K9" s="767"/>
      <c r="L9" s="1131"/>
      <c r="M9" s="1132"/>
      <c r="N9" s="1132"/>
      <c r="O9" s="1132"/>
      <c r="P9" s="1132"/>
      <c r="Q9" s="1132"/>
      <c r="R9" s="1133"/>
      <c r="T9" s="716">
        <v>1</v>
      </c>
      <c r="U9" s="716" t="s">
        <v>967</v>
      </c>
      <c r="V9" s="768" t="s">
        <v>340</v>
      </c>
      <c r="W9" s="768" t="s">
        <v>340</v>
      </c>
      <c r="X9" s="768" t="s">
        <v>340</v>
      </c>
      <c r="Y9" s="768" t="s">
        <v>340</v>
      </c>
      <c r="Z9" s="768">
        <v>2</v>
      </c>
      <c r="AA9" s="768">
        <v>1</v>
      </c>
      <c r="AB9" s="768">
        <v>1</v>
      </c>
      <c r="AC9" s="768" t="s">
        <v>340</v>
      </c>
      <c r="AD9" s="768" t="s">
        <v>340</v>
      </c>
      <c r="AE9" s="768" t="s">
        <v>340</v>
      </c>
      <c r="AF9" s="768" t="s">
        <v>340</v>
      </c>
      <c r="AG9" s="768" t="str">
        <f t="shared" ref="AG9:AG40" si="3">IF(CrewSoloQual="Yes",$AC9,$AD9)</f>
        <v/>
      </c>
      <c r="AH9" s="768" t="str">
        <f t="shared" ref="AH9:AH40" si="4">IF(ISNUMBER(AC9),IF(CrewSoloQual="Yes",$AC9-1,$AD9-1),"")</f>
        <v/>
      </c>
      <c r="AI9" s="769">
        <f>IF(NOT(OR(Z9=1,Z9=2)),IF(AQ9&gt;0,$AR$45*AQ9/SUMIF($AQ$9:$AQ$40,"&gt;0"),IF(AU9&gt;0,$AV$45*AU9/SUMIF($AU$9:$AU$40,"&gt;0"),IF(AS9&gt;0,$AT$45*AS9/SUMIF($AS$9:$AS$40,"&gt;0"),""))),IF(SUMIF(AJ10:$AJ$40,"=" &amp; AJ9,AI10:$AI$40)=0,"",SUMIF(AJ10:$AJ$40,"=" &amp; AJ9,AI10:$AI$40)))</f>
        <v>0.29999997965999931</v>
      </c>
      <c r="AJ9" s="770">
        <f>0</f>
        <v>0</v>
      </c>
      <c r="AK9" s="768" t="str">
        <f>BI9</f>
        <v/>
      </c>
      <c r="AL9" s="768" t="str">
        <f>IF(ISBLANK(K9),"",K9)</f>
        <v/>
      </c>
      <c r="AM9" s="768" t="str">
        <f>IF(ISNUMBER(AK9),IF(ISNUMBER(AL9),1,""),"")</f>
        <v/>
      </c>
      <c r="AN9" s="768" t="str">
        <f t="shared" ref="AN9:AN37" si="5">IF(ISNUMBER(AH9),IF(AND(AB9=0,ISNUMBER(AC9),ISNUMBER(AL9)),1,""),"")</f>
        <v/>
      </c>
      <c r="AO9" s="768" t="str">
        <f t="shared" ref="AO9:AO40" si="6">IF(AB9=0,IF(CrewSoloQual="No",BI9,BK9),"")</f>
        <v/>
      </c>
      <c r="AP9" s="768" t="str">
        <f t="shared" ref="AP9:AP40" si="7">IF(ISNA(Z9),"",IF(AND(ISNUMBER(B9),G9&gt;=1,H9&lt;&gt;"NG"),IF(K9&lt;BK9,TRUE,FALSE),IF(AND(G9&gt;=1,J9="NA"),TRUE,IF(AND(AM9=1,G9=0,AL9&lt;BI9),TRUE,""))))</f>
        <v/>
      </c>
      <c r="AQ9" s="771">
        <f>IF(ISNA(Z9),0,IF(OR(J9="NA",W9="",AB9=0),0,W9))</f>
        <v>0</v>
      </c>
      <c r="AR9" s="772" t="str">
        <f t="shared" ref="AR9:AR40" si="8">IF(ISNA(Z9),"",IF(AND(NOT(OR(Z9=1,Z9=2,AK9="NG",AB9=0)),IF(ISNUMBER(AL9),AL9&gt;=0,FALSE)),VLOOKUP((10*AD9+AC9),$AQ$51:$AV$59,2+AL9,FALSE),IF(AND(input_test=TRUE,ISNUMBER(AD9),V9&lt;&gt;0),VLOOKUP((10*AD9+AC9),$AQ$51:$AV$59,2,FALSE),"")))</f>
        <v/>
      </c>
      <c r="AS9" s="773">
        <f>IF(ISNA(Z9),0,IF(OR(J9="NA",X9="",AB9=1),0,X9))</f>
        <v>0</v>
      </c>
      <c r="AT9" s="772" t="str">
        <f t="shared" ref="AT9:AT40" si="9">IF(ISNA(Z9),"",IF(AND(NOT(OR(Z9=1,Z9=2,AK9="NG",AB9=1)),IF(ISNUMBER(AL9),AL9&gt;=0,FALSE)),VLOOKUP((10*AH9+AG9),$AQ$51:$AV$59,2+AL9,FALSE),IF(AND(input_test=TRUE,ISNUMBER(AD9),V9&lt;&gt;0),VLOOKUP((10*AH9+AG9),$AQ$51:$AV$59,2,FALSE),"")))</f>
        <v/>
      </c>
      <c r="AU9" s="774">
        <f t="shared" ref="AU9:AU40" si="10">IF(ISNA(Z9),0,IF(OR(J9="NA",Y9=""),0,Y9))</f>
        <v>0</v>
      </c>
      <c r="AV9" s="775" t="str">
        <f t="shared" ref="AV9:AV40" si="11">AR9</f>
        <v/>
      </c>
      <c r="AW9" s="774" t="b">
        <f t="shared" ref="AW9:AW40" si="12">IF(ISNA(Z9),FALSE,IF(OR(AB9=1,G9=0,Z9=1,Z9=2),FALSE,IF(OR(J9="NA",J9&gt;=G9),FALSE,TRUE)))</f>
        <v>0</v>
      </c>
      <c r="AX9" s="776" t="b">
        <f t="shared" ref="AX9:AX40" si="13">IF(ISNA(Z9),FALSE,IF(OR(AB9=0,G9=0,Z9=1,Z9=2,J9="NA"),FALSE,IF(AK9="NG",IF(NOT(ISBLANK(K9)),FALSE,TRUE),IF(J9&gt;=G9,FALSE,TRUE))))</f>
        <v>0</v>
      </c>
      <c r="AY9" s="774" t="b">
        <f t="shared" ref="AY9:AY40" si="14">IF(ISNA(Z9),FALSE,IF(OR(AB9=1,G9&lt;1,Z9=1,Z9=2,AE9=0,ISBLANK(K9)),FALSE,IF(OR(J9="NA",K9&gt;=BI9),FALSE,TRUE)))</f>
        <v>0</v>
      </c>
      <c r="AZ9" s="776" t="b">
        <f t="shared" ref="AZ9:AZ40" si="15">IF(ISNA(Z9),FALSE,IF(OR(AB9=0,G9=0,Z9=1,Z9=2,AE9=0,BI9="NG",K9="",ISBLANK(K9)),FALSE,IF(OR(J9="NA",K9&gt;=AK9),FALSE,TRUE)))</f>
        <v>0</v>
      </c>
      <c r="BA9" s="768" t="b">
        <f t="shared" ref="BA9:BA40" si="16">IF(ISNA(Z9),FALSE,IF(OR(AB9=1,G9&lt;1,Z9=1,Z9=2,AE9=0),FALSE,IF(J9="NA",TRUE,FALSE)))</f>
        <v>0</v>
      </c>
      <c r="BB9" s="768" t="b">
        <f t="shared" ref="BB9:BB40" si="17">IF(ISNA(Z9),FALSE,IF(OR(AB9=0,G9=0,Z9=1,Z9=2),FALSE,IF(J9="NA",TRUE,FALSE)))</f>
        <v>0</v>
      </c>
      <c r="BC9" s="774" t="b">
        <f t="shared" ref="BC9:BC40" si="18">IF(OR(ISNA($Z9),ISNUMBER($Z9),NOT(ISNUMBER($J9)),K9="D"),FALSE,IF(AND(NOT(ISNUMBER($K9)),J9&gt;0),TRUE,FALSE))</f>
        <v>0</v>
      </c>
      <c r="BD9" s="777" t="b">
        <f>IF(OR(ISNA($Z9),ISNUMBER($Z9),NOT(ISNUMBER(K9))),FALSE,OR(NOT(ISNUMBER(J9)),J9=0,AND(J9=0,K9&lt;&gt;0)))</f>
        <v>0</v>
      </c>
      <c r="BE9" s="776" t="b">
        <f t="shared" ref="BE9:BE22" si="19">IF(OR(ISNA($Z9),K9&lt;&gt;"D"),FALSE,IF(OR(AND(H9="NG",J9=0),AND(H9&lt;&gt;"NG",NOT(OR(J9="NA",J9=0)))),TRUE,FALSE))</f>
        <v>0</v>
      </c>
      <c r="BF9" s="778" t="b">
        <f t="shared" ref="BF9:BF31" si="20">IF(OR(ISNA($Z9),H9&lt;&gt;"NG"),FALSE,IF(AND(J9="NA",K9&lt;&gt;""),TRUE,FALSE))</f>
        <v>0</v>
      </c>
      <c r="BG9" s="779" t="b">
        <f t="shared" ref="BG9:BG22" si="21">IF(ISNA($Z9),"NA",IF(OR(AZ9,AY9,AX9,AW9,AP9,BA9,BB9),TRUE,FALSE))</f>
        <v>0</v>
      </c>
      <c r="BH9" s="780" t="str">
        <f>IF(ISNA($Z9),"",IF(OR($Z9=1,$Z9=2),"",$V9))</f>
        <v/>
      </c>
      <c r="BI9" s="779" t="str">
        <f t="shared" ref="BI9:BI40" si="22">IF(ISNA($Z9),"",IF(OR($Z9=1,$Z9=2,$G9=""),"",IF(AB9=0,AH9,$AD9)))</f>
        <v/>
      </c>
      <c r="BJ9" s="779" t="str">
        <f t="shared" ref="BJ9:BJ40" si="23">IF(ISNA(AE9),"",IF(OR(Z9=1,Z9=2),"",IF(OR(AE9=0,AD9="NG"),TEXT(BI9,"0"),CONCATENATE(TEXT(BI9,"0"),"*"))))</f>
        <v/>
      </c>
      <c r="BK9" s="779" t="str">
        <f t="shared" ref="BK9:BK40" si="24">IF(ISNA($Z9),"",IF(OR($Z9=1,$Z9=2,$G9=""),"",IF(AB9=0,AG9,$AC9)))</f>
        <v/>
      </c>
      <c r="BL9" s="780" t="str">
        <f>IF(ISBLANK(BH9),"",IF(BH9=0,"",BH9))</f>
        <v/>
      </c>
      <c r="BM9" s="779" t="str">
        <f t="shared" ref="BM9:BM40" si="25">IF($BH9=0,"",IF($BI9="NG","D",$BI9))</f>
        <v/>
      </c>
      <c r="BN9" s="779" t="str">
        <f t="shared" ref="BN9:BN40" si="26">IF(ISNA(U9),"",IF($BH9=0,"",IF($BI9="NG","D",BK9)))</f>
        <v/>
      </c>
      <c r="BO9" s="781" t="s">
        <v>341</v>
      </c>
      <c r="BP9" s="782"/>
    </row>
    <row r="10" spans="2:73" s="731" customFormat="1" ht="12.95" customHeight="1" x14ac:dyDescent="0.25">
      <c r="B10" s="783">
        <f>IF(ISNA(Z10),"",IF(OR(Z10=1,Z10=2),"    ",MAX($B$9:B9)+1))</f>
        <v>1</v>
      </c>
      <c r="C10" s="1116" t="str">
        <f t="shared" si="0"/>
        <v xml:space="preserve">      - Executive Summary (8.0%)</v>
      </c>
      <c r="D10" s="1116"/>
      <c r="E10" s="1116"/>
      <c r="F10" s="1117"/>
      <c r="G10" s="763">
        <f t="shared" si="1"/>
        <v>1</v>
      </c>
      <c r="H10" s="764" t="str">
        <f t="shared" si="2"/>
        <v>2*</v>
      </c>
      <c r="I10" s="784">
        <f t="shared" si="2"/>
        <v>3</v>
      </c>
      <c r="J10" s="785"/>
      <c r="K10" s="786"/>
      <c r="L10" s="1134"/>
      <c r="M10" s="1135"/>
      <c r="N10" s="1135"/>
      <c r="O10" s="1135"/>
      <c r="P10" s="1135"/>
      <c r="Q10" s="1135"/>
      <c r="R10" s="1136"/>
      <c r="T10" s="727">
        <v>2</v>
      </c>
      <c r="U10" s="716" t="s">
        <v>601</v>
      </c>
      <c r="V10" s="768">
        <v>1</v>
      </c>
      <c r="W10" s="768">
        <v>2.6666660000000002</v>
      </c>
      <c r="X10" s="768" t="s">
        <v>340</v>
      </c>
      <c r="Y10" s="768" t="s">
        <v>340</v>
      </c>
      <c r="Z10" s="777" t="s">
        <v>340</v>
      </c>
      <c r="AA10" s="777">
        <v>2</v>
      </c>
      <c r="AB10" s="777">
        <v>1</v>
      </c>
      <c r="AC10" s="768">
        <v>3</v>
      </c>
      <c r="AD10" s="768">
        <v>2</v>
      </c>
      <c r="AE10" s="768">
        <v>1</v>
      </c>
      <c r="AF10" s="768" t="b">
        <v>1</v>
      </c>
      <c r="AG10" s="768">
        <f t="shared" si="3"/>
        <v>2</v>
      </c>
      <c r="AH10" s="768">
        <f t="shared" si="4"/>
        <v>1</v>
      </c>
      <c r="AI10" s="769">
        <f>IF(NOT(OR(Z10=1,Z10=2)),IF(AQ10&gt;0,$AR$45*AQ10/SUMIF($AQ$9:$AQ$40,"&gt;0"),IF(AU10&gt;0,$AV$45*AU10/SUMIF($AU$9:$AU$40,"&gt;0"),IF(AS10&gt;0,$AT$45*AS10/SUMIF($AS$9:$AS$40,"&gt;0"),""))),IF(SUMIF(AJ11:$AJ$40,"=" &amp; AJ10,AI11:$AI$40)=0,"",SUMIF(AJ11:$AJ$40,"=" &amp; AJ10,AI11:$AI$40)))</f>
        <v>7.9999982575999426E-2</v>
      </c>
      <c r="AJ10" s="770">
        <f>IF(OR(Z10=1,Z10=2,AA10&lt;AA9),AJ9+1,AJ9)</f>
        <v>0</v>
      </c>
      <c r="AK10" s="768">
        <f t="shared" ref="AK10:AK40" si="27">BI10</f>
        <v>2</v>
      </c>
      <c r="AL10" s="777" t="str">
        <f t="shared" ref="AL10:AL40" si="28">IF(ISBLANK(K10),"",K10)</f>
        <v/>
      </c>
      <c r="AM10" s="777" t="str">
        <f>IF(ISNUMBER(AK10),IF(ISNUMBER(AL10),1,""),"")</f>
        <v/>
      </c>
      <c r="AN10" s="777" t="str">
        <f t="shared" si="5"/>
        <v/>
      </c>
      <c r="AO10" s="777" t="str">
        <f t="shared" si="6"/>
        <v/>
      </c>
      <c r="AP10" s="768" t="b">
        <f>IF(ISNA(Z10),"",IF(AND(ISNUMBER(B10),G10&gt;=1,H10&lt;&gt;"NG"),IF(K10&lt;BK10,TRUE,FALSE),IF(AND(G10&gt;=1,J10="NA"),TRUE,IF(AND(AM10=1,G10=0,AL10&lt;BI10),TRUE,""))))</f>
        <v>1</v>
      </c>
      <c r="AQ10" s="771">
        <f t="shared" ref="AQ10:AQ40" si="29">IF(ISNA(Z10),0,IF(OR(J10="NA",W10="",AB10=0),0,W10))</f>
        <v>2.6666660000000002</v>
      </c>
      <c r="AR10" s="772" t="str">
        <f>IF(ISNA(Z10),"",IF(AND(NOT(OR(Z10=1,Z10=2,AK10="NG",AB10=0)),IF(ISNUMBER(AL10),AL10&gt;=0,FALSE)),VLOOKUP((10*AD10+AC10),$AQ$51:$AV$59,2+AL10,FALSE),IF(AND(input_test=TRUE,ISNUMBER(AD10),V10&lt;&gt;0),VLOOKUP((10*AD10+AC10),$AQ$51:$AV$59,2,FALSE),"")))</f>
        <v/>
      </c>
      <c r="AS10" s="773">
        <f t="shared" ref="AS10:AS40" si="30">IF(ISNA(Z10),0,IF(OR(J10="NA",X10="",AB10=1),0,X10))</f>
        <v>0</v>
      </c>
      <c r="AT10" s="772" t="str">
        <f>IF(ISNA(Z10),"",IF(AND(NOT(OR(Z10=1,Z10=2,AK10="NG",AB10=1)),IF(ISNUMBER(AL10),AL10&gt;=0,FALSE)),VLOOKUP((10*AH10+AG10),$AQ$51:$AV$59,2+AL10,FALSE),IF(AND(input_test=TRUE,ISNUMBER(AD10),V10&lt;&gt;0),VLOOKUP((10*AH10+AG10),$AQ$51:$AV$59,2,FALSE),"")))</f>
        <v/>
      </c>
      <c r="AU10" s="774">
        <f t="shared" si="10"/>
        <v>0</v>
      </c>
      <c r="AV10" s="775" t="str">
        <f t="shared" si="11"/>
        <v/>
      </c>
      <c r="AW10" s="774" t="b">
        <f t="shared" si="12"/>
        <v>0</v>
      </c>
      <c r="AX10" s="776" t="b">
        <f t="shared" si="13"/>
        <v>1</v>
      </c>
      <c r="AY10" s="774" t="b">
        <f t="shared" si="14"/>
        <v>0</v>
      </c>
      <c r="AZ10" s="776" t="b">
        <f t="shared" si="15"/>
        <v>0</v>
      </c>
      <c r="BA10" s="768" t="b">
        <f t="shared" si="16"/>
        <v>0</v>
      </c>
      <c r="BB10" s="768" t="b">
        <f t="shared" si="17"/>
        <v>0</v>
      </c>
      <c r="BC10" s="774" t="b">
        <f t="shared" si="18"/>
        <v>0</v>
      </c>
      <c r="BD10" s="777" t="b">
        <f t="shared" ref="BD10:BD40" si="31">IF(OR(ISNA($Z10),ISNUMBER($Z10),NOT(ISNUMBER(K10))),FALSE,OR(NOT(ISNUMBER(J10)),J10=0,AND(J10=0,K10&lt;&gt;0)))</f>
        <v>0</v>
      </c>
      <c r="BE10" s="776" t="b">
        <f t="shared" si="19"/>
        <v>0</v>
      </c>
      <c r="BF10" s="778" t="b">
        <f t="shared" si="20"/>
        <v>0</v>
      </c>
      <c r="BG10" s="779" t="b">
        <f t="shared" si="21"/>
        <v>1</v>
      </c>
      <c r="BH10" s="779">
        <f t="shared" ref="BH10:BH40" si="32">IF(ISNA($Z10),"",IF(OR($Z10=1,$Z10=2),"",$V10))</f>
        <v>1</v>
      </c>
      <c r="BI10" s="779">
        <f t="shared" si="22"/>
        <v>2</v>
      </c>
      <c r="BJ10" s="779" t="str">
        <f t="shared" si="23"/>
        <v>2*</v>
      </c>
      <c r="BK10" s="779">
        <f t="shared" si="24"/>
        <v>3</v>
      </c>
      <c r="BL10" s="780">
        <f t="shared" ref="BL10:BL40" si="33">IF(ISBLANK(BH10),"",IF(BH10=0,"",BH10))</f>
        <v>1</v>
      </c>
      <c r="BM10" s="779">
        <f t="shared" si="25"/>
        <v>2</v>
      </c>
      <c r="BN10" s="779">
        <f t="shared" si="26"/>
        <v>3</v>
      </c>
      <c r="BO10" s="787" t="s">
        <v>343</v>
      </c>
      <c r="BP10" s="788" t="s">
        <v>265</v>
      </c>
    </row>
    <row r="11" spans="2:73" s="731" customFormat="1" ht="12.95" customHeight="1" x14ac:dyDescent="0.25">
      <c r="B11" s="783">
        <f>IF(ISNA(Z11),"",IF(OR(Z11=1,Z11=2),"    ",MAX($B$9:B10)+1))</f>
        <v>2</v>
      </c>
      <c r="C11" s="1116" t="str">
        <f t="shared" si="0"/>
        <v xml:space="preserve">      - Report Org. &amp; Structure (10.0%)</v>
      </c>
      <c r="D11" s="1116"/>
      <c r="E11" s="1116"/>
      <c r="F11" s="1117"/>
      <c r="G11" s="763">
        <f t="shared" si="1"/>
        <v>1</v>
      </c>
      <c r="H11" s="764" t="str">
        <f t="shared" si="2"/>
        <v>2*</v>
      </c>
      <c r="I11" s="784">
        <f t="shared" si="2"/>
        <v>3</v>
      </c>
      <c r="J11" s="789"/>
      <c r="K11" s="786"/>
      <c r="L11" s="1134"/>
      <c r="M11" s="1135"/>
      <c r="N11" s="1135"/>
      <c r="O11" s="1135"/>
      <c r="P11" s="1135"/>
      <c r="Q11" s="1135"/>
      <c r="R11" s="1136"/>
      <c r="T11" s="727">
        <v>3</v>
      </c>
      <c r="U11" s="716" t="s">
        <v>994</v>
      </c>
      <c r="V11" s="768">
        <v>1</v>
      </c>
      <c r="W11" s="768">
        <v>3.3333330000000001</v>
      </c>
      <c r="X11" s="768" t="s">
        <v>340</v>
      </c>
      <c r="Y11" s="768" t="s">
        <v>340</v>
      </c>
      <c r="Z11" s="777" t="s">
        <v>340</v>
      </c>
      <c r="AA11" s="777">
        <v>2</v>
      </c>
      <c r="AB11" s="777">
        <v>1</v>
      </c>
      <c r="AC11" s="768">
        <v>3</v>
      </c>
      <c r="AD11" s="768">
        <v>2</v>
      </c>
      <c r="AE11" s="768">
        <v>1</v>
      </c>
      <c r="AF11" s="768" t="b">
        <v>1</v>
      </c>
      <c r="AG11" s="768">
        <f t="shared" si="3"/>
        <v>2</v>
      </c>
      <c r="AH11" s="768">
        <f t="shared" si="4"/>
        <v>1</v>
      </c>
      <c r="AI11" s="769">
        <f>IF(NOT(OR(Z11=1,Z11=2)),IF(AQ11&gt;0,$AR$45*AQ11/SUMIF($AQ$9:$AQ$40,"&gt;0"),IF(AU11&gt;0,$AV$45*AU11/SUMIF($AU$9:$AU$40,"&gt;0"),IF(AS11&gt;0,$AT$45*AS11/SUMIF($AS$9:$AS$40,"&gt;0"),""))),IF(SUMIF(AJ12:$AJ$40,"=" &amp; AJ11,AI12:$AI$40)=0,"",SUMIF(AJ12:$AJ$40,"=" &amp; AJ11,AI12:$AI$40)))</f>
        <v>9.9999993219999764E-2</v>
      </c>
      <c r="AJ11" s="770">
        <f t="shared" ref="AJ11:AJ40" si="34">IF(OR(Z11=1,Z11=2,AA11&lt;AA10),AJ10+1,AJ10)</f>
        <v>0</v>
      </c>
      <c r="AK11" s="768">
        <f t="shared" si="27"/>
        <v>2</v>
      </c>
      <c r="AL11" s="777" t="str">
        <f t="shared" si="28"/>
        <v/>
      </c>
      <c r="AM11" s="777" t="str">
        <f t="shared" ref="AM11:AM40" si="35">IF(ISNUMBER(AK11),IF(ISNUMBER(AL11),1,""),"")</f>
        <v/>
      </c>
      <c r="AN11" s="777" t="str">
        <f t="shared" si="5"/>
        <v/>
      </c>
      <c r="AO11" s="777" t="str">
        <f t="shared" si="6"/>
        <v/>
      </c>
      <c r="AP11" s="768" t="b">
        <f t="shared" si="7"/>
        <v>1</v>
      </c>
      <c r="AQ11" s="771">
        <f t="shared" si="29"/>
        <v>3.3333330000000001</v>
      </c>
      <c r="AR11" s="772" t="str">
        <f t="shared" si="8"/>
        <v/>
      </c>
      <c r="AS11" s="773">
        <f t="shared" si="30"/>
        <v>0</v>
      </c>
      <c r="AT11" s="772" t="str">
        <f t="shared" si="9"/>
        <v/>
      </c>
      <c r="AU11" s="774">
        <f t="shared" si="10"/>
        <v>0</v>
      </c>
      <c r="AV11" s="775" t="str">
        <f t="shared" si="11"/>
        <v/>
      </c>
      <c r="AW11" s="774" t="b">
        <f t="shared" si="12"/>
        <v>0</v>
      </c>
      <c r="AX11" s="776" t="b">
        <f t="shared" si="13"/>
        <v>1</v>
      </c>
      <c r="AY11" s="774" t="b">
        <f t="shared" si="14"/>
        <v>0</v>
      </c>
      <c r="AZ11" s="776" t="b">
        <f t="shared" si="15"/>
        <v>0</v>
      </c>
      <c r="BA11" s="768" t="b">
        <f t="shared" si="16"/>
        <v>0</v>
      </c>
      <c r="BB11" s="768" t="b">
        <f t="shared" si="17"/>
        <v>0</v>
      </c>
      <c r="BC11" s="774" t="b">
        <f t="shared" si="18"/>
        <v>0</v>
      </c>
      <c r="BD11" s="777" t="b">
        <f t="shared" si="31"/>
        <v>0</v>
      </c>
      <c r="BE11" s="776" t="b">
        <f t="shared" si="19"/>
        <v>0</v>
      </c>
      <c r="BF11" s="778" t="b">
        <f t="shared" si="20"/>
        <v>0</v>
      </c>
      <c r="BG11" s="779" t="b">
        <f t="shared" si="21"/>
        <v>1</v>
      </c>
      <c r="BH11" s="779">
        <f t="shared" si="32"/>
        <v>1</v>
      </c>
      <c r="BI11" s="779">
        <f t="shared" si="22"/>
        <v>2</v>
      </c>
      <c r="BJ11" s="779" t="str">
        <f t="shared" si="23"/>
        <v>2*</v>
      </c>
      <c r="BK11" s="779">
        <f t="shared" si="24"/>
        <v>3</v>
      </c>
      <c r="BL11" s="780">
        <f t="shared" si="33"/>
        <v>1</v>
      </c>
      <c r="BM11" s="779">
        <f t="shared" si="25"/>
        <v>2</v>
      </c>
      <c r="BN11" s="779">
        <f t="shared" si="26"/>
        <v>3</v>
      </c>
      <c r="BO11" s="787">
        <v>0</v>
      </c>
      <c r="BP11" s="788" t="s">
        <v>465</v>
      </c>
    </row>
    <row r="12" spans="2:73" s="731" customFormat="1" ht="12.95" customHeight="1" x14ac:dyDescent="0.25">
      <c r="B12" s="783">
        <f>IF(ISNA(Z12),"",IF(OR(Z12=1,Z12=2),"    ",MAX($B$9:B11)+1))</f>
        <v>3</v>
      </c>
      <c r="C12" s="1116" t="str">
        <f t="shared" si="0"/>
        <v xml:space="preserve">      - Logical Chain of Reasoning (12.0%)</v>
      </c>
      <c r="D12" s="1116"/>
      <c r="E12" s="1116"/>
      <c r="F12" s="1117"/>
      <c r="G12" s="763">
        <f t="shared" si="1"/>
        <v>1</v>
      </c>
      <c r="H12" s="764" t="str">
        <f t="shared" si="2"/>
        <v>2*</v>
      </c>
      <c r="I12" s="784">
        <f t="shared" si="2"/>
        <v>3</v>
      </c>
      <c r="J12" s="789"/>
      <c r="K12" s="786"/>
      <c r="L12" s="1134"/>
      <c r="M12" s="1135"/>
      <c r="N12" s="1135"/>
      <c r="O12" s="1135"/>
      <c r="P12" s="1135"/>
      <c r="Q12" s="1135"/>
      <c r="R12" s="1136"/>
      <c r="T12" s="727">
        <v>4</v>
      </c>
      <c r="U12" s="716" t="s">
        <v>969</v>
      </c>
      <c r="V12" s="768">
        <v>1</v>
      </c>
      <c r="W12" s="768">
        <v>4</v>
      </c>
      <c r="X12" s="768" t="s">
        <v>340</v>
      </c>
      <c r="Y12" s="768" t="s">
        <v>340</v>
      </c>
      <c r="Z12" s="777" t="s">
        <v>340</v>
      </c>
      <c r="AA12" s="777">
        <v>2</v>
      </c>
      <c r="AB12" s="777">
        <v>1</v>
      </c>
      <c r="AC12" s="768">
        <v>3</v>
      </c>
      <c r="AD12" s="768">
        <v>2</v>
      </c>
      <c r="AE12" s="768">
        <v>1</v>
      </c>
      <c r="AF12" s="768" t="b">
        <v>1</v>
      </c>
      <c r="AG12" s="768">
        <f t="shared" si="3"/>
        <v>2</v>
      </c>
      <c r="AH12" s="768">
        <f t="shared" si="4"/>
        <v>1</v>
      </c>
      <c r="AI12" s="769">
        <f>IF(NOT(OR(Z12=1,Z12=2)),IF(AQ12&gt;0,$AR$45*AQ12/SUMIF($AQ$9:$AQ$40,"&gt;0"),IF(AU12&gt;0,$AV$45*AU12/SUMIF($AU$9:$AU$40,"&gt;0"),IF(AS12&gt;0,$AT$45*AS12/SUMIF($AS$9:$AS$40,"&gt;0"),""))),IF(SUMIF(AJ13:$AJ$40,"=" &amp; AJ12,AI13:$AI$40)=0,"",SUMIF(AJ13:$AJ$40,"=" &amp; AJ12,AI13:$AI$40)))</f>
        <v>0.1200000038640001</v>
      </c>
      <c r="AJ12" s="770">
        <f t="shared" si="34"/>
        <v>0</v>
      </c>
      <c r="AK12" s="768">
        <f t="shared" si="27"/>
        <v>2</v>
      </c>
      <c r="AL12" s="777" t="str">
        <f t="shared" si="28"/>
        <v/>
      </c>
      <c r="AM12" s="777" t="str">
        <f t="shared" si="35"/>
        <v/>
      </c>
      <c r="AN12" s="777" t="str">
        <f t="shared" si="5"/>
        <v/>
      </c>
      <c r="AO12" s="777" t="str">
        <f t="shared" si="6"/>
        <v/>
      </c>
      <c r="AP12" s="768" t="b">
        <f t="shared" si="7"/>
        <v>1</v>
      </c>
      <c r="AQ12" s="771">
        <f t="shared" si="29"/>
        <v>4</v>
      </c>
      <c r="AR12" s="772" t="str">
        <f t="shared" si="8"/>
        <v/>
      </c>
      <c r="AS12" s="773">
        <f t="shared" si="30"/>
        <v>0</v>
      </c>
      <c r="AT12" s="772" t="str">
        <f t="shared" si="9"/>
        <v/>
      </c>
      <c r="AU12" s="774">
        <f t="shared" si="10"/>
        <v>0</v>
      </c>
      <c r="AV12" s="775" t="str">
        <f t="shared" si="11"/>
        <v/>
      </c>
      <c r="AW12" s="774" t="b">
        <f t="shared" si="12"/>
        <v>0</v>
      </c>
      <c r="AX12" s="776" t="b">
        <f t="shared" si="13"/>
        <v>1</v>
      </c>
      <c r="AY12" s="774" t="b">
        <f t="shared" si="14"/>
        <v>0</v>
      </c>
      <c r="AZ12" s="776" t="b">
        <f t="shared" si="15"/>
        <v>0</v>
      </c>
      <c r="BA12" s="768" t="b">
        <f t="shared" si="16"/>
        <v>0</v>
      </c>
      <c r="BB12" s="768" t="b">
        <f t="shared" si="17"/>
        <v>0</v>
      </c>
      <c r="BC12" s="774" t="b">
        <f t="shared" si="18"/>
        <v>0</v>
      </c>
      <c r="BD12" s="777" t="b">
        <f t="shared" si="31"/>
        <v>0</v>
      </c>
      <c r="BE12" s="776" t="b">
        <f t="shared" si="19"/>
        <v>0</v>
      </c>
      <c r="BF12" s="778" t="b">
        <f t="shared" si="20"/>
        <v>0</v>
      </c>
      <c r="BG12" s="779" t="b">
        <f t="shared" si="21"/>
        <v>1</v>
      </c>
      <c r="BH12" s="779">
        <f t="shared" si="32"/>
        <v>1</v>
      </c>
      <c r="BI12" s="779">
        <f t="shared" si="22"/>
        <v>2</v>
      </c>
      <c r="BJ12" s="779" t="str">
        <f t="shared" si="23"/>
        <v>2*</v>
      </c>
      <c r="BK12" s="779">
        <f t="shared" si="24"/>
        <v>3</v>
      </c>
      <c r="BL12" s="780">
        <f t="shared" si="33"/>
        <v>1</v>
      </c>
      <c r="BM12" s="779">
        <f t="shared" si="25"/>
        <v>2</v>
      </c>
      <c r="BN12" s="779">
        <f t="shared" si="26"/>
        <v>3</v>
      </c>
      <c r="BO12" s="787">
        <v>1</v>
      </c>
      <c r="BP12" s="788" t="s">
        <v>467</v>
      </c>
    </row>
    <row r="13" spans="2:73" s="731" customFormat="1" ht="12.95" customHeight="1" x14ac:dyDescent="0.25">
      <c r="B13" s="783" t="str">
        <f>IF(ISNA(Z13),"",IF(OR(Z13=1,Z13=2),"    ",MAX($B$9:B12)+1))</f>
        <v xml:space="preserve">    </v>
      </c>
      <c r="C13" s="1116" t="str">
        <f t="shared" si="0"/>
        <v>Content &amp; Analysis (40.0%)</v>
      </c>
      <c r="D13" s="1116"/>
      <c r="E13" s="1116"/>
      <c r="F13" s="1117"/>
      <c r="G13" s="763" t="str">
        <f t="shared" si="1"/>
        <v/>
      </c>
      <c r="H13" s="764" t="str">
        <f t="shared" si="2"/>
        <v/>
      </c>
      <c r="I13" s="784" t="str">
        <f t="shared" si="2"/>
        <v/>
      </c>
      <c r="J13" s="793"/>
      <c r="K13" s="794"/>
      <c r="L13" s="1134"/>
      <c r="M13" s="1135"/>
      <c r="N13" s="1135"/>
      <c r="O13" s="1135"/>
      <c r="P13" s="1135"/>
      <c r="Q13" s="1135"/>
      <c r="R13" s="1136"/>
      <c r="T13" s="727">
        <v>5</v>
      </c>
      <c r="U13" s="716" t="s">
        <v>1007</v>
      </c>
      <c r="V13" s="768" t="s">
        <v>340</v>
      </c>
      <c r="W13" s="768" t="s">
        <v>340</v>
      </c>
      <c r="X13" s="768" t="s">
        <v>340</v>
      </c>
      <c r="Y13" s="768" t="s">
        <v>340</v>
      </c>
      <c r="Z13" s="777">
        <v>2</v>
      </c>
      <c r="AA13" s="777">
        <v>1</v>
      </c>
      <c r="AB13" s="777">
        <v>1</v>
      </c>
      <c r="AC13" s="768" t="s">
        <v>340</v>
      </c>
      <c r="AD13" s="768" t="s">
        <v>340</v>
      </c>
      <c r="AE13" s="768" t="s">
        <v>340</v>
      </c>
      <c r="AF13" s="768" t="s">
        <v>340</v>
      </c>
      <c r="AG13" s="768" t="str">
        <f t="shared" si="3"/>
        <v/>
      </c>
      <c r="AH13" s="768" t="str">
        <f t="shared" si="4"/>
        <v/>
      </c>
      <c r="AI13" s="769">
        <f>IF(NOT(OR(Z13=1,Z13=2)),IF(AQ13&gt;0,$AR$45*AQ13/SUMIF($AQ$9:$AQ$40,"&gt;0"),IF(AU13&gt;0,$AV$45*AU13/SUMIF($AU$9:$AU$40,"&gt;0"),IF(AS13&gt;0,$AT$45*AS13/SUMIF($AS$9:$AS$40,"&gt;0"),""))),IF(SUMIF(AJ14:$AJ$40,"=" &amp; AJ13,AI14:$AI$40)=0,"",SUMIF(AJ14:$AJ$40,"=" &amp; AJ13,AI14:$AI$40)))</f>
        <v>0.40000001188000028</v>
      </c>
      <c r="AJ13" s="770">
        <f t="shared" si="34"/>
        <v>1</v>
      </c>
      <c r="AK13" s="768" t="str">
        <f t="shared" si="27"/>
        <v/>
      </c>
      <c r="AL13" s="777" t="str">
        <f t="shared" si="28"/>
        <v/>
      </c>
      <c r="AM13" s="777" t="str">
        <f t="shared" si="35"/>
        <v/>
      </c>
      <c r="AN13" s="777" t="str">
        <f t="shared" si="5"/>
        <v/>
      </c>
      <c r="AO13" s="777" t="str">
        <f t="shared" si="6"/>
        <v/>
      </c>
      <c r="AP13" s="768" t="str">
        <f t="shared" si="7"/>
        <v/>
      </c>
      <c r="AQ13" s="771">
        <f t="shared" si="29"/>
        <v>0</v>
      </c>
      <c r="AR13" s="772" t="str">
        <f t="shared" si="8"/>
        <v/>
      </c>
      <c r="AS13" s="773">
        <f t="shared" si="30"/>
        <v>0</v>
      </c>
      <c r="AT13" s="772" t="str">
        <f t="shared" si="9"/>
        <v/>
      </c>
      <c r="AU13" s="774">
        <f t="shared" si="10"/>
        <v>0</v>
      </c>
      <c r="AV13" s="775" t="str">
        <f t="shared" si="11"/>
        <v/>
      </c>
      <c r="AW13" s="774" t="b">
        <f t="shared" si="12"/>
        <v>0</v>
      </c>
      <c r="AX13" s="776" t="b">
        <f t="shared" si="13"/>
        <v>0</v>
      </c>
      <c r="AY13" s="774" t="b">
        <f t="shared" si="14"/>
        <v>0</v>
      </c>
      <c r="AZ13" s="776" t="b">
        <f t="shared" si="15"/>
        <v>0</v>
      </c>
      <c r="BA13" s="768" t="b">
        <f t="shared" si="16"/>
        <v>0</v>
      </c>
      <c r="BB13" s="768" t="b">
        <f t="shared" si="17"/>
        <v>0</v>
      </c>
      <c r="BC13" s="774" t="b">
        <f t="shared" si="18"/>
        <v>0</v>
      </c>
      <c r="BD13" s="777" t="b">
        <f t="shared" si="31"/>
        <v>0</v>
      </c>
      <c r="BE13" s="776" t="b">
        <f t="shared" si="19"/>
        <v>0</v>
      </c>
      <c r="BF13" s="778" t="b">
        <f t="shared" si="20"/>
        <v>0</v>
      </c>
      <c r="BG13" s="779" t="b">
        <f t="shared" si="21"/>
        <v>0</v>
      </c>
      <c r="BH13" s="779" t="str">
        <f t="shared" si="32"/>
        <v/>
      </c>
      <c r="BI13" s="779" t="str">
        <f t="shared" si="22"/>
        <v/>
      </c>
      <c r="BJ13" s="779" t="str">
        <f t="shared" si="23"/>
        <v/>
      </c>
      <c r="BK13" s="779" t="str">
        <f t="shared" si="24"/>
        <v/>
      </c>
      <c r="BL13" s="780" t="str">
        <f t="shared" si="33"/>
        <v/>
      </c>
      <c r="BM13" s="779" t="str">
        <f t="shared" si="25"/>
        <v/>
      </c>
      <c r="BN13" s="779" t="str">
        <f t="shared" si="26"/>
        <v/>
      </c>
      <c r="BO13" s="787">
        <v>2</v>
      </c>
      <c r="BP13" s="788" t="s">
        <v>350</v>
      </c>
    </row>
    <row r="14" spans="2:73" s="731" customFormat="1" ht="12.95" customHeight="1" x14ac:dyDescent="0.25">
      <c r="B14" s="783">
        <f>IF(ISNA(Z14),"",IF(OR(Z14=1,Z14=2),"    ",MAX($B$9:B13)+1))</f>
        <v>4</v>
      </c>
      <c r="C14" s="1116" t="str">
        <f t="shared" si="0"/>
        <v xml:space="preserve">      - Test Methods and Conditions (6.0%)</v>
      </c>
      <c r="D14" s="1116"/>
      <c r="E14" s="1116"/>
      <c r="F14" s="1117"/>
      <c r="G14" s="763">
        <f t="shared" si="1"/>
        <v>1</v>
      </c>
      <c r="H14" s="764" t="str">
        <f t="shared" si="2"/>
        <v>2*</v>
      </c>
      <c r="I14" s="784">
        <f t="shared" si="2"/>
        <v>3</v>
      </c>
      <c r="J14" s="789"/>
      <c r="K14" s="786"/>
      <c r="L14" s="1134"/>
      <c r="M14" s="1135"/>
      <c r="N14" s="1135"/>
      <c r="O14" s="1135"/>
      <c r="P14" s="1135"/>
      <c r="Q14" s="1135"/>
      <c r="R14" s="1136"/>
      <c r="T14" s="727">
        <v>6</v>
      </c>
      <c r="U14" s="716" t="s">
        <v>984</v>
      </c>
      <c r="V14" s="768">
        <v>1</v>
      </c>
      <c r="W14" s="768">
        <v>2</v>
      </c>
      <c r="X14" s="768" t="s">
        <v>340</v>
      </c>
      <c r="Y14" s="768" t="s">
        <v>340</v>
      </c>
      <c r="Z14" s="777" t="s">
        <v>340</v>
      </c>
      <c r="AA14" s="777">
        <v>2</v>
      </c>
      <c r="AB14" s="777">
        <v>1</v>
      </c>
      <c r="AC14" s="768">
        <v>3</v>
      </c>
      <c r="AD14" s="768">
        <v>2</v>
      </c>
      <c r="AE14" s="768">
        <v>1</v>
      </c>
      <c r="AF14" s="768" t="b">
        <v>1</v>
      </c>
      <c r="AG14" s="768">
        <f t="shared" si="3"/>
        <v>2</v>
      </c>
      <c r="AH14" s="768">
        <f t="shared" si="4"/>
        <v>1</v>
      </c>
      <c r="AI14" s="769">
        <f>IF(NOT(OR(Z14=1,Z14=2)),IF(AQ14&gt;0,$AR$45*AQ14/SUMIF($AQ$9:$AQ$40,"&gt;0"),IF(AU14&gt;0,$AV$45*AU14/SUMIF($AU$9:$AU$40,"&gt;0"),IF(AS14&gt;0,$AT$45*AS14/SUMIF($AS$9:$AS$40,"&gt;0"),""))),IF(SUMIF(AJ15:$AJ$40,"=" &amp; AJ14,AI15:$AI$40)=0,"",SUMIF(AJ15:$AJ$40,"=" &amp; AJ14,AI15:$AI$40)))</f>
        <v>6.0000001932000051E-2</v>
      </c>
      <c r="AJ14" s="770">
        <f t="shared" si="34"/>
        <v>1</v>
      </c>
      <c r="AK14" s="768">
        <f t="shared" si="27"/>
        <v>2</v>
      </c>
      <c r="AL14" s="777" t="str">
        <f t="shared" si="28"/>
        <v/>
      </c>
      <c r="AM14" s="777" t="str">
        <f t="shared" si="35"/>
        <v/>
      </c>
      <c r="AN14" s="777" t="str">
        <f t="shared" si="5"/>
        <v/>
      </c>
      <c r="AO14" s="777" t="str">
        <f t="shared" si="6"/>
        <v/>
      </c>
      <c r="AP14" s="768" t="b">
        <f t="shared" si="7"/>
        <v>1</v>
      </c>
      <c r="AQ14" s="771">
        <f t="shared" si="29"/>
        <v>2</v>
      </c>
      <c r="AR14" s="772" t="str">
        <f t="shared" si="8"/>
        <v/>
      </c>
      <c r="AS14" s="773">
        <f t="shared" si="30"/>
        <v>0</v>
      </c>
      <c r="AT14" s="772" t="str">
        <f t="shared" si="9"/>
        <v/>
      </c>
      <c r="AU14" s="774">
        <f t="shared" si="10"/>
        <v>0</v>
      </c>
      <c r="AV14" s="775" t="str">
        <f t="shared" si="11"/>
        <v/>
      </c>
      <c r="AW14" s="774" t="b">
        <f t="shared" si="12"/>
        <v>0</v>
      </c>
      <c r="AX14" s="776" t="b">
        <f t="shared" si="13"/>
        <v>1</v>
      </c>
      <c r="AY14" s="774" t="b">
        <f t="shared" si="14"/>
        <v>0</v>
      </c>
      <c r="AZ14" s="776" t="b">
        <f t="shared" si="15"/>
        <v>0</v>
      </c>
      <c r="BA14" s="768" t="b">
        <f t="shared" si="16"/>
        <v>0</v>
      </c>
      <c r="BB14" s="768" t="b">
        <f t="shared" si="17"/>
        <v>0</v>
      </c>
      <c r="BC14" s="774" t="b">
        <f t="shared" si="18"/>
        <v>0</v>
      </c>
      <c r="BD14" s="777" t="b">
        <f t="shared" si="31"/>
        <v>0</v>
      </c>
      <c r="BE14" s="776" t="b">
        <f t="shared" si="19"/>
        <v>0</v>
      </c>
      <c r="BF14" s="778" t="b">
        <f t="shared" si="20"/>
        <v>0</v>
      </c>
      <c r="BG14" s="779" t="b">
        <f t="shared" si="21"/>
        <v>1</v>
      </c>
      <c r="BH14" s="779">
        <f t="shared" si="32"/>
        <v>1</v>
      </c>
      <c r="BI14" s="779">
        <f t="shared" si="22"/>
        <v>2</v>
      </c>
      <c r="BJ14" s="779" t="str">
        <f t="shared" si="23"/>
        <v>2*</v>
      </c>
      <c r="BK14" s="779">
        <f t="shared" si="24"/>
        <v>3</v>
      </c>
      <c r="BL14" s="780">
        <f t="shared" si="33"/>
        <v>1</v>
      </c>
      <c r="BM14" s="779">
        <f t="shared" si="25"/>
        <v>2</v>
      </c>
      <c r="BN14" s="779">
        <f t="shared" si="26"/>
        <v>3</v>
      </c>
      <c r="BO14" s="787">
        <v>3</v>
      </c>
      <c r="BP14" s="788" t="s">
        <v>352</v>
      </c>
    </row>
    <row r="15" spans="2:73" s="731" customFormat="1" ht="12.95" customHeight="1" x14ac:dyDescent="0.25">
      <c r="B15" s="783">
        <f>IF(ISNA(Z15),"",IF(OR(Z15=1,Z15=2),"    ",MAX($B$9:B14)+1))</f>
        <v>5</v>
      </c>
      <c r="C15" s="1116" t="str">
        <f t="shared" si="0"/>
        <v xml:space="preserve">      - Objective Results (12.0%)</v>
      </c>
      <c r="D15" s="1116"/>
      <c r="E15" s="1116"/>
      <c r="F15" s="1117"/>
      <c r="G15" s="763">
        <f t="shared" si="1"/>
        <v>1</v>
      </c>
      <c r="H15" s="764" t="str">
        <f t="shared" si="2"/>
        <v>2*</v>
      </c>
      <c r="I15" s="784">
        <f t="shared" si="2"/>
        <v>3</v>
      </c>
      <c r="J15" s="789"/>
      <c r="K15" s="786"/>
      <c r="L15" s="1134"/>
      <c r="M15" s="1135"/>
      <c r="N15" s="1135"/>
      <c r="O15" s="1135"/>
      <c r="P15" s="1135"/>
      <c r="Q15" s="1135"/>
      <c r="R15" s="1136"/>
      <c r="T15" s="727">
        <v>7</v>
      </c>
      <c r="U15" s="716" t="s">
        <v>985</v>
      </c>
      <c r="V15" s="768">
        <v>1</v>
      </c>
      <c r="W15" s="768">
        <v>4</v>
      </c>
      <c r="X15" s="768" t="s">
        <v>340</v>
      </c>
      <c r="Y15" s="768" t="s">
        <v>340</v>
      </c>
      <c r="Z15" s="777" t="s">
        <v>340</v>
      </c>
      <c r="AA15" s="777">
        <v>2</v>
      </c>
      <c r="AB15" s="777">
        <v>1</v>
      </c>
      <c r="AC15" s="768">
        <v>3</v>
      </c>
      <c r="AD15" s="768">
        <v>2</v>
      </c>
      <c r="AE15" s="768">
        <v>1</v>
      </c>
      <c r="AF15" s="768" t="b">
        <v>1</v>
      </c>
      <c r="AG15" s="768">
        <f t="shared" si="3"/>
        <v>2</v>
      </c>
      <c r="AH15" s="768">
        <f t="shared" si="4"/>
        <v>1</v>
      </c>
      <c r="AI15" s="769">
        <f>IF(NOT(OR(Z15=1,Z15=2)),IF(AQ15&gt;0,$AR$45*AQ15/SUMIF($AQ$9:$AQ$40,"&gt;0"),IF(AU15&gt;0,$AV$45*AU15/SUMIF($AU$9:$AU$40,"&gt;0"),IF(AS15&gt;0,$AT$45*AS15/SUMIF($AS$9:$AS$40,"&gt;0"),""))),IF(SUMIF(AJ16:$AJ$40,"=" &amp; AJ15,AI16:$AI$40)=0,"",SUMIF(AJ16:$AJ$40,"=" &amp; AJ15,AI16:$AI$40)))</f>
        <v>0.1200000038640001</v>
      </c>
      <c r="AJ15" s="770">
        <f t="shared" si="34"/>
        <v>1</v>
      </c>
      <c r="AK15" s="768">
        <f t="shared" si="27"/>
        <v>2</v>
      </c>
      <c r="AL15" s="777" t="str">
        <f t="shared" si="28"/>
        <v/>
      </c>
      <c r="AM15" s="777" t="str">
        <f t="shared" si="35"/>
        <v/>
      </c>
      <c r="AN15" s="777" t="str">
        <f t="shared" si="5"/>
        <v/>
      </c>
      <c r="AO15" s="777" t="str">
        <f t="shared" si="6"/>
        <v/>
      </c>
      <c r="AP15" s="768" t="b">
        <f t="shared" si="7"/>
        <v>1</v>
      </c>
      <c r="AQ15" s="771">
        <f t="shared" si="29"/>
        <v>4</v>
      </c>
      <c r="AR15" s="772" t="str">
        <f t="shared" si="8"/>
        <v/>
      </c>
      <c r="AS15" s="773">
        <f t="shared" si="30"/>
        <v>0</v>
      </c>
      <c r="AT15" s="772" t="str">
        <f t="shared" si="9"/>
        <v/>
      </c>
      <c r="AU15" s="774">
        <f t="shared" si="10"/>
        <v>0</v>
      </c>
      <c r="AV15" s="775" t="str">
        <f t="shared" si="11"/>
        <v/>
      </c>
      <c r="AW15" s="774" t="b">
        <f t="shared" si="12"/>
        <v>0</v>
      </c>
      <c r="AX15" s="776" t="b">
        <f t="shared" si="13"/>
        <v>1</v>
      </c>
      <c r="AY15" s="774" t="b">
        <f t="shared" si="14"/>
        <v>0</v>
      </c>
      <c r="AZ15" s="776" t="b">
        <f t="shared" si="15"/>
        <v>0</v>
      </c>
      <c r="BA15" s="768" t="b">
        <f t="shared" si="16"/>
        <v>0</v>
      </c>
      <c r="BB15" s="768" t="b">
        <f t="shared" si="17"/>
        <v>0</v>
      </c>
      <c r="BC15" s="774" t="b">
        <f t="shared" si="18"/>
        <v>0</v>
      </c>
      <c r="BD15" s="777" t="b">
        <f t="shared" si="31"/>
        <v>0</v>
      </c>
      <c r="BE15" s="776" t="b">
        <f t="shared" si="19"/>
        <v>0</v>
      </c>
      <c r="BF15" s="778" t="b">
        <f t="shared" si="20"/>
        <v>0</v>
      </c>
      <c r="BG15" s="779" t="b">
        <f t="shared" si="21"/>
        <v>1</v>
      </c>
      <c r="BH15" s="779">
        <f t="shared" si="32"/>
        <v>1</v>
      </c>
      <c r="BI15" s="779">
        <f t="shared" si="22"/>
        <v>2</v>
      </c>
      <c r="BJ15" s="779" t="str">
        <f t="shared" si="23"/>
        <v>2*</v>
      </c>
      <c r="BK15" s="779">
        <f t="shared" si="24"/>
        <v>3</v>
      </c>
      <c r="BL15" s="780">
        <f t="shared" si="33"/>
        <v>1</v>
      </c>
      <c r="BM15" s="779">
        <f t="shared" si="25"/>
        <v>2</v>
      </c>
      <c r="BN15" s="779">
        <f t="shared" si="26"/>
        <v>3</v>
      </c>
      <c r="BO15" s="787">
        <v>4</v>
      </c>
      <c r="BP15" s="788" t="s">
        <v>354</v>
      </c>
    </row>
    <row r="16" spans="2:73" s="731" customFormat="1" ht="12.95" customHeight="1" x14ac:dyDescent="0.25">
      <c r="B16" s="783">
        <f>IF(ISNA(Z16),"",IF(OR(Z16=1,Z16=2),"    ",MAX($B$9:B15)+1))</f>
        <v>6</v>
      </c>
      <c r="C16" s="1116" t="str">
        <f t="shared" si="0"/>
        <v xml:space="preserve">      - Eng Analysis &amp; Oper. Impact (12.0%)</v>
      </c>
      <c r="D16" s="1116"/>
      <c r="E16" s="1116"/>
      <c r="F16" s="1117"/>
      <c r="G16" s="763">
        <f t="shared" si="1"/>
        <v>1</v>
      </c>
      <c r="H16" s="764" t="str">
        <f t="shared" si="2"/>
        <v>2*</v>
      </c>
      <c r="I16" s="784">
        <f t="shared" si="2"/>
        <v>3</v>
      </c>
      <c r="J16" s="789"/>
      <c r="K16" s="786"/>
      <c r="L16" s="1134"/>
      <c r="M16" s="1135"/>
      <c r="N16" s="1135"/>
      <c r="O16" s="1135"/>
      <c r="P16" s="1135"/>
      <c r="Q16" s="1135"/>
      <c r="R16" s="1136"/>
      <c r="T16" s="727">
        <v>8</v>
      </c>
      <c r="U16" s="716" t="s">
        <v>986</v>
      </c>
      <c r="V16" s="768">
        <v>1</v>
      </c>
      <c r="W16" s="768">
        <v>4</v>
      </c>
      <c r="X16" s="768" t="s">
        <v>340</v>
      </c>
      <c r="Y16" s="768" t="s">
        <v>340</v>
      </c>
      <c r="Z16" s="777" t="s">
        <v>340</v>
      </c>
      <c r="AA16" s="777">
        <v>2</v>
      </c>
      <c r="AB16" s="777">
        <v>1</v>
      </c>
      <c r="AC16" s="768">
        <v>3</v>
      </c>
      <c r="AD16" s="768">
        <v>2</v>
      </c>
      <c r="AE16" s="768">
        <v>1</v>
      </c>
      <c r="AF16" s="768" t="b">
        <v>1</v>
      </c>
      <c r="AG16" s="768">
        <f t="shared" si="3"/>
        <v>2</v>
      </c>
      <c r="AH16" s="768">
        <f t="shared" si="4"/>
        <v>1</v>
      </c>
      <c r="AI16" s="769">
        <f>IF(NOT(OR(Z16=1,Z16=2)),IF(AQ16&gt;0,$AR$45*AQ16/SUMIF($AQ$9:$AQ$40,"&gt;0"),IF(AU16&gt;0,$AV$45*AU16/SUMIF($AU$9:$AU$40,"&gt;0"),IF(AS16&gt;0,$AT$45*AS16/SUMIF($AS$9:$AS$40,"&gt;0"),""))),IF(SUMIF(AJ17:$AJ$40,"=" &amp; AJ16,AI17:$AI$40)=0,"",SUMIF(AJ17:$AJ$40,"=" &amp; AJ16,AI17:$AI$40)))</f>
        <v>0.1200000038640001</v>
      </c>
      <c r="AJ16" s="770">
        <f t="shared" si="34"/>
        <v>1</v>
      </c>
      <c r="AK16" s="768">
        <f t="shared" si="27"/>
        <v>2</v>
      </c>
      <c r="AL16" s="777" t="str">
        <f t="shared" si="28"/>
        <v/>
      </c>
      <c r="AM16" s="777" t="str">
        <f t="shared" si="35"/>
        <v/>
      </c>
      <c r="AN16" s="777" t="str">
        <f t="shared" si="5"/>
        <v/>
      </c>
      <c r="AO16" s="777" t="str">
        <f t="shared" si="6"/>
        <v/>
      </c>
      <c r="AP16" s="768" t="b">
        <f t="shared" si="7"/>
        <v>1</v>
      </c>
      <c r="AQ16" s="771">
        <f t="shared" si="29"/>
        <v>4</v>
      </c>
      <c r="AR16" s="772" t="str">
        <f t="shared" si="8"/>
        <v/>
      </c>
      <c r="AS16" s="773">
        <f t="shared" si="30"/>
        <v>0</v>
      </c>
      <c r="AT16" s="772" t="str">
        <f t="shared" si="9"/>
        <v/>
      </c>
      <c r="AU16" s="774">
        <f t="shared" si="10"/>
        <v>0</v>
      </c>
      <c r="AV16" s="775" t="str">
        <f t="shared" si="11"/>
        <v/>
      </c>
      <c r="AW16" s="774" t="b">
        <f t="shared" si="12"/>
        <v>0</v>
      </c>
      <c r="AX16" s="776" t="b">
        <f t="shared" si="13"/>
        <v>1</v>
      </c>
      <c r="AY16" s="774" t="b">
        <f t="shared" si="14"/>
        <v>0</v>
      </c>
      <c r="AZ16" s="776" t="b">
        <f t="shared" si="15"/>
        <v>0</v>
      </c>
      <c r="BA16" s="768" t="b">
        <f t="shared" si="16"/>
        <v>0</v>
      </c>
      <c r="BB16" s="768" t="b">
        <f t="shared" si="17"/>
        <v>0</v>
      </c>
      <c r="BC16" s="774" t="b">
        <f t="shared" si="18"/>
        <v>0</v>
      </c>
      <c r="BD16" s="777" t="b">
        <f t="shared" si="31"/>
        <v>0</v>
      </c>
      <c r="BE16" s="776" t="b">
        <f t="shared" si="19"/>
        <v>0</v>
      </c>
      <c r="BF16" s="778" t="b">
        <f t="shared" si="20"/>
        <v>0</v>
      </c>
      <c r="BG16" s="779" t="b">
        <f t="shared" si="21"/>
        <v>1</v>
      </c>
      <c r="BH16" s="779">
        <f t="shared" si="32"/>
        <v>1</v>
      </c>
      <c r="BI16" s="779">
        <f t="shared" si="22"/>
        <v>2</v>
      </c>
      <c r="BJ16" s="779" t="str">
        <f t="shared" si="23"/>
        <v>2*</v>
      </c>
      <c r="BK16" s="779">
        <f t="shared" si="24"/>
        <v>3</v>
      </c>
      <c r="BL16" s="780">
        <f t="shared" si="33"/>
        <v>1</v>
      </c>
      <c r="BM16" s="779">
        <f t="shared" si="25"/>
        <v>2</v>
      </c>
      <c r="BN16" s="779">
        <f t="shared" si="26"/>
        <v>3</v>
      </c>
      <c r="BO16" s="719"/>
    </row>
    <row r="17" spans="2:75" s="731" customFormat="1" ht="12.95" customHeight="1" x14ac:dyDescent="0.25">
      <c r="B17" s="783">
        <f>IF(ISNA(Z17),"",IF(OR(Z17=1,Z17=2),"    ",MAX($B$9:B16)+1))</f>
        <v>7</v>
      </c>
      <c r="C17" s="1116" t="str">
        <f t="shared" si="0"/>
        <v xml:space="preserve">      - Conclusions &amp; Recomm. (10.0%)</v>
      </c>
      <c r="D17" s="1116"/>
      <c r="E17" s="1116"/>
      <c r="F17" s="1117"/>
      <c r="G17" s="763">
        <f t="shared" si="1"/>
        <v>1</v>
      </c>
      <c r="H17" s="764" t="str">
        <f t="shared" si="2"/>
        <v>2*</v>
      </c>
      <c r="I17" s="784">
        <f t="shared" si="2"/>
        <v>3</v>
      </c>
      <c r="J17" s="789"/>
      <c r="K17" s="786"/>
      <c r="L17" s="1134"/>
      <c r="M17" s="1135"/>
      <c r="N17" s="1135"/>
      <c r="O17" s="1135"/>
      <c r="P17" s="1135"/>
      <c r="Q17" s="1135"/>
      <c r="R17" s="1136"/>
      <c r="T17" s="727">
        <v>9</v>
      </c>
      <c r="U17" s="716" t="s">
        <v>987</v>
      </c>
      <c r="V17" s="768">
        <v>1</v>
      </c>
      <c r="W17" s="768">
        <v>3.3333333000000001</v>
      </c>
      <c r="X17" s="768" t="s">
        <v>340</v>
      </c>
      <c r="Y17" s="768" t="s">
        <v>340</v>
      </c>
      <c r="Z17" s="777" t="s">
        <v>340</v>
      </c>
      <c r="AA17" s="777">
        <v>2</v>
      </c>
      <c r="AB17" s="777">
        <v>1</v>
      </c>
      <c r="AC17" s="768">
        <v>3</v>
      </c>
      <c r="AD17" s="768">
        <v>2</v>
      </c>
      <c r="AE17" s="768">
        <v>1</v>
      </c>
      <c r="AF17" s="768" t="b">
        <v>1</v>
      </c>
      <c r="AG17" s="768">
        <f t="shared" si="3"/>
        <v>2</v>
      </c>
      <c r="AH17" s="768">
        <f t="shared" si="4"/>
        <v>1</v>
      </c>
      <c r="AI17" s="769">
        <f>IF(NOT(OR(Z17=1,Z17=2)),IF(AQ17&gt;0,$AR$45*AQ17/SUMIF($AQ$9:$AQ$40,"&gt;0"),IF(AU17&gt;0,$AV$45*AU17/SUMIF($AU$9:$AU$40,"&gt;0"),IF(AS17&gt;0,$AT$45*AS17/SUMIF($AS$9:$AS$40,"&gt;0"),""))),IF(SUMIF(AJ18:$AJ$40,"=" &amp; AJ17,AI18:$AI$40)=0,"",SUMIF(AJ18:$AJ$40,"=" &amp; AJ17,AI18:$AI$40)))</f>
        <v>0.10000000222000005</v>
      </c>
      <c r="AJ17" s="770">
        <f t="shared" si="34"/>
        <v>1</v>
      </c>
      <c r="AK17" s="768">
        <f t="shared" si="27"/>
        <v>2</v>
      </c>
      <c r="AL17" s="777" t="str">
        <f t="shared" si="28"/>
        <v/>
      </c>
      <c r="AM17" s="777" t="str">
        <f t="shared" si="35"/>
        <v/>
      </c>
      <c r="AN17" s="777" t="str">
        <f t="shared" si="5"/>
        <v/>
      </c>
      <c r="AO17" s="777" t="str">
        <f t="shared" si="6"/>
        <v/>
      </c>
      <c r="AP17" s="768" t="b">
        <f t="shared" si="7"/>
        <v>1</v>
      </c>
      <c r="AQ17" s="771">
        <f t="shared" si="29"/>
        <v>3.3333333000000001</v>
      </c>
      <c r="AR17" s="772" t="str">
        <f t="shared" si="8"/>
        <v/>
      </c>
      <c r="AS17" s="773">
        <f t="shared" si="30"/>
        <v>0</v>
      </c>
      <c r="AT17" s="772" t="str">
        <f t="shared" si="9"/>
        <v/>
      </c>
      <c r="AU17" s="774">
        <f t="shared" si="10"/>
        <v>0</v>
      </c>
      <c r="AV17" s="775" t="str">
        <f t="shared" si="11"/>
        <v/>
      </c>
      <c r="AW17" s="774" t="b">
        <f t="shared" si="12"/>
        <v>0</v>
      </c>
      <c r="AX17" s="776" t="b">
        <f t="shared" si="13"/>
        <v>1</v>
      </c>
      <c r="AY17" s="774" t="b">
        <f t="shared" si="14"/>
        <v>0</v>
      </c>
      <c r="AZ17" s="776" t="b">
        <f t="shared" si="15"/>
        <v>0</v>
      </c>
      <c r="BA17" s="768" t="b">
        <f t="shared" si="16"/>
        <v>0</v>
      </c>
      <c r="BB17" s="768" t="b">
        <f t="shared" si="17"/>
        <v>0</v>
      </c>
      <c r="BC17" s="774" t="b">
        <f t="shared" si="18"/>
        <v>0</v>
      </c>
      <c r="BD17" s="777" t="b">
        <f t="shared" si="31"/>
        <v>0</v>
      </c>
      <c r="BE17" s="776" t="b">
        <f t="shared" si="19"/>
        <v>0</v>
      </c>
      <c r="BF17" s="778" t="b">
        <f t="shared" si="20"/>
        <v>0</v>
      </c>
      <c r="BG17" s="779" t="b">
        <f t="shared" si="21"/>
        <v>1</v>
      </c>
      <c r="BH17" s="779">
        <f t="shared" si="32"/>
        <v>1</v>
      </c>
      <c r="BI17" s="779">
        <f t="shared" si="22"/>
        <v>2</v>
      </c>
      <c r="BJ17" s="779" t="str">
        <f t="shared" si="23"/>
        <v>2*</v>
      </c>
      <c r="BK17" s="779">
        <f t="shared" si="24"/>
        <v>3</v>
      </c>
      <c r="BL17" s="780">
        <f t="shared" si="33"/>
        <v>1</v>
      </c>
      <c r="BM17" s="779">
        <f t="shared" si="25"/>
        <v>2</v>
      </c>
      <c r="BN17" s="779">
        <f t="shared" si="26"/>
        <v>3</v>
      </c>
      <c r="BO17" s="787"/>
      <c r="BP17" s="790"/>
    </row>
    <row r="18" spans="2:75" s="731" customFormat="1" ht="12.95" customHeight="1" x14ac:dyDescent="0.25">
      <c r="B18" s="783" t="str">
        <f>IF(ISNA(Z18),"",IF(OR(Z18=1,Z18=2),"    ",MAX($B$9:B17)+1))</f>
        <v xml:space="preserve">    </v>
      </c>
      <c r="C18" s="1116" t="str">
        <f t="shared" si="0"/>
        <v>Clarity &amp; Precision (Mechanics) (10.0%)</v>
      </c>
      <c r="D18" s="1116"/>
      <c r="E18" s="1116"/>
      <c r="F18" s="1117"/>
      <c r="G18" s="763" t="str">
        <f t="shared" si="1"/>
        <v/>
      </c>
      <c r="H18" s="764" t="str">
        <f t="shared" si="2"/>
        <v/>
      </c>
      <c r="I18" s="784" t="str">
        <f t="shared" si="2"/>
        <v/>
      </c>
      <c r="J18" s="793"/>
      <c r="K18" s="794"/>
      <c r="L18" s="1134"/>
      <c r="M18" s="1135"/>
      <c r="N18" s="1135"/>
      <c r="O18" s="1135"/>
      <c r="P18" s="1135"/>
      <c r="Q18" s="1135"/>
      <c r="R18" s="1136"/>
      <c r="T18" s="727">
        <v>10</v>
      </c>
      <c r="U18" s="716" t="s">
        <v>970</v>
      </c>
      <c r="V18" s="768" t="s">
        <v>340</v>
      </c>
      <c r="W18" s="768" t="s">
        <v>340</v>
      </c>
      <c r="X18" s="768" t="s">
        <v>340</v>
      </c>
      <c r="Y18" s="768" t="s">
        <v>340</v>
      </c>
      <c r="Z18" s="777">
        <v>2</v>
      </c>
      <c r="AA18" s="777">
        <v>1</v>
      </c>
      <c r="AB18" s="777">
        <v>1</v>
      </c>
      <c r="AC18" s="768" t="s">
        <v>340</v>
      </c>
      <c r="AD18" s="768" t="s">
        <v>340</v>
      </c>
      <c r="AE18" s="768" t="s">
        <v>340</v>
      </c>
      <c r="AF18" s="768" t="s">
        <v>340</v>
      </c>
      <c r="AG18" s="768" t="str">
        <f t="shared" si="3"/>
        <v/>
      </c>
      <c r="AH18" s="768" t="str">
        <f t="shared" si="4"/>
        <v/>
      </c>
      <c r="AI18" s="769">
        <f>IF(NOT(OR(Z18=1,Z18=2)),IF(AQ18&gt;0,$AR$45*AQ18/SUMIF($AQ$9:$AQ$40,"&gt;0"),IF(AU18&gt;0,$AV$45*AU18/SUMIF($AU$9:$AU$40,"&gt;0"),IF(AS18&gt;0,$AT$45*AS18/SUMIF($AS$9:$AS$40,"&gt;0"),""))),IF(SUMIF(AJ19:$AJ$40,"=" &amp; AJ18,AI19:$AI$40)=0,"",SUMIF(AJ19:$AJ$40,"=" &amp; AJ18,AI19:$AI$40)))</f>
        <v>0.10000000222000006</v>
      </c>
      <c r="AJ18" s="770">
        <f t="shared" si="34"/>
        <v>2</v>
      </c>
      <c r="AK18" s="768" t="str">
        <f t="shared" si="27"/>
        <v/>
      </c>
      <c r="AL18" s="777" t="str">
        <f t="shared" si="28"/>
        <v/>
      </c>
      <c r="AM18" s="777" t="str">
        <f t="shared" si="35"/>
        <v/>
      </c>
      <c r="AN18" s="777" t="str">
        <f t="shared" si="5"/>
        <v/>
      </c>
      <c r="AO18" s="777" t="str">
        <f t="shared" si="6"/>
        <v/>
      </c>
      <c r="AP18" s="768" t="str">
        <f t="shared" si="7"/>
        <v/>
      </c>
      <c r="AQ18" s="771">
        <f t="shared" si="29"/>
        <v>0</v>
      </c>
      <c r="AR18" s="772" t="str">
        <f t="shared" si="8"/>
        <v/>
      </c>
      <c r="AS18" s="773">
        <f t="shared" si="30"/>
        <v>0</v>
      </c>
      <c r="AT18" s="772" t="str">
        <f t="shared" si="9"/>
        <v/>
      </c>
      <c r="AU18" s="774">
        <f t="shared" si="10"/>
        <v>0</v>
      </c>
      <c r="AV18" s="775" t="str">
        <f t="shared" si="11"/>
        <v/>
      </c>
      <c r="AW18" s="774" t="b">
        <f t="shared" si="12"/>
        <v>0</v>
      </c>
      <c r="AX18" s="776" t="b">
        <f t="shared" si="13"/>
        <v>0</v>
      </c>
      <c r="AY18" s="774" t="b">
        <f t="shared" si="14"/>
        <v>0</v>
      </c>
      <c r="AZ18" s="776" t="b">
        <f t="shared" si="15"/>
        <v>0</v>
      </c>
      <c r="BA18" s="768" t="b">
        <f t="shared" si="16"/>
        <v>0</v>
      </c>
      <c r="BB18" s="768" t="b">
        <f t="shared" si="17"/>
        <v>0</v>
      </c>
      <c r="BC18" s="774" t="b">
        <f t="shared" si="18"/>
        <v>0</v>
      </c>
      <c r="BD18" s="777" t="b">
        <f t="shared" si="31"/>
        <v>0</v>
      </c>
      <c r="BE18" s="776" t="b">
        <f t="shared" si="19"/>
        <v>0</v>
      </c>
      <c r="BF18" s="778" t="b">
        <f t="shared" si="20"/>
        <v>0</v>
      </c>
      <c r="BG18" s="779" t="b">
        <f t="shared" si="21"/>
        <v>0</v>
      </c>
      <c r="BH18" s="779" t="str">
        <f t="shared" si="32"/>
        <v/>
      </c>
      <c r="BI18" s="779" t="str">
        <f t="shared" si="22"/>
        <v/>
      </c>
      <c r="BJ18" s="779" t="str">
        <f t="shared" si="23"/>
        <v/>
      </c>
      <c r="BK18" s="779" t="str">
        <f t="shared" si="24"/>
        <v/>
      </c>
      <c r="BL18" s="780" t="str">
        <f t="shared" si="33"/>
        <v/>
      </c>
      <c r="BM18" s="779" t="str">
        <f t="shared" si="25"/>
        <v/>
      </c>
      <c r="BN18" s="779" t="str">
        <f t="shared" si="26"/>
        <v/>
      </c>
      <c r="BO18" s="719"/>
    </row>
    <row r="19" spans="2:75" s="731" customFormat="1" ht="12.95" customHeight="1" x14ac:dyDescent="0.25">
      <c r="B19" s="783">
        <f>IF(ISNA(Z19),"",IF(OR(Z19=1,Z19=2),"    ",MAX($B$9:B18)+1))</f>
        <v>8</v>
      </c>
      <c r="C19" s="1116" t="str">
        <f t="shared" si="0"/>
        <v xml:space="preserve">      - Grammar &amp; Syntax (4.0%)</v>
      </c>
      <c r="D19" s="1116"/>
      <c r="E19" s="1116"/>
      <c r="F19" s="1117"/>
      <c r="G19" s="763">
        <f t="shared" si="1"/>
        <v>1</v>
      </c>
      <c r="H19" s="764" t="str">
        <f t="shared" si="2"/>
        <v>2*</v>
      </c>
      <c r="I19" s="784">
        <f t="shared" si="2"/>
        <v>3</v>
      </c>
      <c r="J19" s="789"/>
      <c r="K19" s="786"/>
      <c r="L19" s="1134"/>
      <c r="M19" s="1135"/>
      <c r="N19" s="1135"/>
      <c r="O19" s="1135"/>
      <c r="P19" s="1135"/>
      <c r="Q19" s="1135"/>
      <c r="R19" s="1136"/>
      <c r="T19" s="727">
        <v>11</v>
      </c>
      <c r="U19" s="716" t="s">
        <v>971</v>
      </c>
      <c r="V19" s="768">
        <v>1</v>
      </c>
      <c r="W19" s="768">
        <v>1.3333333000000001</v>
      </c>
      <c r="X19" s="768" t="s">
        <v>340</v>
      </c>
      <c r="Y19" s="768" t="s">
        <v>340</v>
      </c>
      <c r="Z19" s="777" t="s">
        <v>340</v>
      </c>
      <c r="AA19" s="777">
        <v>2</v>
      </c>
      <c r="AB19" s="777">
        <v>1</v>
      </c>
      <c r="AC19" s="768">
        <v>3</v>
      </c>
      <c r="AD19" s="768">
        <v>2</v>
      </c>
      <c r="AE19" s="768">
        <v>1</v>
      </c>
      <c r="AF19" s="768" t="b">
        <v>1</v>
      </c>
      <c r="AG19" s="768">
        <f t="shared" si="3"/>
        <v>2</v>
      </c>
      <c r="AH19" s="768">
        <f t="shared" si="4"/>
        <v>1</v>
      </c>
      <c r="AI19" s="769">
        <f>IF(NOT(OR(Z19=1,Z19=2)),IF(AQ19&gt;0,$AR$45*AQ19/SUMIF($AQ$9:$AQ$40,"&gt;0"),IF(AU19&gt;0,$AV$45*AU19/SUMIF($AU$9:$AU$40,"&gt;0"),IF(AS19&gt;0,$AT$45*AS19/SUMIF($AS$9:$AS$40,"&gt;0"),""))),IF(SUMIF(AJ20:$AJ$40,"=" &amp; AJ19,AI20:$AI$40)=0,"",SUMIF(AJ20:$AJ$40,"=" &amp; AJ19,AI20:$AI$40)))</f>
        <v>4.0000000288000007E-2</v>
      </c>
      <c r="AJ19" s="770">
        <f t="shared" si="34"/>
        <v>2</v>
      </c>
      <c r="AK19" s="768">
        <f t="shared" si="27"/>
        <v>2</v>
      </c>
      <c r="AL19" s="777" t="str">
        <f t="shared" si="28"/>
        <v/>
      </c>
      <c r="AM19" s="777" t="str">
        <f t="shared" si="35"/>
        <v/>
      </c>
      <c r="AN19" s="777" t="str">
        <f t="shared" si="5"/>
        <v/>
      </c>
      <c r="AO19" s="777" t="str">
        <f t="shared" si="6"/>
        <v/>
      </c>
      <c r="AP19" s="768" t="b">
        <f t="shared" si="7"/>
        <v>1</v>
      </c>
      <c r="AQ19" s="771">
        <f t="shared" si="29"/>
        <v>1.3333333000000001</v>
      </c>
      <c r="AR19" s="772" t="str">
        <f t="shared" si="8"/>
        <v/>
      </c>
      <c r="AS19" s="773">
        <f t="shared" si="30"/>
        <v>0</v>
      </c>
      <c r="AT19" s="772" t="str">
        <f t="shared" si="9"/>
        <v/>
      </c>
      <c r="AU19" s="774">
        <f t="shared" si="10"/>
        <v>0</v>
      </c>
      <c r="AV19" s="775" t="str">
        <f t="shared" si="11"/>
        <v/>
      </c>
      <c r="AW19" s="774" t="b">
        <f t="shared" si="12"/>
        <v>0</v>
      </c>
      <c r="AX19" s="776" t="b">
        <f t="shared" si="13"/>
        <v>1</v>
      </c>
      <c r="AY19" s="774" t="b">
        <f t="shared" si="14"/>
        <v>0</v>
      </c>
      <c r="AZ19" s="776" t="b">
        <f t="shared" si="15"/>
        <v>0</v>
      </c>
      <c r="BA19" s="768" t="b">
        <f t="shared" si="16"/>
        <v>0</v>
      </c>
      <c r="BB19" s="768" t="b">
        <f t="shared" si="17"/>
        <v>0</v>
      </c>
      <c r="BC19" s="774" t="b">
        <f t="shared" si="18"/>
        <v>0</v>
      </c>
      <c r="BD19" s="777" t="b">
        <f t="shared" si="31"/>
        <v>0</v>
      </c>
      <c r="BE19" s="776" t="b">
        <f t="shared" si="19"/>
        <v>0</v>
      </c>
      <c r="BF19" s="778" t="b">
        <f t="shared" si="20"/>
        <v>0</v>
      </c>
      <c r="BG19" s="779" t="b">
        <f t="shared" si="21"/>
        <v>1</v>
      </c>
      <c r="BH19" s="779">
        <f t="shared" si="32"/>
        <v>1</v>
      </c>
      <c r="BI19" s="779">
        <f t="shared" si="22"/>
        <v>2</v>
      </c>
      <c r="BJ19" s="779" t="str">
        <f t="shared" si="23"/>
        <v>2*</v>
      </c>
      <c r="BK19" s="779">
        <f t="shared" si="24"/>
        <v>3</v>
      </c>
      <c r="BL19" s="780">
        <f t="shared" si="33"/>
        <v>1</v>
      </c>
      <c r="BM19" s="779">
        <f t="shared" si="25"/>
        <v>2</v>
      </c>
      <c r="BN19" s="779">
        <f t="shared" si="26"/>
        <v>3</v>
      </c>
      <c r="BO19" s="791"/>
      <c r="BP19" s="790" t="s">
        <v>355</v>
      </c>
      <c r="BQ19" s="792"/>
      <c r="BR19" s="792"/>
      <c r="BS19" s="792"/>
      <c r="BT19" s="792"/>
      <c r="BU19" s="792"/>
    </row>
    <row r="20" spans="2:75" s="731" customFormat="1" ht="12.95" customHeight="1" x14ac:dyDescent="0.25">
      <c r="B20" s="783">
        <f>IF(ISNA(Z20),"",IF(OR(Z20=1,Z20=2),"    ",MAX($B$9:B19)+1))</f>
        <v>9</v>
      </c>
      <c r="C20" s="1116" t="str">
        <f t="shared" si="0"/>
        <v xml:space="preserve">      - Punct. Acronyms &amp; Format (3.0%)</v>
      </c>
      <c r="D20" s="1116"/>
      <c r="E20" s="1116"/>
      <c r="F20" s="1117"/>
      <c r="G20" s="763">
        <f t="shared" si="1"/>
        <v>1</v>
      </c>
      <c r="H20" s="764" t="str">
        <f t="shared" si="2"/>
        <v>2*</v>
      </c>
      <c r="I20" s="784">
        <f t="shared" si="2"/>
        <v>3</v>
      </c>
      <c r="J20" s="789"/>
      <c r="K20" s="786"/>
      <c r="L20" s="1134"/>
      <c r="M20" s="1135"/>
      <c r="N20" s="1135"/>
      <c r="O20" s="1135"/>
      <c r="P20" s="1135"/>
      <c r="Q20" s="1135"/>
      <c r="R20" s="1136"/>
      <c r="T20" s="727">
        <v>12</v>
      </c>
      <c r="U20" s="716" t="s">
        <v>990</v>
      </c>
      <c r="V20" s="768">
        <v>1</v>
      </c>
      <c r="W20" s="768">
        <v>1</v>
      </c>
      <c r="X20" s="768" t="s">
        <v>340</v>
      </c>
      <c r="Y20" s="768" t="s">
        <v>340</v>
      </c>
      <c r="Z20" s="777" t="s">
        <v>340</v>
      </c>
      <c r="AA20" s="777">
        <v>2</v>
      </c>
      <c r="AB20" s="777">
        <v>1</v>
      </c>
      <c r="AC20" s="768">
        <v>3</v>
      </c>
      <c r="AD20" s="768">
        <v>2</v>
      </c>
      <c r="AE20" s="768">
        <v>1</v>
      </c>
      <c r="AF20" s="768" t="b">
        <v>1</v>
      </c>
      <c r="AG20" s="768">
        <f t="shared" si="3"/>
        <v>2</v>
      </c>
      <c r="AH20" s="768">
        <f t="shared" si="4"/>
        <v>1</v>
      </c>
      <c r="AI20" s="769">
        <f>IF(NOT(OR(Z20=1,Z20=2)),IF(AQ20&gt;0,$AR$45*AQ20/SUMIF($AQ$9:$AQ$40,"&gt;0"),IF(AU20&gt;0,$AV$45*AU20/SUMIF($AU$9:$AU$40,"&gt;0"),IF(AS20&gt;0,$AT$45*AS20/SUMIF($AS$9:$AS$40,"&gt;0"),""))),IF(SUMIF(AJ21:$AJ$40,"=" &amp; AJ20,AI21:$AI$40)=0,"",SUMIF(AJ21:$AJ$40,"=" &amp; AJ20,AI21:$AI$40)))</f>
        <v>3.0000000966000025E-2</v>
      </c>
      <c r="AJ20" s="770">
        <f t="shared" si="34"/>
        <v>2</v>
      </c>
      <c r="AK20" s="768">
        <f t="shared" si="27"/>
        <v>2</v>
      </c>
      <c r="AL20" s="777" t="str">
        <f t="shared" si="28"/>
        <v/>
      </c>
      <c r="AM20" s="777" t="str">
        <f t="shared" si="35"/>
        <v/>
      </c>
      <c r="AN20" s="777" t="str">
        <f t="shared" si="5"/>
        <v/>
      </c>
      <c r="AO20" s="777" t="str">
        <f t="shared" si="6"/>
        <v/>
      </c>
      <c r="AP20" s="768" t="b">
        <f t="shared" si="7"/>
        <v>1</v>
      </c>
      <c r="AQ20" s="771">
        <f t="shared" si="29"/>
        <v>1</v>
      </c>
      <c r="AR20" s="772" t="str">
        <f t="shared" si="8"/>
        <v/>
      </c>
      <c r="AS20" s="773">
        <f t="shared" si="30"/>
        <v>0</v>
      </c>
      <c r="AT20" s="772" t="str">
        <f t="shared" si="9"/>
        <v/>
      </c>
      <c r="AU20" s="774">
        <f t="shared" si="10"/>
        <v>0</v>
      </c>
      <c r="AV20" s="775" t="str">
        <f t="shared" si="11"/>
        <v/>
      </c>
      <c r="AW20" s="774" t="b">
        <f t="shared" si="12"/>
        <v>0</v>
      </c>
      <c r="AX20" s="776" t="b">
        <f t="shared" si="13"/>
        <v>1</v>
      </c>
      <c r="AY20" s="774" t="b">
        <f t="shared" si="14"/>
        <v>0</v>
      </c>
      <c r="AZ20" s="776" t="b">
        <f t="shared" si="15"/>
        <v>0</v>
      </c>
      <c r="BA20" s="768" t="b">
        <f t="shared" si="16"/>
        <v>0</v>
      </c>
      <c r="BB20" s="768" t="b">
        <f t="shared" si="17"/>
        <v>0</v>
      </c>
      <c r="BC20" s="774" t="b">
        <f t="shared" si="18"/>
        <v>0</v>
      </c>
      <c r="BD20" s="777" t="b">
        <f t="shared" si="31"/>
        <v>0</v>
      </c>
      <c r="BE20" s="776" t="b">
        <f t="shared" si="19"/>
        <v>0</v>
      </c>
      <c r="BF20" s="778" t="b">
        <f t="shared" si="20"/>
        <v>0</v>
      </c>
      <c r="BG20" s="779" t="b">
        <f t="shared" si="21"/>
        <v>1</v>
      </c>
      <c r="BH20" s="779">
        <f t="shared" si="32"/>
        <v>1</v>
      </c>
      <c r="BI20" s="779">
        <f t="shared" si="22"/>
        <v>2</v>
      </c>
      <c r="BJ20" s="779" t="str">
        <f t="shared" si="23"/>
        <v>2*</v>
      </c>
      <c r="BK20" s="779">
        <f t="shared" si="24"/>
        <v>3</v>
      </c>
      <c r="BL20" s="780">
        <f t="shared" si="33"/>
        <v>1</v>
      </c>
      <c r="BM20" s="779">
        <f t="shared" si="25"/>
        <v>2</v>
      </c>
      <c r="BN20" s="779">
        <f t="shared" si="26"/>
        <v>3</v>
      </c>
      <c r="BO20" s="791"/>
      <c r="BP20" s="782"/>
      <c r="BQ20" s="1140" t="s">
        <v>356</v>
      </c>
      <c r="BR20" s="1140"/>
      <c r="BS20" s="1140"/>
      <c r="BT20" s="1140"/>
      <c r="BU20" s="1140"/>
    </row>
    <row r="21" spans="2:75" s="731" customFormat="1" ht="12.95" customHeight="1" x14ac:dyDescent="0.25">
      <c r="B21" s="783">
        <f>IF(ISNA(Z21),"",IF(OR(Z21=1,Z21=2),"    ",MAX($B$9:B20)+1))</f>
        <v>10</v>
      </c>
      <c r="C21" s="1116" t="str">
        <f t="shared" si="0"/>
        <v xml:space="preserve">      - Profess. Tone &amp; Word Choice (3.0%)</v>
      </c>
      <c r="D21" s="1116"/>
      <c r="E21" s="1116"/>
      <c r="F21" s="1117"/>
      <c r="G21" s="763">
        <f t="shared" si="1"/>
        <v>1</v>
      </c>
      <c r="H21" s="764" t="str">
        <f t="shared" si="2"/>
        <v>2*</v>
      </c>
      <c r="I21" s="784">
        <f t="shared" si="2"/>
        <v>3</v>
      </c>
      <c r="J21" s="789"/>
      <c r="K21" s="786"/>
      <c r="L21" s="1134"/>
      <c r="M21" s="1135"/>
      <c r="N21" s="1135"/>
      <c r="O21" s="1135"/>
      <c r="P21" s="1135"/>
      <c r="Q21" s="1135"/>
      <c r="R21" s="1136"/>
      <c r="T21" s="727">
        <v>13</v>
      </c>
      <c r="U21" s="716" t="s">
        <v>991</v>
      </c>
      <c r="V21" s="768">
        <v>1</v>
      </c>
      <c r="W21" s="768">
        <v>1</v>
      </c>
      <c r="X21" s="768" t="s">
        <v>340</v>
      </c>
      <c r="Y21" s="768" t="s">
        <v>340</v>
      </c>
      <c r="Z21" s="777" t="s">
        <v>340</v>
      </c>
      <c r="AA21" s="777">
        <v>2</v>
      </c>
      <c r="AB21" s="777">
        <v>1</v>
      </c>
      <c r="AC21" s="768">
        <v>3</v>
      </c>
      <c r="AD21" s="768">
        <v>2</v>
      </c>
      <c r="AE21" s="768">
        <v>1</v>
      </c>
      <c r="AF21" s="768" t="b">
        <v>1</v>
      </c>
      <c r="AG21" s="768">
        <f t="shared" si="3"/>
        <v>2</v>
      </c>
      <c r="AH21" s="768">
        <f t="shared" si="4"/>
        <v>1</v>
      </c>
      <c r="AI21" s="769">
        <f>IF(NOT(OR(Z21=1,Z21=2)),IF(AQ21&gt;0,$AR$45*AQ21/SUMIF($AQ$9:$AQ$40,"&gt;0"),IF(AU21&gt;0,$AV$45*AU21/SUMIF($AU$9:$AU$40,"&gt;0"),IF(AS21&gt;0,$AT$45*AS21/SUMIF($AS$9:$AS$40,"&gt;0"),""))),IF(SUMIF(AJ22:$AJ$40,"=" &amp; AJ21,AI22:$AI$40)=0,"",SUMIF(AJ22:$AJ$40,"=" &amp; AJ21,AI22:$AI$40)))</f>
        <v>3.0000000966000025E-2</v>
      </c>
      <c r="AJ21" s="770">
        <f t="shared" si="34"/>
        <v>2</v>
      </c>
      <c r="AK21" s="768">
        <f t="shared" si="27"/>
        <v>2</v>
      </c>
      <c r="AL21" s="777" t="str">
        <f t="shared" si="28"/>
        <v/>
      </c>
      <c r="AM21" s="777" t="str">
        <f t="shared" si="35"/>
        <v/>
      </c>
      <c r="AN21" s="777" t="str">
        <f t="shared" si="5"/>
        <v/>
      </c>
      <c r="AO21" s="777" t="str">
        <f t="shared" si="6"/>
        <v/>
      </c>
      <c r="AP21" s="768" t="b">
        <f t="shared" si="7"/>
        <v>1</v>
      </c>
      <c r="AQ21" s="771">
        <f t="shared" si="29"/>
        <v>1</v>
      </c>
      <c r="AR21" s="772" t="str">
        <f t="shared" si="8"/>
        <v/>
      </c>
      <c r="AS21" s="773">
        <f t="shared" si="30"/>
        <v>0</v>
      </c>
      <c r="AT21" s="772" t="str">
        <f t="shared" si="9"/>
        <v/>
      </c>
      <c r="AU21" s="774">
        <f t="shared" si="10"/>
        <v>0</v>
      </c>
      <c r="AV21" s="775" t="str">
        <f t="shared" si="11"/>
        <v/>
      </c>
      <c r="AW21" s="774" t="b">
        <f t="shared" si="12"/>
        <v>0</v>
      </c>
      <c r="AX21" s="776" t="b">
        <f t="shared" si="13"/>
        <v>1</v>
      </c>
      <c r="AY21" s="774" t="b">
        <f t="shared" si="14"/>
        <v>0</v>
      </c>
      <c r="AZ21" s="776" t="b">
        <f t="shared" si="15"/>
        <v>0</v>
      </c>
      <c r="BA21" s="768" t="b">
        <f t="shared" si="16"/>
        <v>0</v>
      </c>
      <c r="BB21" s="768" t="b">
        <f t="shared" si="17"/>
        <v>0</v>
      </c>
      <c r="BC21" s="774" t="b">
        <f t="shared" si="18"/>
        <v>0</v>
      </c>
      <c r="BD21" s="777" t="b">
        <f t="shared" si="31"/>
        <v>0</v>
      </c>
      <c r="BE21" s="776" t="b">
        <f t="shared" si="19"/>
        <v>0</v>
      </c>
      <c r="BF21" s="778" t="b">
        <f t="shared" si="20"/>
        <v>0</v>
      </c>
      <c r="BG21" s="779" t="b">
        <f t="shared" si="21"/>
        <v>1</v>
      </c>
      <c r="BH21" s="779">
        <f t="shared" si="32"/>
        <v>1</v>
      </c>
      <c r="BI21" s="779">
        <f t="shared" si="22"/>
        <v>2</v>
      </c>
      <c r="BJ21" s="779" t="str">
        <f t="shared" si="23"/>
        <v>2*</v>
      </c>
      <c r="BK21" s="779">
        <f t="shared" si="24"/>
        <v>3</v>
      </c>
      <c r="BL21" s="780">
        <f t="shared" si="33"/>
        <v>1</v>
      </c>
      <c r="BM21" s="779">
        <f t="shared" si="25"/>
        <v>2</v>
      </c>
      <c r="BN21" s="779">
        <f t="shared" si="26"/>
        <v>3</v>
      </c>
      <c r="BO21" s="791"/>
      <c r="BP21" s="791"/>
      <c r="BQ21" s="791">
        <v>0</v>
      </c>
      <c r="BR21" s="791">
        <v>1</v>
      </c>
      <c r="BS21" s="791">
        <v>2</v>
      </c>
      <c r="BT21" s="791">
        <v>3</v>
      </c>
      <c r="BU21" s="791">
        <v>4</v>
      </c>
    </row>
    <row r="22" spans="2:75" s="731" customFormat="1" ht="12.95" customHeight="1" x14ac:dyDescent="0.25">
      <c r="B22" s="783" t="str">
        <f>IF(ISNA(Z22),"",IF(OR(Z22=1,Z22=2),"    ",MAX($B$9:B21)+1))</f>
        <v xml:space="preserve">    </v>
      </c>
      <c r="C22" s="1116" t="str">
        <f t="shared" si="0"/>
        <v>Visual Eng &amp; Data Presentation (20.0%)</v>
      </c>
      <c r="D22" s="1116"/>
      <c r="E22" s="1116"/>
      <c r="F22" s="1117"/>
      <c r="G22" s="763" t="str">
        <f t="shared" si="1"/>
        <v/>
      </c>
      <c r="H22" s="764" t="str">
        <f t="shared" si="2"/>
        <v/>
      </c>
      <c r="I22" s="784" t="str">
        <f t="shared" si="2"/>
        <v/>
      </c>
      <c r="J22" s="793"/>
      <c r="K22" s="794"/>
      <c r="L22" s="1134"/>
      <c r="M22" s="1135"/>
      <c r="N22" s="1135"/>
      <c r="O22" s="1135"/>
      <c r="P22" s="1135"/>
      <c r="Q22" s="1135"/>
      <c r="R22" s="1136"/>
      <c r="T22" s="727">
        <v>14</v>
      </c>
      <c r="U22" s="716" t="s">
        <v>974</v>
      </c>
      <c r="V22" s="768" t="s">
        <v>340</v>
      </c>
      <c r="W22" s="768" t="s">
        <v>340</v>
      </c>
      <c r="X22" s="768" t="s">
        <v>340</v>
      </c>
      <c r="Y22" s="768" t="s">
        <v>340</v>
      </c>
      <c r="Z22" s="777">
        <v>2</v>
      </c>
      <c r="AA22" s="777">
        <v>1</v>
      </c>
      <c r="AB22" s="777">
        <v>1</v>
      </c>
      <c r="AC22" s="768" t="s">
        <v>340</v>
      </c>
      <c r="AD22" s="768" t="s">
        <v>340</v>
      </c>
      <c r="AE22" s="768" t="s">
        <v>340</v>
      </c>
      <c r="AF22" s="768" t="s">
        <v>340</v>
      </c>
      <c r="AG22" s="768" t="str">
        <f t="shared" si="3"/>
        <v/>
      </c>
      <c r="AH22" s="768" t="str">
        <f t="shared" si="4"/>
        <v/>
      </c>
      <c r="AI22" s="769">
        <f>IF(NOT(OR(Z22=1,Z22=2)),IF(AQ22&gt;0,$AR$45*AQ22/SUMIF($AQ$9:$AQ$40,"&gt;0"),IF(AU22&gt;0,$AV$45*AU22/SUMIF($AU$9:$AU$40,"&gt;0"),IF(AS22&gt;0,$AT$45*AS22/SUMIF($AS$9:$AS$40,"&gt;0"),""))),IF(SUMIF(AJ23:$AJ$40,"=" &amp; AJ22,AI23:$AI$40)=0,"",SUMIF(AJ23:$AJ$40,"=" &amp; AJ22,AI23:$AI$40)))</f>
        <v>0.20000000624000017</v>
      </c>
      <c r="AJ22" s="770">
        <f t="shared" si="34"/>
        <v>3</v>
      </c>
      <c r="AK22" s="768" t="str">
        <f t="shared" si="27"/>
        <v/>
      </c>
      <c r="AL22" s="777" t="str">
        <f t="shared" si="28"/>
        <v/>
      </c>
      <c r="AM22" s="777" t="str">
        <f t="shared" si="35"/>
        <v/>
      </c>
      <c r="AN22" s="777" t="str">
        <f t="shared" si="5"/>
        <v/>
      </c>
      <c r="AO22" s="777" t="str">
        <f t="shared" si="6"/>
        <v/>
      </c>
      <c r="AP22" s="768" t="str">
        <f t="shared" si="7"/>
        <v/>
      </c>
      <c r="AQ22" s="771">
        <f t="shared" si="29"/>
        <v>0</v>
      </c>
      <c r="AR22" s="772" t="str">
        <f t="shared" si="8"/>
        <v/>
      </c>
      <c r="AS22" s="773">
        <f t="shared" si="30"/>
        <v>0</v>
      </c>
      <c r="AT22" s="772" t="str">
        <f t="shared" si="9"/>
        <v/>
      </c>
      <c r="AU22" s="774">
        <f t="shared" si="10"/>
        <v>0</v>
      </c>
      <c r="AV22" s="775" t="str">
        <f t="shared" si="11"/>
        <v/>
      </c>
      <c r="AW22" s="774" t="b">
        <f t="shared" si="12"/>
        <v>0</v>
      </c>
      <c r="AX22" s="776" t="b">
        <f t="shared" si="13"/>
        <v>0</v>
      </c>
      <c r="AY22" s="774" t="b">
        <f t="shared" si="14"/>
        <v>0</v>
      </c>
      <c r="AZ22" s="776" t="b">
        <f t="shared" si="15"/>
        <v>0</v>
      </c>
      <c r="BA22" s="768" t="b">
        <f t="shared" si="16"/>
        <v>0</v>
      </c>
      <c r="BB22" s="768" t="b">
        <f t="shared" si="17"/>
        <v>0</v>
      </c>
      <c r="BC22" s="774" t="b">
        <f t="shared" si="18"/>
        <v>0</v>
      </c>
      <c r="BD22" s="777" t="b">
        <f t="shared" si="31"/>
        <v>0</v>
      </c>
      <c r="BE22" s="776" t="b">
        <f t="shared" si="19"/>
        <v>0</v>
      </c>
      <c r="BF22" s="778" t="b">
        <f t="shared" si="20"/>
        <v>0</v>
      </c>
      <c r="BG22" s="779" t="b">
        <f t="shared" si="21"/>
        <v>0</v>
      </c>
      <c r="BH22" s="779" t="str">
        <f t="shared" si="32"/>
        <v/>
      </c>
      <c r="BI22" s="779" t="str">
        <f t="shared" si="22"/>
        <v/>
      </c>
      <c r="BJ22" s="779" t="str">
        <f t="shared" si="23"/>
        <v/>
      </c>
      <c r="BK22" s="779" t="str">
        <f t="shared" si="24"/>
        <v/>
      </c>
      <c r="BL22" s="780" t="str">
        <f t="shared" si="33"/>
        <v/>
      </c>
      <c r="BM22" s="779" t="str">
        <f t="shared" si="25"/>
        <v/>
      </c>
      <c r="BN22" s="779" t="str">
        <f t="shared" si="26"/>
        <v/>
      </c>
      <c r="BO22" s="1141" t="s">
        <v>358</v>
      </c>
      <c r="BP22" s="791" t="s">
        <v>359</v>
      </c>
      <c r="BQ22" s="795">
        <f t="shared" ref="BQ22:BU30" si="36">AR51</f>
        <v>0.7</v>
      </c>
      <c r="BR22" s="796">
        <f t="shared" si="36"/>
        <v>0.9</v>
      </c>
      <c r="BS22" s="796">
        <f t="shared" si="36"/>
        <v>0.93330000000000002</v>
      </c>
      <c r="BT22" s="796">
        <f t="shared" si="36"/>
        <v>0.9667</v>
      </c>
      <c r="BU22" s="797">
        <f t="shared" si="36"/>
        <v>1</v>
      </c>
      <c r="BV22" s="798"/>
      <c r="BW22" s="711"/>
    </row>
    <row r="23" spans="2:75" s="731" customFormat="1" ht="12.95" customHeight="1" x14ac:dyDescent="0.25">
      <c r="B23" s="783">
        <f>IF(ISNA(Z23),"",IF(OR(Z23=1,Z23=2),"    ",MAX($B$9:B22)+1))</f>
        <v>11</v>
      </c>
      <c r="C23" s="1116" t="str">
        <f t="shared" si="0"/>
        <v xml:space="preserve">      - Anatomy of a Valid Plot/Table (8.0%)</v>
      </c>
      <c r="D23" s="1116"/>
      <c r="E23" s="1116"/>
      <c r="F23" s="1117"/>
      <c r="G23" s="763">
        <f t="shared" si="1"/>
        <v>1</v>
      </c>
      <c r="H23" s="764" t="str">
        <f t="shared" si="2"/>
        <v>2*</v>
      </c>
      <c r="I23" s="784">
        <f t="shared" si="2"/>
        <v>3</v>
      </c>
      <c r="J23" s="789"/>
      <c r="K23" s="786"/>
      <c r="L23" s="1134"/>
      <c r="M23" s="1135"/>
      <c r="N23" s="1135"/>
      <c r="O23" s="1135"/>
      <c r="P23" s="1135"/>
      <c r="Q23" s="1135"/>
      <c r="R23" s="1136"/>
      <c r="T23" s="727">
        <v>15</v>
      </c>
      <c r="U23" s="716" t="s">
        <v>975</v>
      </c>
      <c r="V23" s="768">
        <v>1</v>
      </c>
      <c r="W23" s="768">
        <v>2.6666666600000002</v>
      </c>
      <c r="X23" s="768" t="s">
        <v>340</v>
      </c>
      <c r="Y23" s="768" t="s">
        <v>340</v>
      </c>
      <c r="Z23" s="777" t="s">
        <v>340</v>
      </c>
      <c r="AA23" s="777">
        <v>2</v>
      </c>
      <c r="AB23" s="777">
        <v>1</v>
      </c>
      <c r="AC23" s="768">
        <v>3</v>
      </c>
      <c r="AD23" s="768">
        <v>2</v>
      </c>
      <c r="AE23" s="768">
        <v>1</v>
      </c>
      <c r="AF23" s="768" t="b">
        <v>1</v>
      </c>
      <c r="AG23" s="768">
        <f t="shared" si="3"/>
        <v>2</v>
      </c>
      <c r="AH23" s="768">
        <f t="shared" si="4"/>
        <v>1</v>
      </c>
      <c r="AI23" s="769">
        <f>IF(NOT(OR(Z23=1,Z23=2)),IF(AQ23&gt;0,$AR$45*AQ23/SUMIF($AQ$9:$AQ$40,"&gt;0"),IF(AU23&gt;0,$AV$45*AU23/SUMIF($AU$9:$AU$40,"&gt;0"),IF(AS23&gt;0,$AT$45*AS23/SUMIF($AS$9:$AS$40,"&gt;0"),""))),IF(SUMIF(AJ24:$AJ$40,"=" &amp; AJ23,AI24:$AI$40)=0,"",SUMIF(AJ24:$AJ$40,"=" &amp; AJ23,AI24:$AI$40)))</f>
        <v>8.0000002376000065E-2</v>
      </c>
      <c r="AJ23" s="770">
        <f t="shared" si="34"/>
        <v>3</v>
      </c>
      <c r="AK23" s="768">
        <f t="shared" si="27"/>
        <v>2</v>
      </c>
      <c r="AL23" s="777" t="str">
        <f t="shared" si="28"/>
        <v/>
      </c>
      <c r="AM23" s="777" t="str">
        <f t="shared" si="35"/>
        <v/>
      </c>
      <c r="AN23" s="777" t="str">
        <f t="shared" si="5"/>
        <v/>
      </c>
      <c r="AO23" s="777" t="str">
        <f t="shared" si="6"/>
        <v/>
      </c>
      <c r="AP23" s="768" t="b">
        <f t="shared" si="7"/>
        <v>1</v>
      </c>
      <c r="AQ23" s="771">
        <f t="shared" si="29"/>
        <v>2.6666666600000002</v>
      </c>
      <c r="AR23" s="772" t="str">
        <f t="shared" si="8"/>
        <v/>
      </c>
      <c r="AS23" s="773">
        <f t="shared" si="30"/>
        <v>0</v>
      </c>
      <c r="AT23" s="772" t="str">
        <f t="shared" si="9"/>
        <v/>
      </c>
      <c r="AU23" s="774">
        <f t="shared" si="10"/>
        <v>0</v>
      </c>
      <c r="AV23" s="775" t="str">
        <f t="shared" si="11"/>
        <v/>
      </c>
      <c r="AW23" s="774" t="b">
        <f t="shared" si="12"/>
        <v>0</v>
      </c>
      <c r="AX23" s="776" t="b">
        <f t="shared" si="13"/>
        <v>1</v>
      </c>
      <c r="AY23" s="774" t="b">
        <f t="shared" si="14"/>
        <v>0</v>
      </c>
      <c r="AZ23" s="776" t="b">
        <f t="shared" si="15"/>
        <v>0</v>
      </c>
      <c r="BA23" s="768" t="b">
        <f t="shared" si="16"/>
        <v>0</v>
      </c>
      <c r="BB23" s="768" t="b">
        <f t="shared" si="17"/>
        <v>0</v>
      </c>
      <c r="BC23" s="774" t="b">
        <f t="shared" si="18"/>
        <v>0</v>
      </c>
      <c r="BD23" s="777" t="b">
        <f t="shared" si="31"/>
        <v>0</v>
      </c>
      <c r="BE23" s="776" t="b">
        <f>IF(OR(ISNA($Z23),K23&lt;&gt;"D"),FALSE,IF(OR(AND(H23="NG",J23=0),AND(H23&lt;&gt;"NG",NOT(OR(J23="NA",J23=0)))),TRUE,FALSE))</f>
        <v>0</v>
      </c>
      <c r="BF23" s="778" t="b">
        <f t="shared" si="20"/>
        <v>0</v>
      </c>
      <c r="BG23" s="779" t="b">
        <f>IF(ISNA($Z23),"NA",IF(OR(AZ23,AY23,AX23,AW23,AP23,BA23,BB23),TRUE,FALSE))</f>
        <v>1</v>
      </c>
      <c r="BH23" s="779">
        <f t="shared" si="32"/>
        <v>1</v>
      </c>
      <c r="BI23" s="779">
        <f t="shared" si="22"/>
        <v>2</v>
      </c>
      <c r="BJ23" s="779" t="str">
        <f t="shared" si="23"/>
        <v>2*</v>
      </c>
      <c r="BK23" s="779">
        <f t="shared" si="24"/>
        <v>3</v>
      </c>
      <c r="BL23" s="780">
        <f t="shared" si="33"/>
        <v>1</v>
      </c>
      <c r="BM23" s="779">
        <f t="shared" si="25"/>
        <v>2</v>
      </c>
      <c r="BN23" s="779">
        <f t="shared" si="26"/>
        <v>3</v>
      </c>
      <c r="BO23" s="1141"/>
      <c r="BP23" s="791" t="s">
        <v>360</v>
      </c>
      <c r="BQ23" s="799">
        <f t="shared" si="36"/>
        <v>0.7</v>
      </c>
      <c r="BR23" s="800">
        <f t="shared" si="36"/>
        <v>0.8</v>
      </c>
      <c r="BS23" s="800">
        <f t="shared" si="36"/>
        <v>0.9</v>
      </c>
      <c r="BT23" s="800">
        <f t="shared" si="36"/>
        <v>0.95</v>
      </c>
      <c r="BU23" s="801">
        <f t="shared" si="36"/>
        <v>1</v>
      </c>
      <c r="BV23" s="711"/>
      <c r="BW23" s="802"/>
    </row>
    <row r="24" spans="2:75" s="731" customFormat="1" ht="12.95" customHeight="1" x14ac:dyDescent="0.25">
      <c r="B24" s="783">
        <f>IF(ISNA(Z24),"",IF(OR(Z24=1,Z24=2),"    ",MAX($B$9:B23)+1))</f>
        <v>12</v>
      </c>
      <c r="C24" s="1116" t="str">
        <f t="shared" si="0"/>
        <v xml:space="preserve">      - Data-Ink Ratio &amp; Clarity (6.0%)</v>
      </c>
      <c r="D24" s="1116"/>
      <c r="E24" s="1116"/>
      <c r="F24" s="1117"/>
      <c r="G24" s="763">
        <f t="shared" si="1"/>
        <v>1</v>
      </c>
      <c r="H24" s="764" t="str">
        <f t="shared" si="2"/>
        <v>2*</v>
      </c>
      <c r="I24" s="784">
        <f t="shared" si="2"/>
        <v>3</v>
      </c>
      <c r="J24" s="789"/>
      <c r="K24" s="786"/>
      <c r="L24" s="1134"/>
      <c r="M24" s="1135"/>
      <c r="N24" s="1135"/>
      <c r="O24" s="1135"/>
      <c r="P24" s="1135"/>
      <c r="Q24" s="1135"/>
      <c r="R24" s="1136"/>
      <c r="T24" s="727">
        <v>16</v>
      </c>
      <c r="U24" s="716" t="s">
        <v>976</v>
      </c>
      <c r="V24" s="768">
        <v>1</v>
      </c>
      <c r="W24" s="768">
        <v>2</v>
      </c>
      <c r="X24" s="768" t="s">
        <v>340</v>
      </c>
      <c r="Y24" s="768" t="s">
        <v>340</v>
      </c>
      <c r="Z24" s="777" t="s">
        <v>340</v>
      </c>
      <c r="AA24" s="777">
        <v>2</v>
      </c>
      <c r="AB24" s="777">
        <v>1</v>
      </c>
      <c r="AC24" s="768">
        <v>3</v>
      </c>
      <c r="AD24" s="768">
        <v>2</v>
      </c>
      <c r="AE24" s="768">
        <v>1</v>
      </c>
      <c r="AF24" s="768" t="b">
        <v>1</v>
      </c>
      <c r="AG24" s="768">
        <f t="shared" si="3"/>
        <v>2</v>
      </c>
      <c r="AH24" s="768">
        <f t="shared" si="4"/>
        <v>1</v>
      </c>
      <c r="AI24" s="769">
        <f>IF(NOT(OR(Z24=1,Z24=2)),IF(AQ24&gt;0,$AR$45*AQ24/SUMIF($AQ$9:$AQ$40,"&gt;0"),IF(AU24&gt;0,$AV$45*AU24/SUMIF($AU$9:$AU$40,"&gt;0"),IF(AS24&gt;0,$AT$45*AS24/SUMIF($AS$9:$AS$40,"&gt;0"),""))),IF(SUMIF(AJ25:$AJ$40,"=" &amp; AJ24,AI25:$AI$40)=0,"",SUMIF(AJ25:$AJ$40,"=" &amp; AJ24,AI25:$AI$40)))</f>
        <v>6.0000001932000051E-2</v>
      </c>
      <c r="AJ24" s="770">
        <f t="shared" si="34"/>
        <v>3</v>
      </c>
      <c r="AK24" s="768">
        <f t="shared" si="27"/>
        <v>2</v>
      </c>
      <c r="AL24" s="777" t="str">
        <f t="shared" si="28"/>
        <v/>
      </c>
      <c r="AM24" s="777" t="str">
        <f t="shared" si="35"/>
        <v/>
      </c>
      <c r="AN24" s="777" t="str">
        <f t="shared" si="5"/>
        <v/>
      </c>
      <c r="AO24" s="777" t="str">
        <f t="shared" si="6"/>
        <v/>
      </c>
      <c r="AP24" s="768" t="b">
        <f t="shared" si="7"/>
        <v>1</v>
      </c>
      <c r="AQ24" s="771">
        <f t="shared" si="29"/>
        <v>2</v>
      </c>
      <c r="AR24" s="772" t="str">
        <f t="shared" si="8"/>
        <v/>
      </c>
      <c r="AS24" s="773">
        <f t="shared" si="30"/>
        <v>0</v>
      </c>
      <c r="AT24" s="772" t="str">
        <f t="shared" si="9"/>
        <v/>
      </c>
      <c r="AU24" s="774">
        <f t="shared" si="10"/>
        <v>0</v>
      </c>
      <c r="AV24" s="775" t="str">
        <f t="shared" si="11"/>
        <v/>
      </c>
      <c r="AW24" s="774" t="b">
        <f t="shared" si="12"/>
        <v>0</v>
      </c>
      <c r="AX24" s="776" t="b">
        <f t="shared" si="13"/>
        <v>1</v>
      </c>
      <c r="AY24" s="774" t="b">
        <f t="shared" si="14"/>
        <v>0</v>
      </c>
      <c r="AZ24" s="776" t="b">
        <f t="shared" si="15"/>
        <v>0</v>
      </c>
      <c r="BA24" s="768" t="b">
        <f t="shared" si="16"/>
        <v>0</v>
      </c>
      <c r="BB24" s="768" t="b">
        <f t="shared" si="17"/>
        <v>0</v>
      </c>
      <c r="BC24" s="774" t="b">
        <f t="shared" si="18"/>
        <v>0</v>
      </c>
      <c r="BD24" s="777" t="b">
        <f t="shared" si="31"/>
        <v>0</v>
      </c>
      <c r="BE24" s="776" t="b">
        <f t="shared" ref="BE24:BE40" si="37">IF(OR(ISNA($Z24),K24&lt;&gt;"D"),FALSE,IF(OR(AND(H24="NG",J24=0),AND(H24&lt;&gt;"NG",NOT(OR(J24="NA",J24=0)))),TRUE,FALSE))</f>
        <v>0</v>
      </c>
      <c r="BF24" s="778" t="b">
        <f t="shared" si="20"/>
        <v>0</v>
      </c>
      <c r="BG24" s="779" t="b">
        <f t="shared" ref="BG24:BG40" si="38">IF(ISNA($Z24),"NA",IF(OR(AZ24,AY24,AX24,AW24,AP24,BA24,BB24),TRUE,FALSE))</f>
        <v>1</v>
      </c>
      <c r="BH24" s="779">
        <f t="shared" si="32"/>
        <v>1</v>
      </c>
      <c r="BI24" s="779">
        <f t="shared" si="22"/>
        <v>2</v>
      </c>
      <c r="BJ24" s="779" t="str">
        <f t="shared" si="23"/>
        <v>2*</v>
      </c>
      <c r="BK24" s="779">
        <f t="shared" si="24"/>
        <v>3</v>
      </c>
      <c r="BL24" s="780">
        <f t="shared" si="33"/>
        <v>1</v>
      </c>
      <c r="BM24" s="779">
        <f t="shared" si="25"/>
        <v>2</v>
      </c>
      <c r="BN24" s="779">
        <f t="shared" si="26"/>
        <v>3</v>
      </c>
      <c r="BO24" s="1141"/>
      <c r="BP24" s="791" t="s">
        <v>361</v>
      </c>
      <c r="BQ24" s="799">
        <f t="shared" si="36"/>
        <v>0.7</v>
      </c>
      <c r="BR24" s="800">
        <f t="shared" si="36"/>
        <v>0.76670000000000005</v>
      </c>
      <c r="BS24" s="800">
        <f t="shared" si="36"/>
        <v>0.83330000000000004</v>
      </c>
      <c r="BT24" s="800">
        <f t="shared" si="36"/>
        <v>0.9</v>
      </c>
      <c r="BU24" s="801">
        <f t="shared" si="36"/>
        <v>1</v>
      </c>
      <c r="BV24" s="711"/>
      <c r="BW24" s="802"/>
    </row>
    <row r="25" spans="2:75" s="731" customFormat="1" ht="12.95" customHeight="1" x14ac:dyDescent="0.25">
      <c r="B25" s="783">
        <f>IF(ISNA(Z25),"",IF(OR(Z25=1,Z25=2),"    ",MAX($B$9:B24)+1))</f>
        <v>13</v>
      </c>
      <c r="C25" s="1116" t="str">
        <f t="shared" si="0"/>
        <v xml:space="preserve">      - Data Honesty &amp; Context (6.0%)</v>
      </c>
      <c r="D25" s="1116"/>
      <c r="E25" s="1116"/>
      <c r="F25" s="1117"/>
      <c r="G25" s="763">
        <f t="shared" si="1"/>
        <v>1</v>
      </c>
      <c r="H25" s="764" t="str">
        <f t="shared" si="2"/>
        <v>2*</v>
      </c>
      <c r="I25" s="784">
        <f t="shared" si="2"/>
        <v>3</v>
      </c>
      <c r="J25" s="789"/>
      <c r="K25" s="786"/>
      <c r="L25" s="1134"/>
      <c r="M25" s="1135"/>
      <c r="N25" s="1135"/>
      <c r="O25" s="1135"/>
      <c r="P25" s="1135"/>
      <c r="Q25" s="1135"/>
      <c r="R25" s="1136"/>
      <c r="T25" s="727">
        <v>17</v>
      </c>
      <c r="U25" s="716" t="s">
        <v>992</v>
      </c>
      <c r="V25" s="768">
        <v>1</v>
      </c>
      <c r="W25" s="768">
        <v>2</v>
      </c>
      <c r="X25" s="768" t="s">
        <v>340</v>
      </c>
      <c r="Y25" s="768" t="s">
        <v>340</v>
      </c>
      <c r="Z25" s="777" t="s">
        <v>340</v>
      </c>
      <c r="AA25" s="777">
        <v>2</v>
      </c>
      <c r="AB25" s="777">
        <v>1</v>
      </c>
      <c r="AC25" s="768">
        <v>3</v>
      </c>
      <c r="AD25" s="768">
        <v>2</v>
      </c>
      <c r="AE25" s="768">
        <v>1</v>
      </c>
      <c r="AF25" s="768" t="b">
        <v>1</v>
      </c>
      <c r="AG25" s="768">
        <f t="shared" si="3"/>
        <v>2</v>
      </c>
      <c r="AH25" s="768">
        <f t="shared" si="4"/>
        <v>1</v>
      </c>
      <c r="AI25" s="769">
        <f>IF(NOT(OR(Z25=1,Z25=2)),IF(AQ25&gt;0,$AR$45*AQ25/SUMIF($AQ$9:$AQ$40,"&gt;0"),IF(AU25&gt;0,$AV$45*AU25/SUMIF($AU$9:$AU$40,"&gt;0"),IF(AS25&gt;0,$AT$45*AS25/SUMIF($AS$9:$AS$40,"&gt;0"),""))),IF(SUMIF(AJ26:$AJ$40,"=" &amp; AJ25,AI26:$AI$40)=0,"",SUMIF(AJ26:$AJ$40,"=" &amp; AJ25,AI26:$AI$40)))</f>
        <v>6.0000001932000051E-2</v>
      </c>
      <c r="AJ25" s="770">
        <f t="shared" si="34"/>
        <v>3</v>
      </c>
      <c r="AK25" s="768">
        <f t="shared" si="27"/>
        <v>2</v>
      </c>
      <c r="AL25" s="777" t="str">
        <f t="shared" si="28"/>
        <v/>
      </c>
      <c r="AM25" s="777" t="str">
        <f t="shared" si="35"/>
        <v/>
      </c>
      <c r="AN25" s="777" t="str">
        <f t="shared" si="5"/>
        <v/>
      </c>
      <c r="AO25" s="777" t="str">
        <f t="shared" si="6"/>
        <v/>
      </c>
      <c r="AP25" s="768" t="b">
        <f t="shared" si="7"/>
        <v>1</v>
      </c>
      <c r="AQ25" s="771">
        <f t="shared" si="29"/>
        <v>2</v>
      </c>
      <c r="AR25" s="772" t="str">
        <f t="shared" si="8"/>
        <v/>
      </c>
      <c r="AS25" s="773">
        <f t="shared" si="30"/>
        <v>0</v>
      </c>
      <c r="AT25" s="772" t="str">
        <f t="shared" si="9"/>
        <v/>
      </c>
      <c r="AU25" s="774">
        <f t="shared" si="10"/>
        <v>0</v>
      </c>
      <c r="AV25" s="775" t="str">
        <f t="shared" si="11"/>
        <v/>
      </c>
      <c r="AW25" s="774" t="b">
        <f t="shared" si="12"/>
        <v>0</v>
      </c>
      <c r="AX25" s="776" t="b">
        <f t="shared" si="13"/>
        <v>1</v>
      </c>
      <c r="AY25" s="774" t="b">
        <f t="shared" si="14"/>
        <v>0</v>
      </c>
      <c r="AZ25" s="776" t="b">
        <f t="shared" si="15"/>
        <v>0</v>
      </c>
      <c r="BA25" s="768" t="b">
        <f t="shared" si="16"/>
        <v>0</v>
      </c>
      <c r="BB25" s="768" t="b">
        <f t="shared" si="17"/>
        <v>0</v>
      </c>
      <c r="BC25" s="774" t="b">
        <f t="shared" si="18"/>
        <v>0</v>
      </c>
      <c r="BD25" s="777" t="b">
        <f t="shared" si="31"/>
        <v>0</v>
      </c>
      <c r="BE25" s="776" t="b">
        <f t="shared" si="37"/>
        <v>0</v>
      </c>
      <c r="BF25" s="778" t="b">
        <f t="shared" si="20"/>
        <v>0</v>
      </c>
      <c r="BG25" s="779" t="b">
        <f t="shared" si="38"/>
        <v>1</v>
      </c>
      <c r="BH25" s="779">
        <f t="shared" si="32"/>
        <v>1</v>
      </c>
      <c r="BI25" s="779">
        <f t="shared" si="22"/>
        <v>2</v>
      </c>
      <c r="BJ25" s="779" t="str">
        <f t="shared" si="23"/>
        <v>2*</v>
      </c>
      <c r="BK25" s="779">
        <f t="shared" si="24"/>
        <v>3</v>
      </c>
      <c r="BL25" s="780">
        <f t="shared" si="33"/>
        <v>1</v>
      </c>
      <c r="BM25" s="779">
        <f t="shared" si="25"/>
        <v>2</v>
      </c>
      <c r="BN25" s="779">
        <f t="shared" si="26"/>
        <v>3</v>
      </c>
      <c r="BO25" s="1141"/>
      <c r="BP25" s="791" t="s">
        <v>362</v>
      </c>
      <c r="BQ25" s="799">
        <f t="shared" si="36"/>
        <v>0.6</v>
      </c>
      <c r="BR25" s="800">
        <f t="shared" si="36"/>
        <v>0.9</v>
      </c>
      <c r="BS25" s="800">
        <f t="shared" si="36"/>
        <v>0.93330000000000002</v>
      </c>
      <c r="BT25" s="800">
        <f t="shared" si="36"/>
        <v>0.9667</v>
      </c>
      <c r="BU25" s="801">
        <f t="shared" si="36"/>
        <v>1</v>
      </c>
      <c r="BV25" s="711"/>
      <c r="BW25" s="802"/>
    </row>
    <row r="26" spans="2:75" s="731" customFormat="1" ht="12.95" customHeight="1" x14ac:dyDescent="0.25">
      <c r="B26" s="783" t="str">
        <f>IF(ISNA(Z26),"",IF(OR(Z26=1,Z26=2),"    ",MAX($B$9:B25)+1))</f>
        <v/>
      </c>
      <c r="C26" s="1116" t="str">
        <f t="shared" si="0"/>
        <v/>
      </c>
      <c r="D26" s="1116"/>
      <c r="E26" s="1116"/>
      <c r="F26" s="1117"/>
      <c r="G26" s="763" t="str">
        <f t="shared" si="1"/>
        <v/>
      </c>
      <c r="H26" s="764" t="str">
        <f t="shared" si="2"/>
        <v/>
      </c>
      <c r="I26" s="784" t="str">
        <f t="shared" si="2"/>
        <v/>
      </c>
      <c r="J26" s="793"/>
      <c r="K26" s="794"/>
      <c r="L26" s="1134"/>
      <c r="M26" s="1135"/>
      <c r="N26" s="1135"/>
      <c r="O26" s="1135"/>
      <c r="P26" s="1135"/>
      <c r="Q26" s="1135"/>
      <c r="R26" s="1136"/>
      <c r="T26" s="727">
        <v>18</v>
      </c>
      <c r="U26" s="716" t="e">
        <v>#N/A</v>
      </c>
      <c r="V26" s="768" t="e">
        <v>#N/A</v>
      </c>
      <c r="W26" s="768" t="e">
        <v>#N/A</v>
      </c>
      <c r="X26" s="768" t="e">
        <v>#N/A</v>
      </c>
      <c r="Y26" s="768" t="e">
        <v>#N/A</v>
      </c>
      <c r="Z26" s="777" t="e">
        <v>#N/A</v>
      </c>
      <c r="AA26" s="777" t="e">
        <v>#N/A</v>
      </c>
      <c r="AB26" s="777" t="e">
        <v>#N/A</v>
      </c>
      <c r="AC26" s="768" t="e">
        <v>#N/A</v>
      </c>
      <c r="AD26" s="768" t="e">
        <v>#N/A</v>
      </c>
      <c r="AE26" s="768" t="e">
        <v>#N/A</v>
      </c>
      <c r="AF26" s="768" t="e">
        <v>#N/A</v>
      </c>
      <c r="AG26" s="768" t="e">
        <f t="shared" si="3"/>
        <v>#N/A</v>
      </c>
      <c r="AH26" s="768" t="str">
        <f t="shared" si="4"/>
        <v/>
      </c>
      <c r="AI26" s="769" t="e">
        <f>IF(NOT(OR(Z26=1,Z26=2)),IF(AQ26&gt;0,$AR$45*AQ26/SUMIF($AQ$9:$AQ$40,"&gt;0"),IF(AU26&gt;0,$AV$45*AU26/SUMIF($AU$9:$AU$40,"&gt;0"),IF(AS26&gt;0,$AT$45*AS26/SUMIF($AS$9:$AS$40,"&gt;0"),""))),IF(SUMIF(AJ27:$AJ$40,"=" &amp; AJ26,AI27:$AI$40)=0,"",SUMIF(AJ27:$AJ$40,"=" &amp; AJ26,AI27:$AI$40)))</f>
        <v>#N/A</v>
      </c>
      <c r="AJ26" s="770" t="e">
        <f t="shared" si="34"/>
        <v>#N/A</v>
      </c>
      <c r="AK26" s="768" t="str">
        <f t="shared" si="27"/>
        <v/>
      </c>
      <c r="AL26" s="777" t="str">
        <f t="shared" si="28"/>
        <v/>
      </c>
      <c r="AM26" s="777" t="str">
        <f t="shared" si="35"/>
        <v/>
      </c>
      <c r="AN26" s="777" t="str">
        <f t="shared" si="5"/>
        <v/>
      </c>
      <c r="AO26" s="777" t="e">
        <f t="shared" si="6"/>
        <v>#N/A</v>
      </c>
      <c r="AP26" s="768" t="str">
        <f t="shared" si="7"/>
        <v/>
      </c>
      <c r="AQ26" s="771">
        <f t="shared" si="29"/>
        <v>0</v>
      </c>
      <c r="AR26" s="772" t="str">
        <f t="shared" si="8"/>
        <v/>
      </c>
      <c r="AS26" s="773">
        <f t="shared" si="30"/>
        <v>0</v>
      </c>
      <c r="AT26" s="772" t="str">
        <f t="shared" si="9"/>
        <v/>
      </c>
      <c r="AU26" s="774">
        <f t="shared" si="10"/>
        <v>0</v>
      </c>
      <c r="AV26" s="775" t="str">
        <f t="shared" si="11"/>
        <v/>
      </c>
      <c r="AW26" s="774" t="b">
        <f t="shared" si="12"/>
        <v>0</v>
      </c>
      <c r="AX26" s="776" t="b">
        <f t="shared" si="13"/>
        <v>0</v>
      </c>
      <c r="AY26" s="774" t="b">
        <f t="shared" si="14"/>
        <v>0</v>
      </c>
      <c r="AZ26" s="776" t="b">
        <f t="shared" si="15"/>
        <v>0</v>
      </c>
      <c r="BA26" s="768" t="b">
        <f t="shared" si="16"/>
        <v>0</v>
      </c>
      <c r="BB26" s="768" t="b">
        <f t="shared" si="17"/>
        <v>0</v>
      </c>
      <c r="BC26" s="774" t="b">
        <f t="shared" si="18"/>
        <v>0</v>
      </c>
      <c r="BD26" s="777" t="b">
        <f t="shared" si="31"/>
        <v>0</v>
      </c>
      <c r="BE26" s="776" t="b">
        <f t="shared" si="37"/>
        <v>0</v>
      </c>
      <c r="BF26" s="778" t="b">
        <f t="shared" si="20"/>
        <v>0</v>
      </c>
      <c r="BG26" s="779" t="str">
        <f t="shared" si="38"/>
        <v>NA</v>
      </c>
      <c r="BH26" s="779" t="str">
        <f t="shared" si="32"/>
        <v/>
      </c>
      <c r="BI26" s="779" t="str">
        <f t="shared" si="22"/>
        <v/>
      </c>
      <c r="BJ26" s="779" t="str">
        <f t="shared" si="23"/>
        <v/>
      </c>
      <c r="BK26" s="779" t="str">
        <f t="shared" si="24"/>
        <v/>
      </c>
      <c r="BL26" s="780" t="str">
        <f t="shared" si="33"/>
        <v/>
      </c>
      <c r="BM26" s="779" t="str">
        <f t="shared" si="25"/>
        <v/>
      </c>
      <c r="BN26" s="779" t="str">
        <f t="shared" si="26"/>
        <v/>
      </c>
      <c r="BO26" s="1141"/>
      <c r="BP26" s="791" t="s">
        <v>363</v>
      </c>
      <c r="BQ26" s="799">
        <f t="shared" si="36"/>
        <v>0.6</v>
      </c>
      <c r="BR26" s="800">
        <f t="shared" si="36"/>
        <v>0.7</v>
      </c>
      <c r="BS26" s="800">
        <f t="shared" si="36"/>
        <v>0.9</v>
      </c>
      <c r="BT26" s="800">
        <f t="shared" si="36"/>
        <v>0.95</v>
      </c>
      <c r="BU26" s="801">
        <f t="shared" si="36"/>
        <v>1</v>
      </c>
      <c r="BV26" s="711"/>
      <c r="BW26" s="802"/>
    </row>
    <row r="27" spans="2:75" s="731" customFormat="1" ht="12.95" customHeight="1" x14ac:dyDescent="0.25">
      <c r="B27" s="783" t="str">
        <f>IF(ISNA(Z27),"",IF(OR(Z27=1,Z27=2),"    ",MAX($B$9:B26)+1))</f>
        <v/>
      </c>
      <c r="C27" s="1116" t="str">
        <f t="shared" si="0"/>
        <v/>
      </c>
      <c r="D27" s="1116"/>
      <c r="E27" s="1116"/>
      <c r="F27" s="1117"/>
      <c r="G27" s="763" t="str">
        <f t="shared" si="1"/>
        <v/>
      </c>
      <c r="H27" s="764" t="str">
        <f t="shared" si="2"/>
        <v/>
      </c>
      <c r="I27" s="784" t="str">
        <f t="shared" si="2"/>
        <v/>
      </c>
      <c r="J27" s="793"/>
      <c r="K27" s="794"/>
      <c r="L27" s="1134"/>
      <c r="M27" s="1135"/>
      <c r="N27" s="1135"/>
      <c r="O27" s="1135"/>
      <c r="P27" s="1135"/>
      <c r="Q27" s="1135"/>
      <c r="R27" s="1136"/>
      <c r="T27" s="727">
        <v>19</v>
      </c>
      <c r="U27" s="716" t="e">
        <v>#N/A</v>
      </c>
      <c r="V27" s="768" t="e">
        <v>#N/A</v>
      </c>
      <c r="W27" s="768" t="e">
        <v>#N/A</v>
      </c>
      <c r="X27" s="768" t="e">
        <v>#N/A</v>
      </c>
      <c r="Y27" s="768" t="e">
        <v>#N/A</v>
      </c>
      <c r="Z27" s="777" t="e">
        <v>#N/A</v>
      </c>
      <c r="AA27" s="777" t="e">
        <v>#N/A</v>
      </c>
      <c r="AB27" s="777" t="e">
        <v>#N/A</v>
      </c>
      <c r="AC27" s="768" t="e">
        <v>#N/A</v>
      </c>
      <c r="AD27" s="768" t="e">
        <v>#N/A</v>
      </c>
      <c r="AE27" s="768" t="e">
        <v>#N/A</v>
      </c>
      <c r="AF27" s="768" t="e">
        <v>#N/A</v>
      </c>
      <c r="AG27" s="768" t="e">
        <f t="shared" si="3"/>
        <v>#N/A</v>
      </c>
      <c r="AH27" s="768" t="str">
        <f t="shared" si="4"/>
        <v/>
      </c>
      <c r="AI27" s="769" t="e">
        <f>IF(NOT(OR(Z27=1,Z27=2)),IF(AQ27&gt;0,$AR$45*AQ27/SUMIF($AQ$9:$AQ$40,"&gt;0"),IF(AU27&gt;0,$AV$45*AU27/SUMIF($AU$9:$AU$40,"&gt;0"),IF(AS27&gt;0,$AT$45*AS27/SUMIF($AS$9:$AS$40,"&gt;0"),""))),IF(SUMIF(AJ28:$AJ$40,"=" &amp; AJ27,AI28:$AI$40)=0,"",SUMIF(AJ28:$AJ$40,"=" &amp; AJ27,AI28:$AI$40)))</f>
        <v>#N/A</v>
      </c>
      <c r="AJ27" s="770" t="e">
        <f t="shared" si="34"/>
        <v>#N/A</v>
      </c>
      <c r="AK27" s="768" t="str">
        <f t="shared" si="27"/>
        <v/>
      </c>
      <c r="AL27" s="777" t="str">
        <f t="shared" si="28"/>
        <v/>
      </c>
      <c r="AM27" s="777" t="str">
        <f t="shared" si="35"/>
        <v/>
      </c>
      <c r="AN27" s="777" t="str">
        <f t="shared" si="5"/>
        <v/>
      </c>
      <c r="AO27" s="777" t="e">
        <f t="shared" si="6"/>
        <v>#N/A</v>
      </c>
      <c r="AP27" s="768" t="str">
        <f t="shared" si="7"/>
        <v/>
      </c>
      <c r="AQ27" s="771">
        <f t="shared" si="29"/>
        <v>0</v>
      </c>
      <c r="AR27" s="772" t="str">
        <f t="shared" si="8"/>
        <v/>
      </c>
      <c r="AS27" s="773">
        <f t="shared" si="30"/>
        <v>0</v>
      </c>
      <c r="AT27" s="772" t="str">
        <f t="shared" si="9"/>
        <v/>
      </c>
      <c r="AU27" s="774">
        <f t="shared" si="10"/>
        <v>0</v>
      </c>
      <c r="AV27" s="775" t="str">
        <f t="shared" si="11"/>
        <v/>
      </c>
      <c r="AW27" s="774" t="b">
        <f t="shared" si="12"/>
        <v>0</v>
      </c>
      <c r="AX27" s="776" t="b">
        <f t="shared" si="13"/>
        <v>0</v>
      </c>
      <c r="AY27" s="774" t="b">
        <f t="shared" si="14"/>
        <v>0</v>
      </c>
      <c r="AZ27" s="776" t="b">
        <f t="shared" si="15"/>
        <v>0</v>
      </c>
      <c r="BA27" s="768" t="b">
        <f t="shared" si="16"/>
        <v>0</v>
      </c>
      <c r="BB27" s="768" t="b">
        <f t="shared" si="17"/>
        <v>0</v>
      </c>
      <c r="BC27" s="774" t="b">
        <f t="shared" si="18"/>
        <v>0</v>
      </c>
      <c r="BD27" s="777" t="b">
        <f t="shared" si="31"/>
        <v>0</v>
      </c>
      <c r="BE27" s="776" t="b">
        <f t="shared" si="37"/>
        <v>0</v>
      </c>
      <c r="BF27" s="778" t="b">
        <f t="shared" si="20"/>
        <v>0</v>
      </c>
      <c r="BG27" s="779" t="str">
        <f t="shared" si="38"/>
        <v>NA</v>
      </c>
      <c r="BH27" s="779" t="str">
        <f t="shared" si="32"/>
        <v/>
      </c>
      <c r="BI27" s="779" t="str">
        <f t="shared" si="22"/>
        <v/>
      </c>
      <c r="BJ27" s="779" t="str">
        <f t="shared" si="23"/>
        <v/>
      </c>
      <c r="BK27" s="779" t="str">
        <f t="shared" si="24"/>
        <v/>
      </c>
      <c r="BL27" s="780" t="str">
        <f t="shared" si="33"/>
        <v/>
      </c>
      <c r="BM27" s="779" t="str">
        <f t="shared" si="25"/>
        <v/>
      </c>
      <c r="BN27" s="779" t="str">
        <f t="shared" si="26"/>
        <v/>
      </c>
      <c r="BO27" s="1141"/>
      <c r="BP27" s="791" t="s">
        <v>364</v>
      </c>
      <c r="BQ27" s="799">
        <f t="shared" si="36"/>
        <v>0.6</v>
      </c>
      <c r="BR27" s="800">
        <f t="shared" si="36"/>
        <v>0.7</v>
      </c>
      <c r="BS27" s="800">
        <f t="shared" si="36"/>
        <v>0.8</v>
      </c>
      <c r="BT27" s="800">
        <f t="shared" si="36"/>
        <v>0.9</v>
      </c>
      <c r="BU27" s="801">
        <f t="shared" si="36"/>
        <v>1</v>
      </c>
    </row>
    <row r="28" spans="2:75" s="731" customFormat="1" ht="12.95" customHeight="1" x14ac:dyDescent="0.25">
      <c r="B28" s="783" t="str">
        <f>IF(ISNA(Z28),"",IF(OR(Z28=1,Z28=2),"    ",MAX($B$9:B27)+1))</f>
        <v/>
      </c>
      <c r="C28" s="1116" t="str">
        <f t="shared" si="0"/>
        <v/>
      </c>
      <c r="D28" s="1116"/>
      <c r="E28" s="1116"/>
      <c r="F28" s="1117"/>
      <c r="G28" s="763" t="str">
        <f t="shared" si="1"/>
        <v/>
      </c>
      <c r="H28" s="764" t="str">
        <f t="shared" si="2"/>
        <v/>
      </c>
      <c r="I28" s="784" t="str">
        <f t="shared" si="2"/>
        <v/>
      </c>
      <c r="J28" s="793"/>
      <c r="K28" s="794"/>
      <c r="L28" s="1134"/>
      <c r="M28" s="1135"/>
      <c r="N28" s="1135"/>
      <c r="O28" s="1135"/>
      <c r="P28" s="1135"/>
      <c r="Q28" s="1135"/>
      <c r="R28" s="1136"/>
      <c r="T28" s="727">
        <v>20</v>
      </c>
      <c r="U28" s="716" t="e">
        <v>#N/A</v>
      </c>
      <c r="V28" s="768" t="e">
        <v>#N/A</v>
      </c>
      <c r="W28" s="768" t="e">
        <v>#N/A</v>
      </c>
      <c r="X28" s="768" t="e">
        <v>#N/A</v>
      </c>
      <c r="Y28" s="768" t="e">
        <v>#N/A</v>
      </c>
      <c r="Z28" s="777" t="e">
        <v>#N/A</v>
      </c>
      <c r="AA28" s="777" t="e">
        <v>#N/A</v>
      </c>
      <c r="AB28" s="777" t="e">
        <v>#N/A</v>
      </c>
      <c r="AC28" s="768" t="e">
        <v>#N/A</v>
      </c>
      <c r="AD28" s="768" t="e">
        <v>#N/A</v>
      </c>
      <c r="AE28" s="768" t="e">
        <v>#N/A</v>
      </c>
      <c r="AF28" s="768" t="e">
        <v>#N/A</v>
      </c>
      <c r="AG28" s="768" t="e">
        <f t="shared" si="3"/>
        <v>#N/A</v>
      </c>
      <c r="AH28" s="768" t="str">
        <f t="shared" si="4"/>
        <v/>
      </c>
      <c r="AI28" s="769" t="e">
        <f>IF(NOT(OR(Z28=1,Z28=2)),IF(AQ28&gt;0,$AR$45*AQ28/SUMIF($AQ$9:$AQ$40,"&gt;0"),IF(AU28&gt;0,$AV$45*AU28/SUMIF($AU$9:$AU$40,"&gt;0"),IF(AS28&gt;0,$AT$45*AS28/SUMIF($AS$9:$AS$40,"&gt;0"),""))),IF(SUMIF(AJ29:$AJ$40,"=" &amp; AJ28,AI29:$AI$40)=0,"",SUMIF(AJ29:$AJ$40,"=" &amp; AJ28,AI29:$AI$40)))</f>
        <v>#N/A</v>
      </c>
      <c r="AJ28" s="770" t="e">
        <f t="shared" si="34"/>
        <v>#N/A</v>
      </c>
      <c r="AK28" s="768" t="str">
        <f t="shared" si="27"/>
        <v/>
      </c>
      <c r="AL28" s="777" t="str">
        <f t="shared" si="28"/>
        <v/>
      </c>
      <c r="AM28" s="777" t="str">
        <f t="shared" si="35"/>
        <v/>
      </c>
      <c r="AN28" s="777" t="str">
        <f t="shared" si="5"/>
        <v/>
      </c>
      <c r="AO28" s="777" t="e">
        <f t="shared" si="6"/>
        <v>#N/A</v>
      </c>
      <c r="AP28" s="768" t="str">
        <f t="shared" si="7"/>
        <v/>
      </c>
      <c r="AQ28" s="771">
        <f t="shared" si="29"/>
        <v>0</v>
      </c>
      <c r="AR28" s="772" t="str">
        <f t="shared" si="8"/>
        <v/>
      </c>
      <c r="AS28" s="773">
        <f t="shared" si="30"/>
        <v>0</v>
      </c>
      <c r="AT28" s="772" t="str">
        <f t="shared" si="9"/>
        <v/>
      </c>
      <c r="AU28" s="774">
        <f t="shared" si="10"/>
        <v>0</v>
      </c>
      <c r="AV28" s="775" t="str">
        <f t="shared" si="11"/>
        <v/>
      </c>
      <c r="AW28" s="774" t="b">
        <f t="shared" si="12"/>
        <v>0</v>
      </c>
      <c r="AX28" s="776" t="b">
        <f t="shared" si="13"/>
        <v>0</v>
      </c>
      <c r="AY28" s="774" t="b">
        <f t="shared" si="14"/>
        <v>0</v>
      </c>
      <c r="AZ28" s="776" t="b">
        <f t="shared" si="15"/>
        <v>0</v>
      </c>
      <c r="BA28" s="768" t="b">
        <f t="shared" si="16"/>
        <v>0</v>
      </c>
      <c r="BB28" s="768" t="b">
        <f t="shared" si="17"/>
        <v>0</v>
      </c>
      <c r="BC28" s="774" t="b">
        <f t="shared" si="18"/>
        <v>0</v>
      </c>
      <c r="BD28" s="777" t="b">
        <f t="shared" si="31"/>
        <v>0</v>
      </c>
      <c r="BE28" s="776" t="b">
        <f t="shared" si="37"/>
        <v>0</v>
      </c>
      <c r="BF28" s="778" t="b">
        <f t="shared" si="20"/>
        <v>0</v>
      </c>
      <c r="BG28" s="779" t="str">
        <f t="shared" si="38"/>
        <v>NA</v>
      </c>
      <c r="BH28" s="779" t="str">
        <f t="shared" si="32"/>
        <v/>
      </c>
      <c r="BI28" s="779" t="str">
        <f t="shared" si="22"/>
        <v/>
      </c>
      <c r="BJ28" s="779" t="str">
        <f t="shared" si="23"/>
        <v/>
      </c>
      <c r="BK28" s="779" t="str">
        <f t="shared" si="24"/>
        <v/>
      </c>
      <c r="BL28" s="780" t="str">
        <f t="shared" si="33"/>
        <v/>
      </c>
      <c r="BM28" s="779" t="str">
        <f t="shared" si="25"/>
        <v/>
      </c>
      <c r="BN28" s="779" t="str">
        <f t="shared" si="26"/>
        <v/>
      </c>
      <c r="BO28" s="1141"/>
      <c r="BP28" s="791" t="s">
        <v>365</v>
      </c>
      <c r="BQ28" s="799">
        <f t="shared" si="36"/>
        <v>0.3</v>
      </c>
      <c r="BR28" s="800">
        <f t="shared" si="36"/>
        <v>0.6</v>
      </c>
      <c r="BS28" s="800">
        <f t="shared" si="36"/>
        <v>0.9</v>
      </c>
      <c r="BT28" s="800">
        <f t="shared" si="36"/>
        <v>0.95</v>
      </c>
      <c r="BU28" s="801">
        <f t="shared" si="36"/>
        <v>1</v>
      </c>
    </row>
    <row r="29" spans="2:75" s="731" customFormat="1" ht="12.95" customHeight="1" x14ac:dyDescent="0.25">
      <c r="B29" s="783" t="str">
        <f>IF(ISNA(Z29),"",IF(OR(Z29=1,Z29=2),"    ",MAX($B$9:B28)+1))</f>
        <v/>
      </c>
      <c r="C29" s="1116" t="str">
        <f t="shared" si="0"/>
        <v/>
      </c>
      <c r="D29" s="1116"/>
      <c r="E29" s="1116"/>
      <c r="F29" s="1117"/>
      <c r="G29" s="763" t="str">
        <f t="shared" si="1"/>
        <v/>
      </c>
      <c r="H29" s="764" t="str">
        <f t="shared" si="2"/>
        <v/>
      </c>
      <c r="I29" s="784" t="str">
        <f t="shared" si="2"/>
        <v/>
      </c>
      <c r="J29" s="793"/>
      <c r="K29" s="794"/>
      <c r="L29" s="1134"/>
      <c r="M29" s="1135"/>
      <c r="N29" s="1135"/>
      <c r="O29" s="1135"/>
      <c r="P29" s="1135"/>
      <c r="Q29" s="1135"/>
      <c r="R29" s="1136"/>
      <c r="T29" s="727">
        <v>21</v>
      </c>
      <c r="U29" s="716" t="e">
        <v>#N/A</v>
      </c>
      <c r="V29" s="768" t="e">
        <v>#N/A</v>
      </c>
      <c r="W29" s="768" t="e">
        <v>#N/A</v>
      </c>
      <c r="X29" s="768" t="e">
        <v>#N/A</v>
      </c>
      <c r="Y29" s="768" t="e">
        <v>#N/A</v>
      </c>
      <c r="Z29" s="777" t="e">
        <v>#N/A</v>
      </c>
      <c r="AA29" s="777" t="e">
        <v>#N/A</v>
      </c>
      <c r="AB29" s="777" t="e">
        <v>#N/A</v>
      </c>
      <c r="AC29" s="768" t="e">
        <v>#N/A</v>
      </c>
      <c r="AD29" s="768" t="e">
        <v>#N/A</v>
      </c>
      <c r="AE29" s="768" t="e">
        <v>#N/A</v>
      </c>
      <c r="AF29" s="768" t="e">
        <v>#N/A</v>
      </c>
      <c r="AG29" s="768" t="e">
        <f t="shared" si="3"/>
        <v>#N/A</v>
      </c>
      <c r="AH29" s="768" t="str">
        <f t="shared" si="4"/>
        <v/>
      </c>
      <c r="AI29" s="769" t="e">
        <f>IF(NOT(OR(Z29=1,Z29=2)),IF(AQ29&gt;0,$AR$45*AQ29/SUMIF($AQ$9:$AQ$40,"&gt;0"),IF(AU29&gt;0,$AV$45*AU29/SUMIF($AU$9:$AU$40,"&gt;0"),IF(AS29&gt;0,$AT$45*AS29/SUMIF($AS$9:$AS$40,"&gt;0"),""))),IF(SUMIF(AJ30:$AJ$40,"=" &amp; AJ29,AI30:$AI$40)=0,"",SUMIF(AJ30:$AJ$40,"=" &amp; AJ29,AI30:$AI$40)))</f>
        <v>#N/A</v>
      </c>
      <c r="AJ29" s="770" t="e">
        <f t="shared" si="34"/>
        <v>#N/A</v>
      </c>
      <c r="AK29" s="768" t="str">
        <f t="shared" si="27"/>
        <v/>
      </c>
      <c r="AL29" s="777" t="str">
        <f t="shared" si="28"/>
        <v/>
      </c>
      <c r="AM29" s="777" t="str">
        <f t="shared" si="35"/>
        <v/>
      </c>
      <c r="AN29" s="777" t="str">
        <f t="shared" si="5"/>
        <v/>
      </c>
      <c r="AO29" s="777" t="e">
        <f t="shared" si="6"/>
        <v>#N/A</v>
      </c>
      <c r="AP29" s="768" t="str">
        <f t="shared" si="7"/>
        <v/>
      </c>
      <c r="AQ29" s="771">
        <f t="shared" si="29"/>
        <v>0</v>
      </c>
      <c r="AR29" s="772" t="str">
        <f t="shared" si="8"/>
        <v/>
      </c>
      <c r="AS29" s="773">
        <f t="shared" si="30"/>
        <v>0</v>
      </c>
      <c r="AT29" s="772" t="str">
        <f t="shared" si="9"/>
        <v/>
      </c>
      <c r="AU29" s="774">
        <f t="shared" si="10"/>
        <v>0</v>
      </c>
      <c r="AV29" s="775" t="str">
        <f t="shared" si="11"/>
        <v/>
      </c>
      <c r="AW29" s="774" t="b">
        <f t="shared" si="12"/>
        <v>0</v>
      </c>
      <c r="AX29" s="776" t="b">
        <f t="shared" si="13"/>
        <v>0</v>
      </c>
      <c r="AY29" s="774" t="b">
        <f t="shared" si="14"/>
        <v>0</v>
      </c>
      <c r="AZ29" s="776" t="b">
        <f t="shared" si="15"/>
        <v>0</v>
      </c>
      <c r="BA29" s="768" t="b">
        <f t="shared" si="16"/>
        <v>0</v>
      </c>
      <c r="BB29" s="768" t="b">
        <f t="shared" si="17"/>
        <v>0</v>
      </c>
      <c r="BC29" s="774" t="b">
        <f t="shared" si="18"/>
        <v>0</v>
      </c>
      <c r="BD29" s="777" t="b">
        <f t="shared" si="31"/>
        <v>0</v>
      </c>
      <c r="BE29" s="776" t="b">
        <f t="shared" si="37"/>
        <v>0</v>
      </c>
      <c r="BF29" s="778" t="b">
        <f t="shared" si="20"/>
        <v>0</v>
      </c>
      <c r="BG29" s="779" t="str">
        <f t="shared" si="38"/>
        <v>NA</v>
      </c>
      <c r="BH29" s="779" t="str">
        <f t="shared" si="32"/>
        <v/>
      </c>
      <c r="BI29" s="779" t="str">
        <f t="shared" si="22"/>
        <v/>
      </c>
      <c r="BJ29" s="779" t="str">
        <f t="shared" si="23"/>
        <v/>
      </c>
      <c r="BK29" s="779" t="str">
        <f t="shared" si="24"/>
        <v/>
      </c>
      <c r="BL29" s="780" t="str">
        <f t="shared" si="33"/>
        <v/>
      </c>
      <c r="BM29" s="779" t="str">
        <f t="shared" si="25"/>
        <v/>
      </c>
      <c r="BN29" s="779" t="str">
        <f t="shared" si="26"/>
        <v/>
      </c>
      <c r="BO29" s="1141"/>
      <c r="BP29" s="791" t="s">
        <v>366</v>
      </c>
      <c r="BQ29" s="799">
        <f t="shared" si="36"/>
        <v>0.3</v>
      </c>
      <c r="BR29" s="800">
        <f t="shared" si="36"/>
        <v>0.6</v>
      </c>
      <c r="BS29" s="800">
        <f t="shared" si="36"/>
        <v>0.7</v>
      </c>
      <c r="BT29" s="800">
        <f t="shared" si="36"/>
        <v>0.9</v>
      </c>
      <c r="BU29" s="801">
        <f t="shared" si="36"/>
        <v>1</v>
      </c>
    </row>
    <row r="30" spans="2:75" s="731" customFormat="1" ht="12.95" customHeight="1" x14ac:dyDescent="0.25">
      <c r="B30" s="783" t="str">
        <f>IF(ISNA(Z30),"",IF(OR(Z30=1,Z30=2),"    ",MAX($B$9:B29)+1))</f>
        <v/>
      </c>
      <c r="C30" s="1116" t="str">
        <f t="shared" si="0"/>
        <v/>
      </c>
      <c r="D30" s="1116"/>
      <c r="E30" s="1116"/>
      <c r="F30" s="1117"/>
      <c r="G30" s="763" t="str">
        <f t="shared" si="1"/>
        <v/>
      </c>
      <c r="H30" s="764" t="str">
        <f t="shared" si="2"/>
        <v/>
      </c>
      <c r="I30" s="784" t="str">
        <f t="shared" si="2"/>
        <v/>
      </c>
      <c r="J30" s="793"/>
      <c r="K30" s="794"/>
      <c r="L30" s="1134"/>
      <c r="M30" s="1135"/>
      <c r="N30" s="1135"/>
      <c r="O30" s="1135"/>
      <c r="P30" s="1135"/>
      <c r="Q30" s="1135"/>
      <c r="R30" s="1136"/>
      <c r="T30" s="727">
        <v>22</v>
      </c>
      <c r="U30" s="716" t="e">
        <v>#N/A</v>
      </c>
      <c r="V30" s="768" t="e">
        <v>#N/A</v>
      </c>
      <c r="W30" s="768" t="e">
        <v>#N/A</v>
      </c>
      <c r="X30" s="768" t="e">
        <v>#N/A</v>
      </c>
      <c r="Y30" s="768" t="e">
        <v>#N/A</v>
      </c>
      <c r="Z30" s="777" t="e">
        <v>#N/A</v>
      </c>
      <c r="AA30" s="777" t="e">
        <v>#N/A</v>
      </c>
      <c r="AB30" s="777" t="e">
        <v>#N/A</v>
      </c>
      <c r="AC30" s="768" t="e">
        <v>#N/A</v>
      </c>
      <c r="AD30" s="768" t="e">
        <v>#N/A</v>
      </c>
      <c r="AE30" s="768" t="e">
        <v>#N/A</v>
      </c>
      <c r="AF30" s="768" t="e">
        <v>#N/A</v>
      </c>
      <c r="AG30" s="768" t="e">
        <f t="shared" si="3"/>
        <v>#N/A</v>
      </c>
      <c r="AH30" s="768" t="str">
        <f t="shared" si="4"/>
        <v/>
      </c>
      <c r="AI30" s="769" t="e">
        <f>IF(NOT(OR(Z30=1,Z30=2)),IF(AQ30&gt;0,$AR$45*AQ30/SUMIF($AQ$9:$AQ$40,"&gt;0"),IF(AU30&gt;0,$AV$45*AU30/SUMIF($AU$9:$AU$40,"&gt;0"),IF(AS30&gt;0,$AT$45*AS30/SUMIF($AS$9:$AS$40,"&gt;0"),""))),IF(SUMIF(AJ31:$AJ$40,"=" &amp; AJ30,AI31:$AI$40)=0,"",SUMIF(AJ31:$AJ$40,"=" &amp; AJ30,AI31:$AI$40)))</f>
        <v>#N/A</v>
      </c>
      <c r="AJ30" s="770" t="e">
        <f t="shared" si="34"/>
        <v>#N/A</v>
      </c>
      <c r="AK30" s="768" t="str">
        <f t="shared" si="27"/>
        <v/>
      </c>
      <c r="AL30" s="777" t="str">
        <f t="shared" si="28"/>
        <v/>
      </c>
      <c r="AM30" s="777" t="str">
        <f t="shared" si="35"/>
        <v/>
      </c>
      <c r="AN30" s="777" t="str">
        <f t="shared" si="5"/>
        <v/>
      </c>
      <c r="AO30" s="777" t="e">
        <f t="shared" si="6"/>
        <v>#N/A</v>
      </c>
      <c r="AP30" s="768" t="str">
        <f t="shared" si="7"/>
        <v/>
      </c>
      <c r="AQ30" s="771">
        <f t="shared" si="29"/>
        <v>0</v>
      </c>
      <c r="AR30" s="772" t="str">
        <f t="shared" si="8"/>
        <v/>
      </c>
      <c r="AS30" s="773">
        <f t="shared" si="30"/>
        <v>0</v>
      </c>
      <c r="AT30" s="772" t="str">
        <f t="shared" si="9"/>
        <v/>
      </c>
      <c r="AU30" s="774">
        <f t="shared" si="10"/>
        <v>0</v>
      </c>
      <c r="AV30" s="775" t="str">
        <f t="shared" si="11"/>
        <v/>
      </c>
      <c r="AW30" s="774" t="b">
        <f t="shared" si="12"/>
        <v>0</v>
      </c>
      <c r="AX30" s="776" t="b">
        <f t="shared" si="13"/>
        <v>0</v>
      </c>
      <c r="AY30" s="774" t="b">
        <f t="shared" si="14"/>
        <v>0</v>
      </c>
      <c r="AZ30" s="776" t="b">
        <f t="shared" si="15"/>
        <v>0</v>
      </c>
      <c r="BA30" s="768" t="b">
        <f t="shared" si="16"/>
        <v>0</v>
      </c>
      <c r="BB30" s="768" t="b">
        <f t="shared" si="17"/>
        <v>0</v>
      </c>
      <c r="BC30" s="774" t="b">
        <f t="shared" si="18"/>
        <v>0</v>
      </c>
      <c r="BD30" s="777" t="b">
        <f t="shared" si="31"/>
        <v>0</v>
      </c>
      <c r="BE30" s="776" t="b">
        <f t="shared" si="37"/>
        <v>0</v>
      </c>
      <c r="BF30" s="778" t="b">
        <f t="shared" si="20"/>
        <v>0</v>
      </c>
      <c r="BG30" s="779" t="str">
        <f t="shared" si="38"/>
        <v>NA</v>
      </c>
      <c r="BH30" s="779" t="str">
        <f t="shared" si="32"/>
        <v/>
      </c>
      <c r="BI30" s="779" t="str">
        <f t="shared" si="22"/>
        <v/>
      </c>
      <c r="BJ30" s="779" t="str">
        <f t="shared" si="23"/>
        <v/>
      </c>
      <c r="BK30" s="779" t="str">
        <f t="shared" si="24"/>
        <v/>
      </c>
      <c r="BL30" s="780" t="str">
        <f t="shared" si="33"/>
        <v/>
      </c>
      <c r="BM30" s="779" t="str">
        <f t="shared" si="25"/>
        <v/>
      </c>
      <c r="BN30" s="779" t="str">
        <f t="shared" si="26"/>
        <v/>
      </c>
      <c r="BO30" s="1141"/>
      <c r="BP30" s="791" t="s">
        <v>367</v>
      </c>
      <c r="BQ30" s="803">
        <f t="shared" si="36"/>
        <v>0</v>
      </c>
      <c r="BR30" s="804">
        <f t="shared" si="36"/>
        <v>0.3</v>
      </c>
      <c r="BS30" s="804">
        <f t="shared" si="36"/>
        <v>0.6</v>
      </c>
      <c r="BT30" s="804">
        <f t="shared" si="36"/>
        <v>0.9</v>
      </c>
      <c r="BU30" s="805">
        <f t="shared" si="36"/>
        <v>1</v>
      </c>
    </row>
    <row r="31" spans="2:75" s="731" customFormat="1" ht="12.95" customHeight="1" x14ac:dyDescent="0.25">
      <c r="B31" s="783" t="str">
        <f>IF(ISNA(Z31),"",IF(OR(Z31=1,Z31=2),"    ",MAX($B$9:B30)+1))</f>
        <v/>
      </c>
      <c r="C31" s="1116" t="str">
        <f t="shared" si="0"/>
        <v/>
      </c>
      <c r="D31" s="1116"/>
      <c r="E31" s="1116"/>
      <c r="F31" s="1117"/>
      <c r="G31" s="763" t="str">
        <f t="shared" si="1"/>
        <v/>
      </c>
      <c r="H31" s="764" t="str">
        <f t="shared" si="2"/>
        <v/>
      </c>
      <c r="I31" s="784" t="str">
        <f t="shared" si="2"/>
        <v/>
      </c>
      <c r="J31" s="793"/>
      <c r="K31" s="794"/>
      <c r="L31" s="1134"/>
      <c r="M31" s="1135"/>
      <c r="N31" s="1135"/>
      <c r="O31" s="1135"/>
      <c r="P31" s="1135"/>
      <c r="Q31" s="1135"/>
      <c r="R31" s="1136"/>
      <c r="T31" s="727">
        <v>23</v>
      </c>
      <c r="U31" s="716" t="e">
        <v>#N/A</v>
      </c>
      <c r="V31" s="768" t="e">
        <v>#N/A</v>
      </c>
      <c r="W31" s="768" t="e">
        <v>#N/A</v>
      </c>
      <c r="X31" s="768" t="e">
        <v>#N/A</v>
      </c>
      <c r="Y31" s="768" t="e">
        <v>#N/A</v>
      </c>
      <c r="Z31" s="777" t="e">
        <v>#N/A</v>
      </c>
      <c r="AA31" s="777" t="e">
        <v>#N/A</v>
      </c>
      <c r="AB31" s="777" t="e">
        <v>#N/A</v>
      </c>
      <c r="AC31" s="768" t="e">
        <v>#N/A</v>
      </c>
      <c r="AD31" s="768" t="e">
        <v>#N/A</v>
      </c>
      <c r="AE31" s="768" t="e">
        <v>#N/A</v>
      </c>
      <c r="AF31" s="768" t="e">
        <v>#N/A</v>
      </c>
      <c r="AG31" s="768" t="e">
        <f t="shared" si="3"/>
        <v>#N/A</v>
      </c>
      <c r="AH31" s="768" t="str">
        <f t="shared" si="4"/>
        <v/>
      </c>
      <c r="AI31" s="769" t="e">
        <f>IF(NOT(OR(Z31=1,Z31=2)),IF(AQ31&gt;0,$AR$45*AQ31/SUMIF($AQ$9:$AQ$40,"&gt;0"),IF(AU31&gt;0,$AV$45*AU31/SUMIF($AU$9:$AU$40,"&gt;0"),IF(AS31&gt;0,$AT$45*AS31/SUMIF($AS$9:$AS$40,"&gt;0"),""))),IF(SUMIF(AJ32:$AJ$40,"=" &amp; AJ31,AI32:$AI$40)=0,"",SUMIF(AJ32:$AJ$40,"=" &amp; AJ31,AI32:$AI$40)))</f>
        <v>#N/A</v>
      </c>
      <c r="AJ31" s="770" t="e">
        <f t="shared" si="34"/>
        <v>#N/A</v>
      </c>
      <c r="AK31" s="768" t="str">
        <f t="shared" si="27"/>
        <v/>
      </c>
      <c r="AL31" s="777" t="str">
        <f t="shared" si="28"/>
        <v/>
      </c>
      <c r="AM31" s="777" t="str">
        <f t="shared" si="35"/>
        <v/>
      </c>
      <c r="AN31" s="777" t="str">
        <f t="shared" si="5"/>
        <v/>
      </c>
      <c r="AO31" s="777" t="e">
        <f t="shared" si="6"/>
        <v>#N/A</v>
      </c>
      <c r="AP31" s="768" t="str">
        <f t="shared" si="7"/>
        <v/>
      </c>
      <c r="AQ31" s="771">
        <f t="shared" si="29"/>
        <v>0</v>
      </c>
      <c r="AR31" s="772" t="str">
        <f t="shared" si="8"/>
        <v/>
      </c>
      <c r="AS31" s="773">
        <f t="shared" si="30"/>
        <v>0</v>
      </c>
      <c r="AT31" s="772" t="str">
        <f t="shared" si="9"/>
        <v/>
      </c>
      <c r="AU31" s="774">
        <f t="shared" si="10"/>
        <v>0</v>
      </c>
      <c r="AV31" s="775" t="str">
        <f t="shared" si="11"/>
        <v/>
      </c>
      <c r="AW31" s="774" t="b">
        <f t="shared" si="12"/>
        <v>0</v>
      </c>
      <c r="AX31" s="776" t="b">
        <f t="shared" si="13"/>
        <v>0</v>
      </c>
      <c r="AY31" s="774" t="b">
        <f t="shared" si="14"/>
        <v>0</v>
      </c>
      <c r="AZ31" s="776" t="b">
        <f t="shared" si="15"/>
        <v>0</v>
      </c>
      <c r="BA31" s="768" t="b">
        <f t="shared" si="16"/>
        <v>0</v>
      </c>
      <c r="BB31" s="768" t="b">
        <f t="shared" si="17"/>
        <v>0</v>
      </c>
      <c r="BC31" s="774" t="b">
        <f t="shared" si="18"/>
        <v>0</v>
      </c>
      <c r="BD31" s="777" t="b">
        <f t="shared" si="31"/>
        <v>0</v>
      </c>
      <c r="BE31" s="776" t="b">
        <f t="shared" si="37"/>
        <v>0</v>
      </c>
      <c r="BF31" s="778" t="b">
        <f t="shared" si="20"/>
        <v>0</v>
      </c>
      <c r="BG31" s="779" t="str">
        <f t="shared" si="38"/>
        <v>NA</v>
      </c>
      <c r="BH31" s="779" t="str">
        <f t="shared" si="32"/>
        <v/>
      </c>
      <c r="BI31" s="779" t="str">
        <f t="shared" si="22"/>
        <v/>
      </c>
      <c r="BJ31" s="779" t="str">
        <f t="shared" si="23"/>
        <v/>
      </c>
      <c r="BK31" s="779" t="str">
        <f t="shared" si="24"/>
        <v/>
      </c>
      <c r="BL31" s="780" t="str">
        <f t="shared" si="33"/>
        <v/>
      </c>
      <c r="BM31" s="779" t="str">
        <f t="shared" si="25"/>
        <v/>
      </c>
      <c r="BN31" s="779" t="str">
        <f t="shared" si="26"/>
        <v/>
      </c>
      <c r="BO31" s="719"/>
    </row>
    <row r="32" spans="2:75" s="731" customFormat="1" ht="12.95" customHeight="1" x14ac:dyDescent="0.25">
      <c r="B32" s="783" t="str">
        <f>IF(ISNA(Z32),"",IF(OR(Z32=1,Z32=2),"    ",MAX($B$9:B31)+1))</f>
        <v/>
      </c>
      <c r="C32" s="1116" t="str">
        <f t="shared" si="0"/>
        <v/>
      </c>
      <c r="D32" s="1116"/>
      <c r="E32" s="1116"/>
      <c r="F32" s="1117"/>
      <c r="G32" s="763" t="str">
        <f t="shared" si="1"/>
        <v/>
      </c>
      <c r="H32" s="764" t="str">
        <f t="shared" si="2"/>
        <v/>
      </c>
      <c r="I32" s="784" t="str">
        <f t="shared" si="2"/>
        <v/>
      </c>
      <c r="J32" s="793"/>
      <c r="K32" s="794"/>
      <c r="L32" s="1134"/>
      <c r="M32" s="1135"/>
      <c r="N32" s="1135"/>
      <c r="O32" s="1135"/>
      <c r="P32" s="1135"/>
      <c r="Q32" s="1135"/>
      <c r="R32" s="1136"/>
      <c r="T32" s="727">
        <v>24</v>
      </c>
      <c r="U32" s="716" t="e">
        <v>#N/A</v>
      </c>
      <c r="V32" s="768" t="e">
        <v>#N/A</v>
      </c>
      <c r="W32" s="768" t="e">
        <v>#N/A</v>
      </c>
      <c r="X32" s="768" t="e">
        <v>#N/A</v>
      </c>
      <c r="Y32" s="768" t="e">
        <v>#N/A</v>
      </c>
      <c r="Z32" s="777" t="e">
        <v>#N/A</v>
      </c>
      <c r="AA32" s="777" t="e">
        <v>#N/A</v>
      </c>
      <c r="AB32" s="777" t="e">
        <v>#N/A</v>
      </c>
      <c r="AC32" s="768" t="e">
        <v>#N/A</v>
      </c>
      <c r="AD32" s="768" t="e">
        <v>#N/A</v>
      </c>
      <c r="AE32" s="768" t="e">
        <v>#N/A</v>
      </c>
      <c r="AF32" s="768" t="e">
        <v>#N/A</v>
      </c>
      <c r="AG32" s="768" t="e">
        <f t="shared" si="3"/>
        <v>#N/A</v>
      </c>
      <c r="AH32" s="768" t="str">
        <f t="shared" si="4"/>
        <v/>
      </c>
      <c r="AI32" s="769" t="e">
        <f>IF(NOT(OR(Z32=1,Z32=2)),IF(AQ32&gt;0,$AR$45*AQ32/SUMIF($AQ$9:$AQ$40,"&gt;0"),IF(AU32&gt;0,$AV$45*AU32/SUMIF($AU$9:$AU$40,"&gt;0"),IF(AS32&gt;0,$AT$45*AS32/SUMIF($AS$9:$AS$40,"&gt;0"),""))),IF(SUMIF(AJ33:$AJ$40,"=" &amp; AJ32,AI33:$AI$40)=0,"",SUMIF(AJ33:$AJ$40,"=" &amp; AJ32,AI33:$AI$40)))</f>
        <v>#N/A</v>
      </c>
      <c r="AJ32" s="770" t="e">
        <f t="shared" si="34"/>
        <v>#N/A</v>
      </c>
      <c r="AK32" s="768" t="str">
        <f t="shared" si="27"/>
        <v/>
      </c>
      <c r="AL32" s="777" t="str">
        <f t="shared" si="28"/>
        <v/>
      </c>
      <c r="AM32" s="777" t="str">
        <f t="shared" si="35"/>
        <v/>
      </c>
      <c r="AN32" s="777" t="str">
        <f t="shared" si="5"/>
        <v/>
      </c>
      <c r="AO32" s="777" t="e">
        <f t="shared" si="6"/>
        <v>#N/A</v>
      </c>
      <c r="AP32" s="768" t="str">
        <f t="shared" si="7"/>
        <v/>
      </c>
      <c r="AQ32" s="771">
        <f t="shared" si="29"/>
        <v>0</v>
      </c>
      <c r="AR32" s="772" t="str">
        <f t="shared" si="8"/>
        <v/>
      </c>
      <c r="AS32" s="773">
        <f t="shared" si="30"/>
        <v>0</v>
      </c>
      <c r="AT32" s="772" t="str">
        <f t="shared" si="9"/>
        <v/>
      </c>
      <c r="AU32" s="774">
        <f t="shared" si="10"/>
        <v>0</v>
      </c>
      <c r="AV32" s="775" t="str">
        <f t="shared" si="11"/>
        <v/>
      </c>
      <c r="AW32" s="774" t="b">
        <f t="shared" si="12"/>
        <v>0</v>
      </c>
      <c r="AX32" s="776" t="b">
        <f t="shared" si="13"/>
        <v>0</v>
      </c>
      <c r="AY32" s="774" t="b">
        <f t="shared" si="14"/>
        <v>0</v>
      </c>
      <c r="AZ32" s="776" t="b">
        <f t="shared" si="15"/>
        <v>0</v>
      </c>
      <c r="BA32" s="768" t="b">
        <f t="shared" si="16"/>
        <v>0</v>
      </c>
      <c r="BB32" s="768" t="b">
        <f t="shared" si="17"/>
        <v>0</v>
      </c>
      <c r="BC32" s="774" t="b">
        <f t="shared" si="18"/>
        <v>0</v>
      </c>
      <c r="BD32" s="777" t="b">
        <f>IF(OR(ISNA($Z32),ISNUMBER($Z32),NOT(ISNUMBER(K32))),FALSE,OR(NOT(ISNUMBER(J32)),J32=0,AND(J32=0,K32&lt;&gt;0)))</f>
        <v>0</v>
      </c>
      <c r="BE32" s="776" t="b">
        <f t="shared" si="37"/>
        <v>0</v>
      </c>
      <c r="BF32" s="778" t="b">
        <f>IF(OR(ISNA($Z32),H32&lt;&gt;"NG"),FALSE,IF(AND(J32="NA",K32&lt;&gt;""),TRUE,FALSE))</f>
        <v>0</v>
      </c>
      <c r="BG32" s="779" t="str">
        <f t="shared" si="38"/>
        <v>NA</v>
      </c>
      <c r="BH32" s="779" t="str">
        <f t="shared" si="32"/>
        <v/>
      </c>
      <c r="BI32" s="779" t="str">
        <f t="shared" si="22"/>
        <v/>
      </c>
      <c r="BJ32" s="779" t="str">
        <f t="shared" si="23"/>
        <v/>
      </c>
      <c r="BK32" s="779" t="str">
        <f t="shared" si="24"/>
        <v/>
      </c>
      <c r="BL32" s="780" t="str">
        <f t="shared" si="33"/>
        <v/>
      </c>
      <c r="BM32" s="779" t="str">
        <f t="shared" si="25"/>
        <v/>
      </c>
      <c r="BN32" s="779" t="str">
        <f t="shared" si="26"/>
        <v/>
      </c>
      <c r="BO32" s="787" t="s">
        <v>368</v>
      </c>
      <c r="BP32" s="792" t="s">
        <v>369</v>
      </c>
    </row>
    <row r="33" spans="2:73 1271:1271" s="731" customFormat="1" ht="12.95" customHeight="1" x14ac:dyDescent="0.25">
      <c r="B33" s="783" t="str">
        <f>IF(ISNA(Z33),"",IF(OR(Z33=1,Z33=2),"    ",MAX($B$9:B32)+1))</f>
        <v/>
      </c>
      <c r="C33" s="1116" t="str">
        <f t="shared" si="0"/>
        <v/>
      </c>
      <c r="D33" s="1116"/>
      <c r="E33" s="1116"/>
      <c r="F33" s="1117"/>
      <c r="G33" s="763" t="str">
        <f t="shared" si="1"/>
        <v/>
      </c>
      <c r="H33" s="764" t="str">
        <f t="shared" si="2"/>
        <v/>
      </c>
      <c r="I33" s="784" t="str">
        <f t="shared" si="2"/>
        <v/>
      </c>
      <c r="J33" s="793"/>
      <c r="K33" s="794"/>
      <c r="L33" s="1134"/>
      <c r="M33" s="1135"/>
      <c r="N33" s="1135"/>
      <c r="O33" s="1135"/>
      <c r="P33" s="1135"/>
      <c r="Q33" s="1135"/>
      <c r="R33" s="1136"/>
      <c r="T33" s="727">
        <v>25</v>
      </c>
      <c r="U33" s="716" t="e">
        <v>#N/A</v>
      </c>
      <c r="V33" s="768" t="e">
        <v>#N/A</v>
      </c>
      <c r="W33" s="768" t="e">
        <v>#N/A</v>
      </c>
      <c r="X33" s="768" t="e">
        <v>#N/A</v>
      </c>
      <c r="Y33" s="768" t="e">
        <v>#N/A</v>
      </c>
      <c r="Z33" s="777" t="e">
        <v>#N/A</v>
      </c>
      <c r="AA33" s="777" t="e">
        <v>#N/A</v>
      </c>
      <c r="AB33" s="777" t="e">
        <v>#N/A</v>
      </c>
      <c r="AC33" s="768" t="e">
        <v>#N/A</v>
      </c>
      <c r="AD33" s="768" t="e">
        <v>#N/A</v>
      </c>
      <c r="AE33" s="768" t="e">
        <v>#N/A</v>
      </c>
      <c r="AF33" s="768" t="e">
        <v>#N/A</v>
      </c>
      <c r="AG33" s="768" t="e">
        <f t="shared" si="3"/>
        <v>#N/A</v>
      </c>
      <c r="AH33" s="768" t="str">
        <f t="shared" si="4"/>
        <v/>
      </c>
      <c r="AI33" s="769" t="e">
        <f>IF(NOT(OR(Z33=1,Z33=2)),IF(AQ33&gt;0,$AR$45*AQ33/SUMIF($AQ$9:$AQ$40,"&gt;0"),IF(AU33&gt;0,$AV$45*AU33/SUMIF($AU$9:$AU$40,"&gt;0"),IF(AS33&gt;0,$AT$45*AS33/SUMIF($AS$9:$AS$40,"&gt;0"),""))),IF(SUMIF(AJ34:$AJ$40,"=" &amp; AJ33,AI34:$AI$40)=0,"",SUMIF(AJ34:$AJ$40,"=" &amp; AJ33,AI34:$AI$40)))</f>
        <v>#N/A</v>
      </c>
      <c r="AJ33" s="770" t="e">
        <f t="shared" si="34"/>
        <v>#N/A</v>
      </c>
      <c r="AK33" s="768" t="str">
        <f t="shared" si="27"/>
        <v/>
      </c>
      <c r="AL33" s="777" t="str">
        <f t="shared" si="28"/>
        <v/>
      </c>
      <c r="AM33" s="777" t="str">
        <f t="shared" si="35"/>
        <v/>
      </c>
      <c r="AN33" s="777" t="str">
        <f t="shared" si="5"/>
        <v/>
      </c>
      <c r="AO33" s="777" t="e">
        <f t="shared" si="6"/>
        <v>#N/A</v>
      </c>
      <c r="AP33" s="768" t="str">
        <f t="shared" si="7"/>
        <v/>
      </c>
      <c r="AQ33" s="771">
        <f t="shared" si="29"/>
        <v>0</v>
      </c>
      <c r="AR33" s="772" t="str">
        <f t="shared" si="8"/>
        <v/>
      </c>
      <c r="AS33" s="773">
        <f t="shared" si="30"/>
        <v>0</v>
      </c>
      <c r="AT33" s="772" t="str">
        <f t="shared" si="9"/>
        <v/>
      </c>
      <c r="AU33" s="774">
        <f t="shared" si="10"/>
        <v>0</v>
      </c>
      <c r="AV33" s="775" t="str">
        <f t="shared" si="11"/>
        <v/>
      </c>
      <c r="AW33" s="774" t="b">
        <f t="shared" si="12"/>
        <v>0</v>
      </c>
      <c r="AX33" s="776" t="b">
        <f t="shared" si="13"/>
        <v>0</v>
      </c>
      <c r="AY33" s="774" t="b">
        <f t="shared" si="14"/>
        <v>0</v>
      </c>
      <c r="AZ33" s="776" t="b">
        <f t="shared" si="15"/>
        <v>0</v>
      </c>
      <c r="BA33" s="768" t="b">
        <f t="shared" si="16"/>
        <v>0</v>
      </c>
      <c r="BB33" s="768" t="b">
        <f t="shared" si="17"/>
        <v>0</v>
      </c>
      <c r="BC33" s="774" t="b">
        <f t="shared" si="18"/>
        <v>0</v>
      </c>
      <c r="BD33" s="777" t="b">
        <f t="shared" si="31"/>
        <v>0</v>
      </c>
      <c r="BE33" s="776" t="b">
        <f t="shared" si="37"/>
        <v>0</v>
      </c>
      <c r="BF33" s="778" t="b">
        <f t="shared" ref="BF33:BF40" si="39">IF(OR(ISNA($Z33),H33&lt;&gt;"NG"),FALSE,IF(AND(J33="NA",K33&lt;&gt;""),TRUE,FALSE))</f>
        <v>0</v>
      </c>
      <c r="BG33" s="779" t="str">
        <f t="shared" si="38"/>
        <v>NA</v>
      </c>
      <c r="BH33" s="779" t="str">
        <f t="shared" si="32"/>
        <v/>
      </c>
      <c r="BI33" s="779" t="str">
        <f t="shared" si="22"/>
        <v/>
      </c>
      <c r="BJ33" s="779" t="str">
        <f t="shared" si="23"/>
        <v/>
      </c>
      <c r="BK33" s="779" t="str">
        <f t="shared" si="24"/>
        <v/>
      </c>
      <c r="BL33" s="780" t="str">
        <f t="shared" si="33"/>
        <v/>
      </c>
      <c r="BM33" s="779" t="str">
        <f t="shared" si="25"/>
        <v/>
      </c>
      <c r="BN33" s="779" t="str">
        <f t="shared" si="26"/>
        <v/>
      </c>
      <c r="BO33" s="787" t="s">
        <v>370</v>
      </c>
      <c r="BP33" s="792" t="s">
        <v>371</v>
      </c>
    </row>
    <row r="34" spans="2:73 1271:1271" s="731" customFormat="1" ht="12.95" customHeight="1" x14ac:dyDescent="0.25">
      <c r="B34" s="783" t="str">
        <f>IF(ISNA(Z34),"",IF(OR(Z34=1,Z34=2),"    ",MAX($B$9:B33)+1))</f>
        <v/>
      </c>
      <c r="C34" s="1116" t="str">
        <f t="shared" si="0"/>
        <v/>
      </c>
      <c r="D34" s="1116"/>
      <c r="E34" s="1116"/>
      <c r="F34" s="1117"/>
      <c r="G34" s="763" t="str">
        <f t="shared" si="1"/>
        <v/>
      </c>
      <c r="H34" s="764" t="str">
        <f t="shared" si="2"/>
        <v/>
      </c>
      <c r="I34" s="784" t="str">
        <f t="shared" si="2"/>
        <v/>
      </c>
      <c r="J34" s="793"/>
      <c r="K34" s="794"/>
      <c r="L34" s="1134"/>
      <c r="M34" s="1135"/>
      <c r="N34" s="1135"/>
      <c r="O34" s="1135"/>
      <c r="P34" s="1135"/>
      <c r="Q34" s="1135"/>
      <c r="R34" s="1136"/>
      <c r="T34" s="727">
        <v>26</v>
      </c>
      <c r="U34" s="716" t="e">
        <v>#N/A</v>
      </c>
      <c r="V34" s="768" t="e">
        <v>#N/A</v>
      </c>
      <c r="W34" s="768" t="e">
        <v>#N/A</v>
      </c>
      <c r="X34" s="768" t="e">
        <v>#N/A</v>
      </c>
      <c r="Y34" s="768" t="e">
        <v>#N/A</v>
      </c>
      <c r="Z34" s="777" t="e">
        <v>#N/A</v>
      </c>
      <c r="AA34" s="777" t="e">
        <v>#N/A</v>
      </c>
      <c r="AB34" s="777" t="e">
        <v>#N/A</v>
      </c>
      <c r="AC34" s="768" t="e">
        <v>#N/A</v>
      </c>
      <c r="AD34" s="768" t="e">
        <v>#N/A</v>
      </c>
      <c r="AE34" s="768" t="e">
        <v>#N/A</v>
      </c>
      <c r="AF34" s="768" t="e">
        <v>#N/A</v>
      </c>
      <c r="AG34" s="768" t="e">
        <f t="shared" si="3"/>
        <v>#N/A</v>
      </c>
      <c r="AH34" s="768" t="str">
        <f t="shared" si="4"/>
        <v/>
      </c>
      <c r="AI34" s="769" t="e">
        <f>IF(NOT(OR(Z34=1,Z34=2)),IF(AQ34&gt;0,$AR$45*AQ34/SUMIF($AQ$9:$AQ$40,"&gt;0"),IF(AU34&gt;0,$AV$45*AU34/SUMIF($AU$9:$AU$40,"&gt;0"),IF(AS34&gt;0,$AT$45*AS34/SUMIF($AS$9:$AS$40,"&gt;0"),""))),IF(SUMIF(AJ35:$AJ$40,"=" &amp; AJ34,AI35:$AI$40)=0,"",SUMIF(AJ35:$AJ$40,"=" &amp; AJ34,AI35:$AI$40)))</f>
        <v>#N/A</v>
      </c>
      <c r="AJ34" s="770" t="e">
        <f t="shared" si="34"/>
        <v>#N/A</v>
      </c>
      <c r="AK34" s="768" t="str">
        <f t="shared" si="27"/>
        <v/>
      </c>
      <c r="AL34" s="777" t="str">
        <f t="shared" si="28"/>
        <v/>
      </c>
      <c r="AM34" s="777" t="str">
        <f t="shared" si="35"/>
        <v/>
      </c>
      <c r="AN34" s="777" t="str">
        <f t="shared" si="5"/>
        <v/>
      </c>
      <c r="AO34" s="777" t="e">
        <f t="shared" si="6"/>
        <v>#N/A</v>
      </c>
      <c r="AP34" s="768" t="str">
        <f t="shared" si="7"/>
        <v/>
      </c>
      <c r="AQ34" s="771">
        <f t="shared" si="29"/>
        <v>0</v>
      </c>
      <c r="AR34" s="772" t="str">
        <f t="shared" si="8"/>
        <v/>
      </c>
      <c r="AS34" s="773">
        <f t="shared" si="30"/>
        <v>0</v>
      </c>
      <c r="AT34" s="772" t="str">
        <f t="shared" si="9"/>
        <v/>
      </c>
      <c r="AU34" s="774">
        <f t="shared" si="10"/>
        <v>0</v>
      </c>
      <c r="AV34" s="775" t="str">
        <f t="shared" si="11"/>
        <v/>
      </c>
      <c r="AW34" s="774" t="b">
        <f t="shared" si="12"/>
        <v>0</v>
      </c>
      <c r="AX34" s="776" t="b">
        <f t="shared" si="13"/>
        <v>0</v>
      </c>
      <c r="AY34" s="774" t="b">
        <f t="shared" si="14"/>
        <v>0</v>
      </c>
      <c r="AZ34" s="776" t="b">
        <f t="shared" si="15"/>
        <v>0</v>
      </c>
      <c r="BA34" s="768" t="b">
        <f t="shared" si="16"/>
        <v>0</v>
      </c>
      <c r="BB34" s="768" t="b">
        <f t="shared" si="17"/>
        <v>0</v>
      </c>
      <c r="BC34" s="774" t="b">
        <f t="shared" si="18"/>
        <v>0</v>
      </c>
      <c r="BD34" s="777" t="b">
        <f t="shared" si="31"/>
        <v>0</v>
      </c>
      <c r="BE34" s="776" t="b">
        <f t="shared" si="37"/>
        <v>0</v>
      </c>
      <c r="BF34" s="778" t="b">
        <f t="shared" si="39"/>
        <v>0</v>
      </c>
      <c r="BG34" s="779" t="str">
        <f t="shared" si="38"/>
        <v>NA</v>
      </c>
      <c r="BH34" s="779" t="str">
        <f t="shared" si="32"/>
        <v/>
      </c>
      <c r="BI34" s="779" t="str">
        <f t="shared" si="22"/>
        <v/>
      </c>
      <c r="BJ34" s="779" t="str">
        <f t="shared" si="23"/>
        <v/>
      </c>
      <c r="BK34" s="779" t="str">
        <f t="shared" si="24"/>
        <v/>
      </c>
      <c r="BL34" s="780" t="str">
        <f t="shared" si="33"/>
        <v/>
      </c>
      <c r="BM34" s="779" t="str">
        <f t="shared" si="25"/>
        <v/>
      </c>
      <c r="BN34" s="779" t="str">
        <f t="shared" si="26"/>
        <v/>
      </c>
      <c r="BO34" s="782" t="s">
        <v>372</v>
      </c>
      <c r="BP34" s="792"/>
      <c r="BQ34" s="792"/>
      <c r="BR34" s="792"/>
      <c r="BS34" s="792"/>
      <c r="BT34" s="792"/>
      <c r="BU34" s="792"/>
    </row>
    <row r="35" spans="2:73 1271:1271" s="731" customFormat="1" ht="12.95" customHeight="1" x14ac:dyDescent="0.25">
      <c r="B35" s="783" t="str">
        <f>IF(ISNA(Z35),"",IF(OR(Z35=1,Z35=2),"    ",MAX($B$9:B34)+1))</f>
        <v/>
      </c>
      <c r="C35" s="1116" t="str">
        <f t="shared" si="0"/>
        <v/>
      </c>
      <c r="D35" s="1116"/>
      <c r="E35" s="1116"/>
      <c r="F35" s="1117"/>
      <c r="G35" s="763" t="str">
        <f t="shared" si="1"/>
        <v/>
      </c>
      <c r="H35" s="764" t="str">
        <f t="shared" si="2"/>
        <v/>
      </c>
      <c r="I35" s="784" t="str">
        <f t="shared" si="2"/>
        <v/>
      </c>
      <c r="J35" s="793"/>
      <c r="K35" s="794"/>
      <c r="L35" s="1134"/>
      <c r="M35" s="1135"/>
      <c r="N35" s="1135"/>
      <c r="O35" s="1135"/>
      <c r="P35" s="1135"/>
      <c r="Q35" s="1135"/>
      <c r="R35" s="1136"/>
      <c r="T35" s="727">
        <v>27</v>
      </c>
      <c r="U35" s="716" t="e">
        <v>#N/A</v>
      </c>
      <c r="V35" s="768" t="e">
        <v>#N/A</v>
      </c>
      <c r="W35" s="768" t="e">
        <v>#N/A</v>
      </c>
      <c r="X35" s="768" t="e">
        <v>#N/A</v>
      </c>
      <c r="Y35" s="768" t="e">
        <v>#N/A</v>
      </c>
      <c r="Z35" s="777" t="e">
        <v>#N/A</v>
      </c>
      <c r="AA35" s="777" t="e">
        <v>#N/A</v>
      </c>
      <c r="AB35" s="777" t="e">
        <v>#N/A</v>
      </c>
      <c r="AC35" s="768" t="e">
        <v>#N/A</v>
      </c>
      <c r="AD35" s="768" t="e">
        <v>#N/A</v>
      </c>
      <c r="AE35" s="768" t="e">
        <v>#N/A</v>
      </c>
      <c r="AF35" s="768" t="e">
        <v>#N/A</v>
      </c>
      <c r="AG35" s="768" t="e">
        <f t="shared" si="3"/>
        <v>#N/A</v>
      </c>
      <c r="AH35" s="768" t="str">
        <f t="shared" si="4"/>
        <v/>
      </c>
      <c r="AI35" s="769" t="e">
        <f>IF(NOT(OR(Z35=1,Z35=2)),IF(AQ35&gt;0,$AR$45*AQ35/SUMIF($AQ$9:$AQ$40,"&gt;0"),IF(AU35&gt;0,$AV$45*AU35/SUMIF($AU$9:$AU$40,"&gt;0"),IF(AS35&gt;0,$AT$45*AS35/SUMIF($AS$9:$AS$40,"&gt;0"),""))),IF(SUMIF(AJ36:$AJ$40,"=" &amp; AJ35,AI36:$AI$40)=0,"",SUMIF(AJ36:$AJ$40,"=" &amp; AJ35,AI36:$AI$40)))</f>
        <v>#N/A</v>
      </c>
      <c r="AJ35" s="770" t="e">
        <f t="shared" si="34"/>
        <v>#N/A</v>
      </c>
      <c r="AK35" s="768" t="str">
        <f t="shared" si="27"/>
        <v/>
      </c>
      <c r="AL35" s="777" t="str">
        <f t="shared" si="28"/>
        <v/>
      </c>
      <c r="AM35" s="777" t="str">
        <f t="shared" si="35"/>
        <v/>
      </c>
      <c r="AN35" s="777" t="str">
        <f t="shared" si="5"/>
        <v/>
      </c>
      <c r="AO35" s="777" t="e">
        <f t="shared" si="6"/>
        <v>#N/A</v>
      </c>
      <c r="AP35" s="768" t="str">
        <f t="shared" si="7"/>
        <v/>
      </c>
      <c r="AQ35" s="771">
        <f t="shared" si="29"/>
        <v>0</v>
      </c>
      <c r="AR35" s="772" t="str">
        <f t="shared" si="8"/>
        <v/>
      </c>
      <c r="AS35" s="773">
        <f t="shared" si="30"/>
        <v>0</v>
      </c>
      <c r="AT35" s="772" t="str">
        <f t="shared" si="9"/>
        <v/>
      </c>
      <c r="AU35" s="774">
        <f t="shared" si="10"/>
        <v>0</v>
      </c>
      <c r="AV35" s="775" t="str">
        <f t="shared" si="11"/>
        <v/>
      </c>
      <c r="AW35" s="774" t="b">
        <f t="shared" si="12"/>
        <v>0</v>
      </c>
      <c r="AX35" s="776" t="b">
        <f t="shared" si="13"/>
        <v>0</v>
      </c>
      <c r="AY35" s="774" t="b">
        <f t="shared" si="14"/>
        <v>0</v>
      </c>
      <c r="AZ35" s="776" t="b">
        <f t="shared" si="15"/>
        <v>0</v>
      </c>
      <c r="BA35" s="768" t="b">
        <f t="shared" si="16"/>
        <v>0</v>
      </c>
      <c r="BB35" s="768" t="b">
        <f t="shared" si="17"/>
        <v>0</v>
      </c>
      <c r="BC35" s="774" t="b">
        <f t="shared" si="18"/>
        <v>0</v>
      </c>
      <c r="BD35" s="777" t="b">
        <f t="shared" si="31"/>
        <v>0</v>
      </c>
      <c r="BE35" s="776" t="b">
        <f t="shared" si="37"/>
        <v>0</v>
      </c>
      <c r="BF35" s="778" t="b">
        <f t="shared" si="39"/>
        <v>0</v>
      </c>
      <c r="BG35" s="779" t="str">
        <f t="shared" si="38"/>
        <v>NA</v>
      </c>
      <c r="BH35" s="779" t="str">
        <f t="shared" si="32"/>
        <v/>
      </c>
      <c r="BI35" s="779" t="str">
        <f t="shared" si="22"/>
        <v/>
      </c>
      <c r="BJ35" s="779" t="str">
        <f t="shared" si="23"/>
        <v/>
      </c>
      <c r="BK35" s="779" t="str">
        <f t="shared" si="24"/>
        <v/>
      </c>
      <c r="BL35" s="780" t="str">
        <f t="shared" si="33"/>
        <v/>
      </c>
      <c r="BM35" s="779" t="str">
        <f t="shared" si="25"/>
        <v/>
      </c>
      <c r="BN35" s="779" t="str">
        <f t="shared" si="26"/>
        <v/>
      </c>
      <c r="BO35" s="1142"/>
      <c r="BP35" s="1143"/>
      <c r="BQ35" s="1143"/>
      <c r="BR35" s="1143"/>
      <c r="BS35" s="1143"/>
      <c r="BT35" s="1143"/>
      <c r="BU35" s="1144"/>
    </row>
    <row r="36" spans="2:73 1271:1271" s="731" customFormat="1" ht="12.95" customHeight="1" x14ac:dyDescent="0.25">
      <c r="B36" s="783" t="str">
        <f>IF(ISNA(Z36),"",IF(OR(Z36=1,Z36=2),"    ",MAX($B$9:B35)+1))</f>
        <v/>
      </c>
      <c r="C36" s="1116" t="str">
        <f t="shared" si="0"/>
        <v/>
      </c>
      <c r="D36" s="1116"/>
      <c r="E36" s="1116"/>
      <c r="F36" s="1117"/>
      <c r="G36" s="763" t="str">
        <f t="shared" si="1"/>
        <v/>
      </c>
      <c r="H36" s="764" t="str">
        <f t="shared" si="2"/>
        <v/>
      </c>
      <c r="I36" s="784" t="str">
        <f t="shared" si="2"/>
        <v/>
      </c>
      <c r="J36" s="793"/>
      <c r="K36" s="794"/>
      <c r="L36" s="1134"/>
      <c r="M36" s="1135"/>
      <c r="N36" s="1135"/>
      <c r="O36" s="1135"/>
      <c r="P36" s="1135"/>
      <c r="Q36" s="1135"/>
      <c r="R36" s="1136"/>
      <c r="T36" s="727">
        <v>28</v>
      </c>
      <c r="U36" s="716" t="e">
        <v>#N/A</v>
      </c>
      <c r="V36" s="768" t="e">
        <v>#N/A</v>
      </c>
      <c r="W36" s="768" t="e">
        <v>#N/A</v>
      </c>
      <c r="X36" s="768" t="e">
        <v>#N/A</v>
      </c>
      <c r="Y36" s="768" t="e">
        <v>#N/A</v>
      </c>
      <c r="Z36" s="777" t="e">
        <v>#N/A</v>
      </c>
      <c r="AA36" s="777" t="e">
        <v>#N/A</v>
      </c>
      <c r="AB36" s="777" t="e">
        <v>#N/A</v>
      </c>
      <c r="AC36" s="768" t="e">
        <v>#N/A</v>
      </c>
      <c r="AD36" s="768" t="e">
        <v>#N/A</v>
      </c>
      <c r="AE36" s="768" t="e">
        <v>#N/A</v>
      </c>
      <c r="AF36" s="768" t="e">
        <v>#N/A</v>
      </c>
      <c r="AG36" s="768" t="e">
        <f t="shared" si="3"/>
        <v>#N/A</v>
      </c>
      <c r="AH36" s="768" t="str">
        <f t="shared" si="4"/>
        <v/>
      </c>
      <c r="AI36" s="769" t="e">
        <f>IF(NOT(OR(Z36=1,Z36=2)),IF(AQ36&gt;0,$AR$45*AQ36/SUMIF($AQ$9:$AQ$40,"&gt;0"),IF(AU36&gt;0,$AV$45*AU36/SUMIF($AU$9:$AU$40,"&gt;0"),IF(AS36&gt;0,$AT$45*AS36/SUMIF($AS$9:$AS$40,"&gt;0"),""))),IF(SUMIF(AJ37:$AJ$40,"=" &amp; AJ36,AI37:$AI$40)=0,"",SUMIF(AJ37:$AJ$40,"=" &amp; AJ36,AI37:$AI$40)))</f>
        <v>#N/A</v>
      </c>
      <c r="AJ36" s="770" t="e">
        <f t="shared" si="34"/>
        <v>#N/A</v>
      </c>
      <c r="AK36" s="768" t="str">
        <f t="shared" si="27"/>
        <v/>
      </c>
      <c r="AL36" s="777" t="str">
        <f t="shared" si="28"/>
        <v/>
      </c>
      <c r="AM36" s="777" t="str">
        <f t="shared" si="35"/>
        <v/>
      </c>
      <c r="AN36" s="777" t="str">
        <f t="shared" si="5"/>
        <v/>
      </c>
      <c r="AO36" s="777" t="e">
        <f t="shared" si="6"/>
        <v>#N/A</v>
      </c>
      <c r="AP36" s="768" t="str">
        <f t="shared" si="7"/>
        <v/>
      </c>
      <c r="AQ36" s="771">
        <f t="shared" si="29"/>
        <v>0</v>
      </c>
      <c r="AR36" s="772" t="str">
        <f t="shared" si="8"/>
        <v/>
      </c>
      <c r="AS36" s="773">
        <f t="shared" si="30"/>
        <v>0</v>
      </c>
      <c r="AT36" s="772" t="str">
        <f t="shared" si="9"/>
        <v/>
      </c>
      <c r="AU36" s="774">
        <f t="shared" si="10"/>
        <v>0</v>
      </c>
      <c r="AV36" s="775" t="str">
        <f t="shared" si="11"/>
        <v/>
      </c>
      <c r="AW36" s="774" t="b">
        <f t="shared" si="12"/>
        <v>0</v>
      </c>
      <c r="AX36" s="776" t="b">
        <f t="shared" si="13"/>
        <v>0</v>
      </c>
      <c r="AY36" s="774" t="b">
        <f t="shared" si="14"/>
        <v>0</v>
      </c>
      <c r="AZ36" s="776" t="b">
        <f t="shared" si="15"/>
        <v>0</v>
      </c>
      <c r="BA36" s="768" t="b">
        <f t="shared" si="16"/>
        <v>0</v>
      </c>
      <c r="BB36" s="768" t="b">
        <f t="shared" si="17"/>
        <v>0</v>
      </c>
      <c r="BC36" s="774" t="b">
        <f t="shared" si="18"/>
        <v>0</v>
      </c>
      <c r="BD36" s="777" t="b">
        <f t="shared" si="31"/>
        <v>0</v>
      </c>
      <c r="BE36" s="776" t="b">
        <f t="shared" si="37"/>
        <v>0</v>
      </c>
      <c r="BF36" s="778" t="b">
        <f t="shared" si="39"/>
        <v>0</v>
      </c>
      <c r="BG36" s="779" t="str">
        <f t="shared" si="38"/>
        <v>NA</v>
      </c>
      <c r="BH36" s="779" t="str">
        <f t="shared" si="32"/>
        <v/>
      </c>
      <c r="BI36" s="779" t="str">
        <f t="shared" si="22"/>
        <v/>
      </c>
      <c r="BJ36" s="779" t="str">
        <f t="shared" si="23"/>
        <v/>
      </c>
      <c r="BK36" s="779" t="str">
        <f t="shared" si="24"/>
        <v/>
      </c>
      <c r="BL36" s="780" t="str">
        <f t="shared" si="33"/>
        <v/>
      </c>
      <c r="BM36" s="779" t="str">
        <f t="shared" si="25"/>
        <v/>
      </c>
      <c r="BN36" s="779" t="str">
        <f t="shared" si="26"/>
        <v/>
      </c>
      <c r="BO36" s="1145"/>
      <c r="BP36" s="1146"/>
      <c r="BQ36" s="1146"/>
      <c r="BR36" s="1146"/>
      <c r="BS36" s="1146"/>
      <c r="BT36" s="1146"/>
      <c r="BU36" s="1147"/>
    </row>
    <row r="37" spans="2:73 1271:1271" s="731" customFormat="1" ht="12.95" customHeight="1" x14ac:dyDescent="0.25">
      <c r="B37" s="783" t="str">
        <f>IF(ISNA(Z37),"",IF(OR(Z37=1,Z37=2),"    ",MAX($B$9:B36)+1))</f>
        <v/>
      </c>
      <c r="C37" s="1116" t="str">
        <f t="shared" si="0"/>
        <v/>
      </c>
      <c r="D37" s="1116"/>
      <c r="E37" s="1116"/>
      <c r="F37" s="1117"/>
      <c r="G37" s="763" t="str">
        <f t="shared" si="1"/>
        <v/>
      </c>
      <c r="H37" s="764" t="str">
        <f t="shared" si="2"/>
        <v/>
      </c>
      <c r="I37" s="784" t="str">
        <f t="shared" si="2"/>
        <v/>
      </c>
      <c r="J37" s="793"/>
      <c r="K37" s="794"/>
      <c r="L37" s="1134"/>
      <c r="M37" s="1135"/>
      <c r="N37" s="1135"/>
      <c r="O37" s="1135"/>
      <c r="P37" s="1135"/>
      <c r="Q37" s="1135"/>
      <c r="R37" s="1136"/>
      <c r="T37" s="727">
        <v>29</v>
      </c>
      <c r="U37" s="716" t="e">
        <v>#N/A</v>
      </c>
      <c r="V37" s="768" t="e">
        <v>#N/A</v>
      </c>
      <c r="W37" s="768" t="e">
        <v>#N/A</v>
      </c>
      <c r="X37" s="768" t="e">
        <v>#N/A</v>
      </c>
      <c r="Y37" s="768" t="e">
        <v>#N/A</v>
      </c>
      <c r="Z37" s="777" t="e">
        <v>#N/A</v>
      </c>
      <c r="AA37" s="777" t="e">
        <v>#N/A</v>
      </c>
      <c r="AB37" s="777" t="e">
        <v>#N/A</v>
      </c>
      <c r="AC37" s="768" t="e">
        <v>#N/A</v>
      </c>
      <c r="AD37" s="768" t="e">
        <v>#N/A</v>
      </c>
      <c r="AE37" s="768" t="e">
        <v>#N/A</v>
      </c>
      <c r="AF37" s="768" t="e">
        <v>#N/A</v>
      </c>
      <c r="AG37" s="768" t="e">
        <f t="shared" si="3"/>
        <v>#N/A</v>
      </c>
      <c r="AH37" s="768" t="str">
        <f t="shared" si="4"/>
        <v/>
      </c>
      <c r="AI37" s="769" t="e">
        <f>IF(NOT(OR(Z37=1,Z37=2)),IF(AQ37&gt;0,$AR$45*AQ37/SUMIF($AQ$9:$AQ$40,"&gt;0"),IF(AU37&gt;0,$AV$45*AU37/SUMIF($AU$9:$AU$40,"&gt;0"),IF(AS37&gt;0,$AT$45*AS37/SUMIF($AS$9:$AS$40,"&gt;0"),""))),IF(SUMIF(AJ38:$AJ$40,"=" &amp; AJ37,AI38:$AI$40)=0,"",SUMIF(AJ38:$AJ$40,"=" &amp; AJ37,AI38:$AI$40)))</f>
        <v>#N/A</v>
      </c>
      <c r="AJ37" s="770" t="e">
        <f t="shared" si="34"/>
        <v>#N/A</v>
      </c>
      <c r="AK37" s="768" t="str">
        <f t="shared" si="27"/>
        <v/>
      </c>
      <c r="AL37" s="777" t="str">
        <f t="shared" si="28"/>
        <v/>
      </c>
      <c r="AM37" s="777" t="str">
        <f t="shared" si="35"/>
        <v/>
      </c>
      <c r="AN37" s="777" t="str">
        <f t="shared" si="5"/>
        <v/>
      </c>
      <c r="AO37" s="777" t="e">
        <f t="shared" si="6"/>
        <v>#N/A</v>
      </c>
      <c r="AP37" s="768" t="str">
        <f t="shared" si="7"/>
        <v/>
      </c>
      <c r="AQ37" s="771">
        <f t="shared" si="29"/>
        <v>0</v>
      </c>
      <c r="AR37" s="772" t="str">
        <f t="shared" si="8"/>
        <v/>
      </c>
      <c r="AS37" s="773">
        <f t="shared" si="30"/>
        <v>0</v>
      </c>
      <c r="AT37" s="772" t="str">
        <f t="shared" si="9"/>
        <v/>
      </c>
      <c r="AU37" s="774">
        <f t="shared" si="10"/>
        <v>0</v>
      </c>
      <c r="AV37" s="775" t="str">
        <f t="shared" si="11"/>
        <v/>
      </c>
      <c r="AW37" s="774" t="b">
        <f t="shared" si="12"/>
        <v>0</v>
      </c>
      <c r="AX37" s="776" t="b">
        <f t="shared" si="13"/>
        <v>0</v>
      </c>
      <c r="AY37" s="774" t="b">
        <f t="shared" si="14"/>
        <v>0</v>
      </c>
      <c r="AZ37" s="776" t="b">
        <f t="shared" si="15"/>
        <v>0</v>
      </c>
      <c r="BA37" s="768" t="b">
        <f t="shared" si="16"/>
        <v>0</v>
      </c>
      <c r="BB37" s="768" t="b">
        <f t="shared" si="17"/>
        <v>0</v>
      </c>
      <c r="BC37" s="774" t="b">
        <f t="shared" si="18"/>
        <v>0</v>
      </c>
      <c r="BD37" s="777" t="b">
        <f t="shared" si="31"/>
        <v>0</v>
      </c>
      <c r="BE37" s="776" t="b">
        <f t="shared" si="37"/>
        <v>0</v>
      </c>
      <c r="BF37" s="778" t="b">
        <f t="shared" si="39"/>
        <v>0</v>
      </c>
      <c r="BG37" s="779" t="str">
        <f t="shared" si="38"/>
        <v>NA</v>
      </c>
      <c r="BH37" s="779" t="str">
        <f t="shared" si="32"/>
        <v/>
      </c>
      <c r="BI37" s="779" t="str">
        <f t="shared" si="22"/>
        <v/>
      </c>
      <c r="BJ37" s="779" t="str">
        <f t="shared" si="23"/>
        <v/>
      </c>
      <c r="BK37" s="779" t="str">
        <f t="shared" si="24"/>
        <v/>
      </c>
      <c r="BL37" s="780" t="str">
        <f t="shared" si="33"/>
        <v/>
      </c>
      <c r="BM37" s="779" t="str">
        <f t="shared" si="25"/>
        <v/>
      </c>
      <c r="BN37" s="779" t="str">
        <f t="shared" si="26"/>
        <v/>
      </c>
      <c r="BO37" s="1145"/>
      <c r="BP37" s="1146"/>
      <c r="BQ37" s="1146"/>
      <c r="BR37" s="1146"/>
      <c r="BS37" s="1146"/>
      <c r="BT37" s="1146"/>
      <c r="BU37" s="1147"/>
    </row>
    <row r="38" spans="2:73 1271:1271" s="731" customFormat="1" ht="12.95" customHeight="1" x14ac:dyDescent="0.25">
      <c r="B38" s="783" t="str">
        <f>IF(ISNA(Z38),"",IF(OR(Z38=1,Z38=2),"    ",MAX($B$9:B37)+1))</f>
        <v/>
      </c>
      <c r="C38" s="1116" t="str">
        <f>IF(ISNA(Z38),"",CONCATENATE($U38,IF(ISNUMBER(AI38),TEXT(ROUND($AI38,3)," (0.0%)"),""),IF(AU38&gt;0," Bonus","")))</f>
        <v/>
      </c>
      <c r="D38" s="1116"/>
      <c r="E38" s="1116"/>
      <c r="F38" s="1117"/>
      <c r="G38" s="763" t="str">
        <f t="shared" si="1"/>
        <v/>
      </c>
      <c r="H38" s="764" t="str">
        <f t="shared" si="2"/>
        <v/>
      </c>
      <c r="I38" s="784" t="str">
        <f t="shared" si="2"/>
        <v/>
      </c>
      <c r="J38" s="793"/>
      <c r="K38" s="794"/>
      <c r="L38" s="1134"/>
      <c r="M38" s="1135"/>
      <c r="N38" s="1135"/>
      <c r="O38" s="1135"/>
      <c r="P38" s="1135"/>
      <c r="Q38" s="1135"/>
      <c r="R38" s="1136"/>
      <c r="T38" s="727">
        <v>30</v>
      </c>
      <c r="U38" s="716" t="e">
        <v>#N/A</v>
      </c>
      <c r="V38" s="768" t="e">
        <v>#N/A</v>
      </c>
      <c r="W38" s="768" t="e">
        <v>#N/A</v>
      </c>
      <c r="X38" s="768" t="e">
        <v>#N/A</v>
      </c>
      <c r="Y38" s="768" t="e">
        <v>#N/A</v>
      </c>
      <c r="Z38" s="777" t="e">
        <v>#N/A</v>
      </c>
      <c r="AA38" s="777" t="e">
        <v>#N/A</v>
      </c>
      <c r="AB38" s="777" t="e">
        <v>#N/A</v>
      </c>
      <c r="AC38" s="768" t="e">
        <v>#N/A</v>
      </c>
      <c r="AD38" s="768" t="e">
        <v>#N/A</v>
      </c>
      <c r="AE38" s="768" t="e">
        <v>#N/A</v>
      </c>
      <c r="AF38" s="768" t="e">
        <v>#N/A</v>
      </c>
      <c r="AG38" s="768" t="e">
        <f t="shared" si="3"/>
        <v>#N/A</v>
      </c>
      <c r="AH38" s="768" t="str">
        <f t="shared" si="4"/>
        <v/>
      </c>
      <c r="AI38" s="769" t="e">
        <f>IF(NOT(OR(Z38=1,Z38=2)),IF(AQ38&gt;0,$AR$45*AQ38/SUMIF($AQ$9:$AQ$40,"&gt;0"),IF(AU38&gt;0,$AV$45*AU38/SUMIF($AU$9:$AU$40,"&gt;0"),IF(AS38&gt;0,$AT$45*AS38/SUMIF($AS$9:$AS$40,"&gt;0"),""))),IF(SUMIF(AJ39:$AJ$40,"=" &amp; AJ38,AI39:$AI$40)=0,"",SUMIF(AJ39:$AJ$40,"=" &amp; AJ38,AI39:$AI$40)))</f>
        <v>#N/A</v>
      </c>
      <c r="AJ38" s="770" t="e">
        <f t="shared" si="34"/>
        <v>#N/A</v>
      </c>
      <c r="AK38" s="768" t="str">
        <f t="shared" si="27"/>
        <v/>
      </c>
      <c r="AL38" s="777" t="str">
        <f t="shared" si="28"/>
        <v/>
      </c>
      <c r="AM38" s="777" t="str">
        <f t="shared" si="35"/>
        <v/>
      </c>
      <c r="AN38" s="777" t="str">
        <f>IF(ISNUMBER(AH38),IF(AND(AB38=0,ISNUMBER(AC38),ISNUMBER(AL38)),1,""),"")</f>
        <v/>
      </c>
      <c r="AO38" s="777" t="e">
        <f t="shared" si="6"/>
        <v>#N/A</v>
      </c>
      <c r="AP38" s="768" t="str">
        <f t="shared" si="7"/>
        <v/>
      </c>
      <c r="AQ38" s="771">
        <f t="shared" si="29"/>
        <v>0</v>
      </c>
      <c r="AR38" s="772" t="str">
        <f t="shared" si="8"/>
        <v/>
      </c>
      <c r="AS38" s="773">
        <f t="shared" si="30"/>
        <v>0</v>
      </c>
      <c r="AT38" s="772" t="str">
        <f t="shared" si="9"/>
        <v/>
      </c>
      <c r="AU38" s="774">
        <f t="shared" si="10"/>
        <v>0</v>
      </c>
      <c r="AV38" s="775" t="str">
        <f t="shared" si="11"/>
        <v/>
      </c>
      <c r="AW38" s="774" t="b">
        <f t="shared" si="12"/>
        <v>0</v>
      </c>
      <c r="AX38" s="776" t="b">
        <f t="shared" si="13"/>
        <v>0</v>
      </c>
      <c r="AY38" s="774" t="b">
        <f t="shared" si="14"/>
        <v>0</v>
      </c>
      <c r="AZ38" s="776" t="b">
        <f t="shared" si="15"/>
        <v>0</v>
      </c>
      <c r="BA38" s="768" t="b">
        <f t="shared" si="16"/>
        <v>0</v>
      </c>
      <c r="BB38" s="768" t="b">
        <f t="shared" si="17"/>
        <v>0</v>
      </c>
      <c r="BC38" s="774" t="b">
        <f t="shared" si="18"/>
        <v>0</v>
      </c>
      <c r="BD38" s="777" t="b">
        <f t="shared" si="31"/>
        <v>0</v>
      </c>
      <c r="BE38" s="776" t="b">
        <f t="shared" si="37"/>
        <v>0</v>
      </c>
      <c r="BF38" s="778" t="b">
        <f t="shared" si="39"/>
        <v>0</v>
      </c>
      <c r="BG38" s="779" t="str">
        <f t="shared" si="38"/>
        <v>NA</v>
      </c>
      <c r="BH38" s="779" t="str">
        <f t="shared" si="32"/>
        <v/>
      </c>
      <c r="BI38" s="779" t="str">
        <f t="shared" si="22"/>
        <v/>
      </c>
      <c r="BJ38" s="779" t="str">
        <f t="shared" si="23"/>
        <v/>
      </c>
      <c r="BK38" s="779" t="str">
        <f t="shared" si="24"/>
        <v/>
      </c>
      <c r="BL38" s="780" t="str">
        <f t="shared" si="33"/>
        <v/>
      </c>
      <c r="BM38" s="779" t="str">
        <f t="shared" si="25"/>
        <v/>
      </c>
      <c r="BN38" s="779" t="str">
        <f t="shared" si="26"/>
        <v/>
      </c>
      <c r="BO38" s="1148"/>
      <c r="BP38" s="1149"/>
      <c r="BQ38" s="1149"/>
      <c r="BR38" s="1149"/>
      <c r="BS38" s="1149"/>
      <c r="BT38" s="1149"/>
      <c r="BU38" s="1150"/>
    </row>
    <row r="39" spans="2:73 1271:1271" s="731" customFormat="1" ht="12.95" customHeight="1" x14ac:dyDescent="0.25">
      <c r="B39" s="783" t="str">
        <f>IF(ISNA(Z39),"",IF(OR(Z39=1,Z39=2),"    ",MAX($B$9:B38)+1))</f>
        <v/>
      </c>
      <c r="C39" s="1116" t="str">
        <f t="shared" ref="C39:C40" si="40">IF(ISNA(Z39),"",CONCATENATE($U39,IF(ISNUMBER(AI39),TEXT(ROUND($AI39,3)," (0.0%)"),""),IF(AU39&gt;0," Bonus","")))</f>
        <v/>
      </c>
      <c r="D39" s="1116"/>
      <c r="E39" s="1116"/>
      <c r="F39" s="1117"/>
      <c r="G39" s="763" t="str">
        <f t="shared" si="1"/>
        <v/>
      </c>
      <c r="H39" s="764" t="str">
        <f t="shared" si="2"/>
        <v/>
      </c>
      <c r="I39" s="784" t="str">
        <f t="shared" si="2"/>
        <v/>
      </c>
      <c r="J39" s="793"/>
      <c r="K39" s="794"/>
      <c r="L39" s="1134"/>
      <c r="M39" s="1135"/>
      <c r="N39" s="1135"/>
      <c r="O39" s="1135"/>
      <c r="P39" s="1135"/>
      <c r="Q39" s="1135"/>
      <c r="R39" s="1136"/>
      <c r="T39" s="727">
        <v>31</v>
      </c>
      <c r="U39" s="716" t="e">
        <v>#N/A</v>
      </c>
      <c r="V39" s="768" t="e">
        <v>#N/A</v>
      </c>
      <c r="W39" s="768" t="e">
        <v>#N/A</v>
      </c>
      <c r="X39" s="768" t="e">
        <v>#N/A</v>
      </c>
      <c r="Y39" s="768" t="e">
        <v>#N/A</v>
      </c>
      <c r="Z39" s="777" t="e">
        <v>#N/A</v>
      </c>
      <c r="AA39" s="777" t="e">
        <v>#N/A</v>
      </c>
      <c r="AB39" s="777" t="e">
        <v>#N/A</v>
      </c>
      <c r="AC39" s="768" t="e">
        <v>#N/A</v>
      </c>
      <c r="AD39" s="768" t="e">
        <v>#N/A</v>
      </c>
      <c r="AE39" s="768" t="e">
        <v>#N/A</v>
      </c>
      <c r="AF39" s="768" t="e">
        <v>#N/A</v>
      </c>
      <c r="AG39" s="768" t="e">
        <f t="shared" si="3"/>
        <v>#N/A</v>
      </c>
      <c r="AH39" s="768" t="str">
        <f t="shared" si="4"/>
        <v/>
      </c>
      <c r="AI39" s="769" t="e">
        <f>IF(NOT(OR(Z39=1,Z39=2)),IF(AQ39&gt;0,$AR$45*AQ39/SUMIF($AQ$9:$AQ$40,"&gt;0"),IF(AU39&gt;0,$AV$45*AU39/SUMIF($AU$9:$AU$40,"&gt;0"),IF(AS39&gt;0,$AT$45*AS39/SUMIF($AS$9:$AS$40,"&gt;0"),""))),IF(SUMIF(AJ40:$AJ$40,"=" &amp; AJ39,AI40:$AI$40)=0,"",SUMIF(AJ40:$AJ$40,"=" &amp; AJ39,AI40:$AI$40)))</f>
        <v>#N/A</v>
      </c>
      <c r="AJ39" s="770" t="e">
        <f t="shared" si="34"/>
        <v>#N/A</v>
      </c>
      <c r="AK39" s="768" t="str">
        <f t="shared" si="27"/>
        <v/>
      </c>
      <c r="AL39" s="777" t="str">
        <f t="shared" si="28"/>
        <v/>
      </c>
      <c r="AM39" s="777" t="str">
        <f t="shared" si="35"/>
        <v/>
      </c>
      <c r="AN39" s="777" t="str">
        <f>IF(ISNUMBER(AH39),IF(AND(AB39=0,ISNUMBER(AC39),ISNUMBER(AL39)),1,""),"")</f>
        <v/>
      </c>
      <c r="AO39" s="777" t="e">
        <f t="shared" si="6"/>
        <v>#N/A</v>
      </c>
      <c r="AP39" s="768" t="str">
        <f t="shared" si="7"/>
        <v/>
      </c>
      <c r="AQ39" s="771">
        <f t="shared" si="29"/>
        <v>0</v>
      </c>
      <c r="AR39" s="772" t="str">
        <f t="shared" si="8"/>
        <v/>
      </c>
      <c r="AS39" s="773">
        <f t="shared" si="30"/>
        <v>0</v>
      </c>
      <c r="AT39" s="772" t="str">
        <f t="shared" si="9"/>
        <v/>
      </c>
      <c r="AU39" s="774">
        <f t="shared" si="10"/>
        <v>0</v>
      </c>
      <c r="AV39" s="775" t="str">
        <f t="shared" si="11"/>
        <v/>
      </c>
      <c r="AW39" s="774" t="b">
        <f t="shared" si="12"/>
        <v>0</v>
      </c>
      <c r="AX39" s="776" t="b">
        <f t="shared" si="13"/>
        <v>0</v>
      </c>
      <c r="AY39" s="774" t="b">
        <f t="shared" si="14"/>
        <v>0</v>
      </c>
      <c r="AZ39" s="776" t="b">
        <f t="shared" si="15"/>
        <v>0</v>
      </c>
      <c r="BA39" s="768" t="b">
        <f t="shared" si="16"/>
        <v>0</v>
      </c>
      <c r="BB39" s="768" t="b">
        <f t="shared" si="17"/>
        <v>0</v>
      </c>
      <c r="BC39" s="774" t="b">
        <f t="shared" si="18"/>
        <v>0</v>
      </c>
      <c r="BD39" s="777" t="b">
        <f t="shared" si="31"/>
        <v>0</v>
      </c>
      <c r="BE39" s="776" t="b">
        <f t="shared" si="37"/>
        <v>0</v>
      </c>
      <c r="BF39" s="778" t="b">
        <f t="shared" si="39"/>
        <v>0</v>
      </c>
      <c r="BG39" s="779" t="str">
        <f t="shared" si="38"/>
        <v>NA</v>
      </c>
      <c r="BH39" s="779" t="str">
        <f t="shared" si="32"/>
        <v/>
      </c>
      <c r="BI39" s="779" t="str">
        <f t="shared" si="22"/>
        <v/>
      </c>
      <c r="BJ39" s="779" t="str">
        <f t="shared" si="23"/>
        <v/>
      </c>
      <c r="BK39" s="779" t="str">
        <f t="shared" si="24"/>
        <v/>
      </c>
      <c r="BL39" s="780" t="str">
        <f t="shared" si="33"/>
        <v/>
      </c>
      <c r="BM39" s="779" t="str">
        <f t="shared" si="25"/>
        <v/>
      </c>
      <c r="BN39" s="779" t="str">
        <f t="shared" si="26"/>
        <v/>
      </c>
      <c r="BO39" s="782" t="s">
        <v>373</v>
      </c>
      <c r="BP39" s="782"/>
      <c r="BQ39" s="782"/>
      <c r="BR39" s="782"/>
      <c r="BS39" s="782"/>
      <c r="BT39" s="782"/>
      <c r="BU39" s="782"/>
    </row>
    <row r="40" spans="2:73 1271:1271" s="731" customFormat="1" ht="12.95" customHeight="1" thickBot="1" x14ac:dyDescent="0.3">
      <c r="B40" s="783" t="str">
        <f>IF(ISNA(Z40),"",IF(OR(Z40=1,Z40=2),"    ",MAX($B$9:B39)+1))</f>
        <v/>
      </c>
      <c r="C40" s="1116" t="str">
        <f t="shared" si="40"/>
        <v/>
      </c>
      <c r="D40" s="1116"/>
      <c r="E40" s="1116"/>
      <c r="F40" s="1117"/>
      <c r="G40" s="808" t="str">
        <f t="shared" si="1"/>
        <v/>
      </c>
      <c r="H40" s="764" t="str">
        <f t="shared" si="2"/>
        <v/>
      </c>
      <c r="I40" s="809" t="str">
        <f t="shared" si="2"/>
        <v/>
      </c>
      <c r="J40" s="810"/>
      <c r="K40" s="811"/>
      <c r="L40" s="1137"/>
      <c r="M40" s="1138"/>
      <c r="N40" s="1138"/>
      <c r="O40" s="1138"/>
      <c r="P40" s="1138"/>
      <c r="Q40" s="1138"/>
      <c r="R40" s="1139"/>
      <c r="T40" s="727">
        <v>32</v>
      </c>
      <c r="U40" s="716" t="e">
        <v>#N/A</v>
      </c>
      <c r="V40" s="768" t="e">
        <v>#N/A</v>
      </c>
      <c r="W40" s="768" t="e">
        <v>#N/A</v>
      </c>
      <c r="X40" s="768" t="e">
        <v>#N/A</v>
      </c>
      <c r="Y40" s="768" t="e">
        <v>#N/A</v>
      </c>
      <c r="Z40" s="777" t="e">
        <v>#N/A</v>
      </c>
      <c r="AA40" s="777" t="e">
        <v>#N/A</v>
      </c>
      <c r="AB40" s="777" t="e">
        <v>#N/A</v>
      </c>
      <c r="AC40" s="768" t="e">
        <v>#N/A</v>
      </c>
      <c r="AD40" s="768" t="e">
        <v>#N/A</v>
      </c>
      <c r="AE40" s="768" t="e">
        <v>#N/A</v>
      </c>
      <c r="AF40" s="768" t="e">
        <v>#N/A</v>
      </c>
      <c r="AG40" s="768" t="e">
        <f t="shared" si="3"/>
        <v>#N/A</v>
      </c>
      <c r="AH40" s="768" t="str">
        <f t="shared" si="4"/>
        <v/>
      </c>
      <c r="AI40" s="769" t="e">
        <f>IF(NOT(OR(Z40=1,Z40=2)),IF(AQ40&gt;0,$AR$45*AQ40/SUMIF($AQ$9:$AQ$40,"&gt;0"),IF(AU40&gt;0,$AV$45*AU40/SUMIF($AU$9:$AU$40,"&gt;0"),IF(AS40&gt;0,$AT$45*AS40/SUMIF($AS$9:$AS$40,"&gt;0"),""))),IF(SUMIF(AJ$40:$AJ41,"=" &amp; AJ40,AI$40:$AI41)=0,"",SUMIF(AJ$40:$AJ41,"=" &amp; AJ40,AI$40:$AI41)))</f>
        <v>#N/A</v>
      </c>
      <c r="AJ40" s="770" t="e">
        <f t="shared" si="34"/>
        <v>#N/A</v>
      </c>
      <c r="AK40" s="768" t="str">
        <f t="shared" si="27"/>
        <v/>
      </c>
      <c r="AL40" s="777" t="str">
        <f t="shared" si="28"/>
        <v/>
      </c>
      <c r="AM40" s="777" t="str">
        <f t="shared" si="35"/>
        <v/>
      </c>
      <c r="AN40" s="777" t="str">
        <f>IF(ISNUMBER(AH40),IF(AND(AB40=0,ISNUMBER(AC40),ISNUMBER(AL40)),1,""),"")</f>
        <v/>
      </c>
      <c r="AO40" s="777" t="e">
        <f t="shared" si="6"/>
        <v>#N/A</v>
      </c>
      <c r="AP40" s="768" t="str">
        <f t="shared" si="7"/>
        <v/>
      </c>
      <c r="AQ40" s="771">
        <f t="shared" si="29"/>
        <v>0</v>
      </c>
      <c r="AR40" s="772" t="str">
        <f t="shared" si="8"/>
        <v/>
      </c>
      <c r="AS40" s="773">
        <f t="shared" si="30"/>
        <v>0</v>
      </c>
      <c r="AT40" s="772" t="str">
        <f t="shared" si="9"/>
        <v/>
      </c>
      <c r="AU40" s="774">
        <f t="shared" si="10"/>
        <v>0</v>
      </c>
      <c r="AV40" s="775" t="str">
        <f t="shared" si="11"/>
        <v/>
      </c>
      <c r="AW40" s="774" t="b">
        <f t="shared" si="12"/>
        <v>0</v>
      </c>
      <c r="AX40" s="776" t="b">
        <f t="shared" si="13"/>
        <v>0</v>
      </c>
      <c r="AY40" s="774" t="b">
        <f t="shared" si="14"/>
        <v>0</v>
      </c>
      <c r="AZ40" s="776" t="b">
        <f t="shared" si="15"/>
        <v>0</v>
      </c>
      <c r="BA40" s="768" t="b">
        <f t="shared" si="16"/>
        <v>0</v>
      </c>
      <c r="BB40" s="768" t="b">
        <f t="shared" si="17"/>
        <v>0</v>
      </c>
      <c r="BC40" s="774" t="b">
        <f t="shared" si="18"/>
        <v>0</v>
      </c>
      <c r="BD40" s="777" t="b">
        <f t="shared" si="31"/>
        <v>0</v>
      </c>
      <c r="BE40" s="776" t="b">
        <f t="shared" si="37"/>
        <v>0</v>
      </c>
      <c r="BF40" s="778" t="b">
        <f t="shared" si="39"/>
        <v>0</v>
      </c>
      <c r="BG40" s="779" t="str">
        <f t="shared" si="38"/>
        <v>NA</v>
      </c>
      <c r="BH40" s="779" t="str">
        <f t="shared" si="32"/>
        <v/>
      </c>
      <c r="BI40" s="779" t="str">
        <f t="shared" si="22"/>
        <v/>
      </c>
      <c r="BJ40" s="779" t="str">
        <f t="shared" si="23"/>
        <v/>
      </c>
      <c r="BK40" s="779" t="str">
        <f t="shared" si="24"/>
        <v/>
      </c>
      <c r="BL40" s="779" t="str">
        <f t="shared" si="33"/>
        <v/>
      </c>
      <c r="BM40" s="779" t="str">
        <f t="shared" si="25"/>
        <v/>
      </c>
      <c r="BN40" s="779" t="str">
        <f t="shared" si="26"/>
        <v/>
      </c>
      <c r="BO40" s="1142"/>
      <c r="BP40" s="1143"/>
      <c r="BQ40" s="1143"/>
      <c r="BR40" s="1143"/>
      <c r="BS40" s="1143"/>
      <c r="BT40" s="1143"/>
      <c r="BU40" s="1144"/>
    </row>
    <row r="41" spans="2:73 1271:1271" s="720" customFormat="1" ht="8.25" customHeight="1" x14ac:dyDescent="0.25">
      <c r="B41" s="1151" t="s">
        <v>374</v>
      </c>
      <c r="C41" s="1152"/>
      <c r="D41" s="1153"/>
      <c r="E41" s="812" t="s">
        <v>375</v>
      </c>
      <c r="F41" s="1154" t="s">
        <v>376</v>
      </c>
      <c r="G41" s="1155"/>
      <c r="H41" s="1155" t="s">
        <v>377</v>
      </c>
      <c r="I41" s="1155"/>
      <c r="J41" s="1156" t="s">
        <v>378</v>
      </c>
      <c r="K41" s="1157"/>
      <c r="L41" s="813" t="s">
        <v>379</v>
      </c>
      <c r="M41" s="1158" t="s">
        <v>380</v>
      </c>
      <c r="N41" s="1158"/>
      <c r="O41" s="1159" t="str">
        <f>IF(U45,"DO REVIEW","DO REV N/A")</f>
        <v>DO REV N/A</v>
      </c>
      <c r="P41" s="1160"/>
      <c r="Q41" s="814" t="str">
        <f>IF(U46,"ED REVIEW","ED REV N/A")</f>
        <v>ED REVIEW</v>
      </c>
      <c r="R41" s="815"/>
      <c r="S41" s="816">
        <v>0</v>
      </c>
      <c r="AI41" s="817"/>
      <c r="AJ41" s="721"/>
      <c r="AK41" s="721"/>
      <c r="AL41" s="721"/>
      <c r="AM41" s="721"/>
      <c r="AN41" s="721"/>
      <c r="AO41" s="718"/>
      <c r="AP41" s="721"/>
      <c r="AQ41" s="818"/>
      <c r="AR41" s="721"/>
      <c r="AS41" s="818"/>
      <c r="AT41" s="721"/>
      <c r="AU41" s="818"/>
      <c r="AV41" s="819"/>
      <c r="AW41" s="721"/>
      <c r="AX41" s="721"/>
      <c r="AY41" s="721"/>
      <c r="AZ41" s="721"/>
      <c r="BA41" s="721"/>
      <c r="BB41" s="721"/>
      <c r="BC41" s="721"/>
      <c r="BD41" s="721"/>
      <c r="BE41" s="721"/>
      <c r="BF41" s="721"/>
      <c r="BG41" s="721"/>
      <c r="BH41" s="718"/>
      <c r="BI41" s="718"/>
      <c r="BJ41" s="718"/>
      <c r="BK41" s="718"/>
      <c r="BL41" s="718"/>
      <c r="BM41" s="718"/>
      <c r="BN41" s="718"/>
      <c r="BO41" s="1145"/>
      <c r="BP41" s="1146"/>
      <c r="BQ41" s="1146"/>
      <c r="BR41" s="1146"/>
      <c r="BS41" s="1146"/>
      <c r="BT41" s="1146"/>
      <c r="BU41" s="1147"/>
    </row>
    <row r="42" spans="2:73 1271:1271" ht="18.75" customHeight="1" thickBot="1" x14ac:dyDescent="0.3">
      <c r="B42" s="1161" t="str">
        <f>IF(ISERROR(AR47),"",TEXT(AR46,"0.0%"))</f>
        <v>0.0%</v>
      </c>
      <c r="C42" s="1162"/>
      <c r="D42" s="1163"/>
      <c r="E42" s="820" t="str">
        <f>IF(AU42=0,"N/A",CONCATENATE(TEXT(AV46,"0.0%")," of ",TEXT(AV45,"0.0%")))</f>
        <v>N/A</v>
      </c>
      <c r="F42" s="1165" t="str">
        <f>IF((graded_aca_events+graded_amn_events)&lt;1,"---",IF(AND(AW5,AX5),"INCOMPLETE",IF(AND(NOT(AW5),AX5),"ACA INC",IF(AND(AW5,NOT(AX5)),"AMN INC","COMPLETE"))))</f>
        <v>---</v>
      </c>
      <c r="G42" s="1165"/>
      <c r="H42" s="1165" t="str">
        <f>IF(AU5,IF(OR(AY5="UNK",NOT(AN7)),"---",IF(AY5,"UNSAT",IF(AVERAGEIFS(AT9:AT40,AS9:AS40,"&gt;0")&lt;0.9,"MARG","SAT"))),"N/A")</f>
        <v>N/A</v>
      </c>
      <c r="I42" s="1165"/>
      <c r="J42" s="1166" t="str">
        <f>IF(OR(AZ5="UNK",NOT(AM7)),"---",IF(OR(AZ5,AR46&lt;0.7),"FAIL","PASS"))</f>
        <v>---</v>
      </c>
      <c r="K42" s="1167"/>
      <c r="L42" s="821"/>
      <c r="M42" s="1168"/>
      <c r="N42" s="1168"/>
      <c r="O42" s="1306" t="s">
        <v>265</v>
      </c>
      <c r="P42" s="1306"/>
      <c r="Q42" s="1306" t="s">
        <v>265</v>
      </c>
      <c r="R42" s="1307"/>
      <c r="S42" s="802"/>
      <c r="T42" s="727" t="s">
        <v>381</v>
      </c>
      <c r="U42" s="777" t="s">
        <v>382</v>
      </c>
      <c r="V42" s="822"/>
      <c r="W42" s="822"/>
      <c r="X42" s="822"/>
      <c r="Y42" s="822"/>
      <c r="Z42" s="822"/>
      <c r="AA42" s="822"/>
      <c r="AB42" s="822"/>
      <c r="AC42" s="822"/>
      <c r="AD42" s="822"/>
      <c r="AE42" s="822"/>
      <c r="AF42" s="822"/>
      <c r="AG42" s="822"/>
      <c r="AH42" s="822"/>
      <c r="AI42" s="713"/>
      <c r="AJ42" s="712"/>
      <c r="AK42" s="822"/>
      <c r="AL42" s="822"/>
      <c r="AM42" s="822">
        <f>SUM(AM9:AM40)</f>
        <v>0</v>
      </c>
      <c r="AN42" s="822">
        <f>SUM(AN9:AN40)</f>
        <v>0</v>
      </c>
      <c r="AO42" s="727"/>
      <c r="AP42" s="712"/>
      <c r="AQ42" s="823">
        <f>SUMIF(AQ9:AQ40,"&gt;0")</f>
        <v>33.333332260000006</v>
      </c>
      <c r="AR42" s="824">
        <f>IF(AQ42=0,0,SUMPRODUCT($AQ$9:$AQ$40,AR9:AR40)/SUM($AQ$9:$AQ$40))</f>
        <v>0</v>
      </c>
      <c r="AS42" s="825">
        <f>SUMIF(AS9:AS40,"&gt;0")</f>
        <v>0</v>
      </c>
      <c r="AT42" s="824">
        <f>IF(AS42=0,0,SUMPRODUCT($AS$9:$AS$40,AT9:AT40)/SUM($AS$9:$AS$40))</f>
        <v>0</v>
      </c>
      <c r="AU42" s="825">
        <f>SUM(AU10:AU40)</f>
        <v>0</v>
      </c>
      <c r="AV42" s="824">
        <f>IF(AU42=0,0,SUMPRODUCT($AU$9:$AU$40,AV9:AV40)/SUM($AU$9:$AU$40))</f>
        <v>0</v>
      </c>
      <c r="AW42" s="826"/>
      <c r="AX42" s="826"/>
      <c r="AY42" s="826"/>
      <c r="AZ42" s="826"/>
      <c r="BA42" s="826"/>
      <c r="BB42" s="826"/>
      <c r="BC42" s="716" t="s">
        <v>383</v>
      </c>
      <c r="BD42" s="716" t="s">
        <v>384</v>
      </c>
      <c r="BE42" s="716" t="s">
        <v>385</v>
      </c>
      <c r="BF42" s="716"/>
      <c r="BG42" s="718"/>
      <c r="BO42" s="1145"/>
      <c r="BP42" s="1146"/>
      <c r="BQ42" s="1146"/>
      <c r="BR42" s="1146"/>
      <c r="BS42" s="1146"/>
      <c r="BT42" s="1146"/>
      <c r="BU42" s="1147"/>
      <c r="AVW42" s="827"/>
    </row>
    <row r="43" spans="2:73 1271:1271" ht="7.5" customHeight="1" thickTop="1" x14ac:dyDescent="0.25">
      <c r="L43" s="1164" t="s">
        <v>889</v>
      </c>
      <c r="M43" s="1164"/>
      <c r="N43" s="1164"/>
      <c r="O43" s="1164"/>
      <c r="P43" s="1164"/>
      <c r="Q43" s="1164"/>
      <c r="R43" s="1164"/>
      <c r="AP43" s="822"/>
      <c r="AQ43" s="712"/>
      <c r="AR43" s="712"/>
      <c r="AT43" s="824"/>
      <c r="AU43" s="824"/>
      <c r="AV43" s="824"/>
      <c r="AW43" s="712"/>
      <c r="AX43" s="824"/>
      <c r="BE43" s="716"/>
      <c r="BF43" s="716"/>
      <c r="BO43" s="1148"/>
      <c r="BP43" s="1149"/>
      <c r="BQ43" s="1149"/>
      <c r="BR43" s="1149"/>
      <c r="BS43" s="1149"/>
      <c r="BT43" s="1149"/>
      <c r="BU43" s="1150"/>
    </row>
    <row r="44" spans="2:73 1271:1271" ht="30.75" customHeight="1" x14ac:dyDescent="0.25">
      <c r="T44" s="828" t="s">
        <v>386</v>
      </c>
      <c r="U44" s="777" t="b">
        <v>0</v>
      </c>
      <c r="AI44" s="717">
        <f ca="1">SUMIF(AJ9:$AJ$40,"=" &amp; AJ9,AI10:$AI$40)</f>
        <v>0.69999999153999959</v>
      </c>
      <c r="AK44" s="718"/>
      <c r="AL44" s="718"/>
      <c r="AM44" s="718"/>
      <c r="AN44" s="718"/>
      <c r="AO44" s="829"/>
      <c r="AQ44" s="718"/>
      <c r="AR44" s="718"/>
      <c r="AS44" s="748" t="s">
        <v>387</v>
      </c>
      <c r="AT44" s="830">
        <f>SUMIF(X9:X40,"&gt;0")/SUMIF(W9:W40,"&gt;0")</f>
        <v>0</v>
      </c>
      <c r="AU44" s="748" t="s">
        <v>388</v>
      </c>
      <c r="AV44" s="831">
        <f>SUMIF(AU9:AU40,"&gt;0")/SUMIF(AQ9:AQ40,"&gt;0")</f>
        <v>0</v>
      </c>
      <c r="AW44" s="832"/>
      <c r="AY44" s="718"/>
      <c r="AZ44" s="718"/>
      <c r="BE44" s="716" t="b">
        <f>AND(ISBLANK($K31),J31&gt;0)</f>
        <v>0</v>
      </c>
      <c r="BF44" s="716"/>
      <c r="BH44" s="716"/>
      <c r="BO44" s="718"/>
      <c r="BP44" s="718"/>
      <c r="BQ44" s="719"/>
    </row>
    <row r="45" spans="2:73 1271:1271" ht="30.75" customHeight="1" x14ac:dyDescent="0.25">
      <c r="J45" s="833"/>
      <c r="T45" s="834" t="s">
        <v>389</v>
      </c>
      <c r="U45" s="716" t="b">
        <f>IF(AND(Flight?,OR(AW5,AY5,BA5,AZ5,AR46&lt;0.7,H42="MARG")),TRUE,FALSE)</f>
        <v>0</v>
      </c>
      <c r="AK45" s="718"/>
      <c r="AL45" s="718"/>
      <c r="AM45" s="718"/>
      <c r="AN45" s="718"/>
      <c r="AO45" s="835"/>
      <c r="AP45" s="718"/>
      <c r="AQ45" s="748" t="s">
        <v>390</v>
      </c>
      <c r="AR45" s="836">
        <f>1-AT45</f>
        <v>1</v>
      </c>
      <c r="AS45" s="748" t="s">
        <v>391</v>
      </c>
      <c r="AT45" s="830">
        <f>MIN(AT44,AT7)</f>
        <v>0</v>
      </c>
      <c r="AU45" s="748" t="s">
        <v>392</v>
      </c>
      <c r="AV45" s="837">
        <f>MIN(AV44,AV7)</f>
        <v>0</v>
      </c>
      <c r="AZ45" s="718"/>
      <c r="BE45" s="716"/>
      <c r="BF45" s="716"/>
      <c r="BH45" s="716"/>
      <c r="BO45" s="718"/>
      <c r="BP45" s="718"/>
      <c r="BQ45" s="719"/>
    </row>
    <row r="46" spans="2:73 1271:1271" ht="26.25" x14ac:dyDescent="0.25">
      <c r="T46" s="834" t="s">
        <v>393</v>
      </c>
      <c r="U46" s="716" t="b">
        <f>IF(OR(AX5,AY5,AZ5,BB5,AR46&lt;0.7),TRUE,FALSE)</f>
        <v>1</v>
      </c>
      <c r="AK46" s="718"/>
      <c r="AL46" s="718"/>
      <c r="AM46" s="718"/>
      <c r="AN46" s="718"/>
      <c r="AO46" s="838"/>
      <c r="AP46" s="718"/>
      <c r="AQ46" s="748" t="s">
        <v>394</v>
      </c>
      <c r="AR46" s="717">
        <f>AR42*(1-AT45)+(AT42*AT45)</f>
        <v>0</v>
      </c>
      <c r="AU46" s="718" t="s">
        <v>324</v>
      </c>
      <c r="AV46" s="837">
        <f>AV42*AV45</f>
        <v>0</v>
      </c>
      <c r="AY46" s="718"/>
      <c r="AZ46" s="718"/>
      <c r="BE46" s="716"/>
      <c r="BF46" s="716"/>
      <c r="BH46" s="716"/>
      <c r="BO46" s="718"/>
      <c r="BP46" s="718"/>
      <c r="BQ46" s="719"/>
    </row>
    <row r="47" spans="2:73 1271:1271" ht="26.25" x14ac:dyDescent="0.25">
      <c r="T47" s="834" t="s">
        <v>395</v>
      </c>
      <c r="U47" s="716" t="b">
        <v>0</v>
      </c>
      <c r="AK47" s="718"/>
      <c r="AL47" s="718"/>
      <c r="AM47" s="718"/>
      <c r="AN47" s="718"/>
      <c r="AO47" s="838"/>
      <c r="AP47" s="718"/>
      <c r="AQ47" s="748" t="s">
        <v>396</v>
      </c>
      <c r="AR47" s="837">
        <f>MIN(1,IF(NOT(OR(AY5,AZ5)),AR46+AV46,MIN(0.69,AR46+AV46)))</f>
        <v>0</v>
      </c>
      <c r="AY47" s="718"/>
      <c r="BE47" s="716"/>
      <c r="BF47" s="716"/>
      <c r="BI47" s="716"/>
      <c r="BO47" s="718"/>
      <c r="BP47" s="718"/>
      <c r="BQ47" s="719"/>
    </row>
    <row r="48" spans="2:73 1271:1271" x14ac:dyDescent="0.25">
      <c r="T48" s="834" t="s">
        <v>397</v>
      </c>
      <c r="U48" s="716" t="b">
        <f>IF(NOT(Flight?),TRUE,NOT(OR(ISBLANK(comments),ISBLANK(hdr_class),ISBLANK(hdr_date),ISBLANK(hdr_stud),ISBLANK(hdr_instr),ISBLANK(hdr_acft),ISBLANK(hdr_time),F42="---")))</f>
        <v>1</v>
      </c>
      <c r="AK48" s="718"/>
      <c r="AL48" s="718"/>
      <c r="AM48" s="718"/>
      <c r="AN48" s="718"/>
      <c r="AO48" s="838"/>
      <c r="AP48" s="718"/>
      <c r="AQ48" s="718"/>
      <c r="AR48" s="839"/>
      <c r="AS48" s="837"/>
      <c r="AU48" s="718"/>
      <c r="AV48" s="718"/>
      <c r="AW48" s="718"/>
    </row>
    <row r="49" spans="20:56" x14ac:dyDescent="0.25">
      <c r="T49" s="834" t="s">
        <v>398</v>
      </c>
      <c r="U49" s="716" t="b">
        <f>IF(Flight?,TRUE,NOT(OR(ISBLANK(comments),ISBLANK(hdr_class),ISBLANK(hdr_date),ISBLANK(hdr_stud),ISBLANK(hdr_instr),F42="---")))</f>
        <v>0</v>
      </c>
      <c r="AK49" s="718"/>
      <c r="AL49" s="718"/>
      <c r="AM49" s="718"/>
      <c r="AN49" s="718"/>
      <c r="AO49" s="835"/>
      <c r="AP49" s="712" t="s">
        <v>399</v>
      </c>
      <c r="AQ49" s="712"/>
      <c r="AR49" s="712"/>
      <c r="AS49" s="712"/>
      <c r="AT49" s="712"/>
      <c r="AU49" s="718"/>
      <c r="AV49" s="718"/>
      <c r="AW49" s="718"/>
    </row>
    <row r="50" spans="20:56" x14ac:dyDescent="0.25">
      <c r="T50" s="834" t="s">
        <v>400</v>
      </c>
      <c r="U50" s="716" t="b">
        <f>AND(U48:U49)</f>
        <v>0</v>
      </c>
      <c r="AK50" s="718"/>
      <c r="AL50" s="718"/>
      <c r="AM50" s="718"/>
      <c r="AN50" s="718"/>
      <c r="AO50" s="835"/>
      <c r="AP50" s="712"/>
      <c r="AQ50" s="712"/>
      <c r="AR50" s="712">
        <v>0</v>
      </c>
      <c r="AS50" s="712">
        <v>1</v>
      </c>
      <c r="AT50" s="712">
        <v>2</v>
      </c>
      <c r="AU50" s="712">
        <v>3</v>
      </c>
      <c r="AV50" s="712">
        <v>4</v>
      </c>
      <c r="AW50" s="718"/>
    </row>
    <row r="51" spans="20:56" x14ac:dyDescent="0.25">
      <c r="AK51" s="718"/>
      <c r="AL51" s="718"/>
      <c r="AM51" s="718"/>
      <c r="AN51" s="718"/>
      <c r="AO51" s="835"/>
      <c r="AP51" s="712" t="s">
        <v>359</v>
      </c>
      <c r="AQ51" s="712">
        <v>1</v>
      </c>
      <c r="AR51" s="840">
        <v>0.7</v>
      </c>
      <c r="AS51" s="840">
        <v>0.9</v>
      </c>
      <c r="AT51" s="840">
        <v>0.93330000000000002</v>
      </c>
      <c r="AU51" s="840">
        <v>0.9667</v>
      </c>
      <c r="AV51" s="840">
        <v>1</v>
      </c>
      <c r="AW51" s="718"/>
    </row>
    <row r="52" spans="20:56" x14ac:dyDescent="0.25">
      <c r="AK52" s="718"/>
      <c r="AL52" s="718"/>
      <c r="AM52" s="718"/>
      <c r="AN52" s="718"/>
      <c r="AO52" s="835"/>
      <c r="AP52" s="712" t="s">
        <v>360</v>
      </c>
      <c r="AQ52" s="712">
        <v>2</v>
      </c>
      <c r="AR52" s="840">
        <v>0.7</v>
      </c>
      <c r="AS52" s="840">
        <v>0.8</v>
      </c>
      <c r="AT52" s="840">
        <v>0.9</v>
      </c>
      <c r="AU52" s="840">
        <v>0.95</v>
      </c>
      <c r="AV52" s="840">
        <v>1</v>
      </c>
      <c r="AW52" s="718"/>
    </row>
    <row r="53" spans="20:56" x14ac:dyDescent="0.25">
      <c r="AK53" s="718"/>
      <c r="AL53" s="718"/>
      <c r="AM53" s="718"/>
      <c r="AN53" s="718"/>
      <c r="AO53" s="835"/>
      <c r="AP53" s="712" t="s">
        <v>361</v>
      </c>
      <c r="AQ53" s="712">
        <v>3</v>
      </c>
      <c r="AR53" s="840">
        <v>0.7</v>
      </c>
      <c r="AS53" s="840">
        <v>0.76670000000000005</v>
      </c>
      <c r="AT53" s="840">
        <v>0.83330000000000004</v>
      </c>
      <c r="AU53" s="840">
        <v>0.9</v>
      </c>
      <c r="AV53" s="840">
        <v>1</v>
      </c>
      <c r="AW53" s="718"/>
    </row>
    <row r="54" spans="20:56" x14ac:dyDescent="0.25">
      <c r="AP54" s="841" t="s">
        <v>362</v>
      </c>
      <c r="AQ54" s="712">
        <v>11</v>
      </c>
      <c r="AR54" s="840">
        <v>0.6</v>
      </c>
      <c r="AS54" s="840">
        <v>0.9</v>
      </c>
      <c r="AT54" s="840">
        <v>0.93330000000000002</v>
      </c>
      <c r="AU54" s="840">
        <v>0.9667</v>
      </c>
      <c r="AV54" s="840">
        <v>1</v>
      </c>
      <c r="AW54" s="718"/>
    </row>
    <row r="55" spans="20:56" x14ac:dyDescent="0.25">
      <c r="AP55" s="841" t="s">
        <v>363</v>
      </c>
      <c r="AQ55" s="712">
        <v>12</v>
      </c>
      <c r="AR55" s="840">
        <v>0.6</v>
      </c>
      <c r="AS55" s="840">
        <v>0.7</v>
      </c>
      <c r="AT55" s="840">
        <v>0.9</v>
      </c>
      <c r="AU55" s="840">
        <v>0.95</v>
      </c>
      <c r="AV55" s="840">
        <v>1</v>
      </c>
      <c r="AW55" s="718"/>
    </row>
    <row r="56" spans="20:56" x14ac:dyDescent="0.25">
      <c r="AP56" s="841" t="s">
        <v>364</v>
      </c>
      <c r="AQ56" s="712">
        <v>13</v>
      </c>
      <c r="AR56" s="840">
        <v>0.6</v>
      </c>
      <c r="AS56" s="840">
        <v>0.7</v>
      </c>
      <c r="AT56" s="840">
        <v>0.8</v>
      </c>
      <c r="AU56" s="840">
        <v>0.9</v>
      </c>
      <c r="AV56" s="840">
        <v>1</v>
      </c>
      <c r="AW56" s="718"/>
    </row>
    <row r="57" spans="20:56" x14ac:dyDescent="0.25">
      <c r="AP57" s="841" t="s">
        <v>365</v>
      </c>
      <c r="AQ57" s="712">
        <v>22</v>
      </c>
      <c r="AR57" s="840">
        <v>0.3</v>
      </c>
      <c r="AS57" s="840">
        <v>0.6</v>
      </c>
      <c r="AT57" s="840">
        <v>0.9</v>
      </c>
      <c r="AU57" s="840">
        <v>0.95</v>
      </c>
      <c r="AV57" s="840">
        <v>1</v>
      </c>
      <c r="AW57" s="718"/>
    </row>
    <row r="58" spans="20:56" x14ac:dyDescent="0.25">
      <c r="AP58" s="841" t="s">
        <v>366</v>
      </c>
      <c r="AQ58" s="712">
        <v>23</v>
      </c>
      <c r="AR58" s="840">
        <v>0.3</v>
      </c>
      <c r="AS58" s="840">
        <v>0.6</v>
      </c>
      <c r="AT58" s="840">
        <v>0.7</v>
      </c>
      <c r="AU58" s="840">
        <v>0.9</v>
      </c>
      <c r="AV58" s="840">
        <v>1</v>
      </c>
      <c r="AW58" s="718"/>
    </row>
    <row r="59" spans="20:56" x14ac:dyDescent="0.25">
      <c r="AP59" s="841" t="s">
        <v>367</v>
      </c>
      <c r="AQ59" s="712">
        <v>33</v>
      </c>
      <c r="AR59" s="840">
        <v>0</v>
      </c>
      <c r="AS59" s="840">
        <v>0.3</v>
      </c>
      <c r="AT59" s="840">
        <v>0.6</v>
      </c>
      <c r="AU59" s="840">
        <v>0.9</v>
      </c>
      <c r="AV59" s="840">
        <v>1</v>
      </c>
      <c r="AW59" s="85"/>
      <c r="AX59" s="88"/>
      <c r="BC59" s="88"/>
      <c r="BD59" s="88"/>
    </row>
    <row r="60" spans="20:56" x14ac:dyDescent="0.25">
      <c r="AP60" s="718"/>
      <c r="AQ60" s="718"/>
      <c r="AR60" s="718"/>
      <c r="AS60" s="718"/>
      <c r="AT60" s="718"/>
      <c r="AU60" s="718"/>
      <c r="AV60" s="718"/>
      <c r="AW60" s="88"/>
      <c r="AX60" s="88"/>
      <c r="BC60" s="88"/>
      <c r="BD60" s="88"/>
    </row>
    <row r="61" spans="20:56" x14ac:dyDescent="0.25">
      <c r="AP61" s="88"/>
      <c r="AQ61" s="85"/>
      <c r="AR61" s="88"/>
      <c r="AS61" s="88"/>
      <c r="AT61" s="88"/>
      <c r="AU61" s="88"/>
      <c r="AV61" s="88"/>
      <c r="AW61" s="85"/>
      <c r="AX61" s="85"/>
      <c r="BC61" s="88"/>
      <c r="BD61" s="88"/>
    </row>
    <row r="62" spans="20:56" x14ac:dyDescent="0.25">
      <c r="AP62" s="200"/>
      <c r="AQ62" s="85"/>
      <c r="AR62" s="88"/>
      <c r="AS62" s="88"/>
      <c r="AT62" s="88"/>
      <c r="AU62" s="88"/>
      <c r="AV62" s="88"/>
      <c r="AW62" s="85"/>
      <c r="AX62" s="85"/>
      <c r="BC62" s="88"/>
      <c r="BD62" s="88"/>
    </row>
    <row r="63" spans="20:56" x14ac:dyDescent="0.25">
      <c r="AP63" s="85"/>
      <c r="AQ63" s="85"/>
      <c r="AR63" s="88"/>
      <c r="AS63" s="88"/>
      <c r="AT63" s="88"/>
      <c r="AU63" s="88"/>
      <c r="AV63" s="88"/>
      <c r="AW63" s="85"/>
      <c r="AX63" s="85"/>
      <c r="BC63" s="88"/>
      <c r="BD63" s="88"/>
    </row>
    <row r="64" spans="20:56" x14ac:dyDescent="0.25">
      <c r="AP64" s="85"/>
      <c r="AQ64" s="85"/>
      <c r="AR64" s="88"/>
      <c r="AS64" s="88"/>
      <c r="AT64" s="88"/>
      <c r="AU64" s="88"/>
      <c r="AV64" s="88"/>
      <c r="AW64" s="85"/>
      <c r="AX64" s="88"/>
      <c r="BC64" s="88"/>
      <c r="BD64" s="88"/>
    </row>
    <row r="65" spans="42:56" x14ac:dyDescent="0.25">
      <c r="AP65" s="85"/>
      <c r="AQ65" s="85"/>
      <c r="AR65" s="88"/>
      <c r="AS65" s="88"/>
      <c r="AT65" s="88"/>
      <c r="AU65" s="88"/>
      <c r="AV65" s="88"/>
      <c r="AW65" s="85"/>
      <c r="AX65" s="88"/>
      <c r="BC65" s="88"/>
      <c r="BD65" s="88"/>
    </row>
    <row r="66" spans="42:56" x14ac:dyDescent="0.25">
      <c r="AP66" s="85"/>
      <c r="AQ66" s="85"/>
      <c r="AR66" s="88"/>
      <c r="AS66" s="88"/>
      <c r="AT66" s="88"/>
      <c r="AU66" s="88"/>
      <c r="AV66" s="88"/>
    </row>
    <row r="67" spans="42:56" x14ac:dyDescent="0.25">
      <c r="AP67" s="85"/>
      <c r="AQ67" s="85"/>
      <c r="AR67" s="88"/>
      <c r="AS67" s="88"/>
      <c r="AT67" s="88"/>
      <c r="AU67" s="88"/>
      <c r="AV67" s="88"/>
    </row>
  </sheetData>
  <sheetProtection algorithmName="SHA-512" hashValue="3IZy/LvG1z6QLbfIgFwt8PbiS8nE/Or1knF4bfPqr0w3VDY2oXkvcdPoiUrA0t25czdT21masS7FrYe/gGq78w==" saltValue="rKzrmBPYRw2fmkM7Yqia2w==" spinCount="100000" sheet="1"/>
  <mergeCells count="76">
    <mergeCell ref="C40:F40"/>
    <mergeCell ref="BO40:BU43"/>
    <mergeCell ref="B41:D41"/>
    <mergeCell ref="F41:G41"/>
    <mergeCell ref="H41:I41"/>
    <mergeCell ref="J41:K41"/>
    <mergeCell ref="M41:N41"/>
    <mergeCell ref="O41:P41"/>
    <mergeCell ref="B42:D42"/>
    <mergeCell ref="L43:R43"/>
    <mergeCell ref="F42:G42"/>
    <mergeCell ref="H42:I42"/>
    <mergeCell ref="J42:K42"/>
    <mergeCell ref="M42:N42"/>
    <mergeCell ref="O42:P42"/>
    <mergeCell ref="Q42:R42"/>
    <mergeCell ref="BO35:BU38"/>
    <mergeCell ref="C36:F36"/>
    <mergeCell ref="C37:F37"/>
    <mergeCell ref="C38:F38"/>
    <mergeCell ref="C39:F39"/>
    <mergeCell ref="BQ20:BU20"/>
    <mergeCell ref="C21:F21"/>
    <mergeCell ref="C22:F22"/>
    <mergeCell ref="BO22:BO30"/>
    <mergeCell ref="C23:F23"/>
    <mergeCell ref="C24:F24"/>
    <mergeCell ref="C25:F25"/>
    <mergeCell ref="C26:F26"/>
    <mergeCell ref="C27:F27"/>
    <mergeCell ref="C28:F28"/>
    <mergeCell ref="C29:F29"/>
    <mergeCell ref="C30:F30"/>
    <mergeCell ref="C33:F33"/>
    <mergeCell ref="C34:F34"/>
    <mergeCell ref="C35:F35"/>
    <mergeCell ref="C14:F14"/>
    <mergeCell ref="C15:F15"/>
    <mergeCell ref="C16:F16"/>
    <mergeCell ref="C17:F17"/>
    <mergeCell ref="C32:F32"/>
    <mergeCell ref="C19:F19"/>
    <mergeCell ref="C20:F20"/>
    <mergeCell ref="C31:F31"/>
    <mergeCell ref="Q6:R6"/>
    <mergeCell ref="B7:E7"/>
    <mergeCell ref="F7:G7"/>
    <mergeCell ref="H7:L7"/>
    <mergeCell ref="C18:F18"/>
    <mergeCell ref="M7:N7"/>
    <mergeCell ref="O7:P7"/>
    <mergeCell ref="Q7:R7"/>
    <mergeCell ref="B8:F8"/>
    <mergeCell ref="L8:R8"/>
    <mergeCell ref="C9:F9"/>
    <mergeCell ref="L9:R40"/>
    <mergeCell ref="C10:F10"/>
    <mergeCell ref="C11:F11"/>
    <mergeCell ref="C12:F12"/>
    <mergeCell ref="C13:F13"/>
    <mergeCell ref="B4:G4"/>
    <mergeCell ref="H4:N4"/>
    <mergeCell ref="O4:P4"/>
    <mergeCell ref="Q4:R4"/>
    <mergeCell ref="BP4:BU5"/>
    <mergeCell ref="B5:G5"/>
    <mergeCell ref="H5:N5"/>
    <mergeCell ref="O5:P5"/>
    <mergeCell ref="Q5:R5"/>
    <mergeCell ref="BH5:BK7"/>
    <mergeCell ref="BL5:BN7"/>
    <mergeCell ref="B6:E6"/>
    <mergeCell ref="F6:G6"/>
    <mergeCell ref="H6:L6"/>
    <mergeCell ref="M6:N6"/>
    <mergeCell ref="O6:P6"/>
  </mergeCells>
  <conditionalFormatting sqref="B9:F40">
    <cfRule type="expression" dxfId="43" priority="9" stopIfTrue="1">
      <formula>IF($Z9=1,TRUE,FALSE)</formula>
    </cfRule>
    <cfRule type="expression" dxfId="42" priority="10">
      <formula>IF($Z9=2,TRUE,FALSE)</formula>
    </cfRule>
  </conditionalFormatting>
  <conditionalFormatting sqref="C9:F40">
    <cfRule type="expression" dxfId="41" priority="2" stopIfTrue="1">
      <formula>IF($AF9=FALSE,TRUE,FALSE)</formula>
    </cfRule>
  </conditionalFormatting>
  <conditionalFormatting sqref="F6:G7 M6:P7">
    <cfRule type="expression" dxfId="40" priority="5" stopIfTrue="1">
      <formula>NOT($AU$5)</formula>
    </cfRule>
  </conditionalFormatting>
  <conditionalFormatting sqref="F7:G7">
    <cfRule type="cellIs" dxfId="39" priority="4" operator="equal">
      <formula>""</formula>
    </cfRule>
  </conditionalFormatting>
  <conditionalFormatting sqref="G9:K40">
    <cfRule type="expression" dxfId="38" priority="7" stopIfTrue="1">
      <formula>IF($Z9=1,TRUE,FALSE)</formula>
    </cfRule>
    <cfRule type="expression" dxfId="37" priority="8" stopIfTrue="1">
      <formula>IF($Z9=2,TRUE,FALSE)</formula>
    </cfRule>
  </conditionalFormatting>
  <conditionalFormatting sqref="H9:H40">
    <cfRule type="expression" dxfId="36" priority="11" stopIfTrue="1">
      <formula>IF($AB9=0,TRUE,FALSE)</formula>
    </cfRule>
  </conditionalFormatting>
  <conditionalFormatting sqref="H41:I42">
    <cfRule type="expression" dxfId="35" priority="3" stopIfTrue="1">
      <formula>IF($H$42="N/A",TRUE,FALSE)</formula>
    </cfRule>
  </conditionalFormatting>
  <conditionalFormatting sqref="H7:P7 O5:R5 B7 L9">
    <cfRule type="containsBlanks" dxfId="34" priority="6">
      <formula>LEN(TRIM(B5))=0</formula>
    </cfRule>
  </conditionalFormatting>
  <conditionalFormatting sqref="J9:J40">
    <cfRule type="expression" dxfId="33" priority="15">
      <formula>IF($Z9=1,FALSE,OR($BE9,$BD9))</formula>
    </cfRule>
  </conditionalFormatting>
  <conditionalFormatting sqref="J9:K40 C9:F40">
    <cfRule type="expression" dxfId="32" priority="14">
      <formula>IF($Z9=1,FALSE,OR($AW9,$AX9,$AY9,$AZ9))</formula>
    </cfRule>
  </conditionalFormatting>
  <conditionalFormatting sqref="J9:K40">
    <cfRule type="expression" dxfId="31" priority="12" stopIfTrue="1">
      <formula>IF(ISNA($Z9),TRUE,FALSE)</formula>
    </cfRule>
  </conditionalFormatting>
  <conditionalFormatting sqref="K9:K40">
    <cfRule type="expression" dxfId="30" priority="13">
      <formula>IF(OR($Z9=1,$Z9=2),FALSE,OR($BC9,$BE9,$BF9))</formula>
    </cfRule>
  </conditionalFormatting>
  <conditionalFormatting sqref="L42">
    <cfRule type="expression" dxfId="29" priority="1">
      <formula>NOT($U$50)</formula>
    </cfRule>
  </conditionalFormatting>
  <dataValidations count="6">
    <dataValidation type="list" allowBlank="1" showInputMessage="1" showErrorMessage="1" sqref="F7:G7" xr:uid="{90B84038-CC31-4923-8902-7C0EBC002DB1}">
      <formula1>"No,Yes"</formula1>
    </dataValidation>
    <dataValidation type="list" allowBlank="1" showInputMessage="1" showErrorMessage="1" sqref="J9:J40" xr:uid="{CDC6CE56-B01A-48B8-81CA-598909B36670}">
      <formula1>"NA,0,1,2,3,4,5,6,7,8,9,10,11,12,13,14,15"</formula1>
    </dataValidation>
    <dataValidation type="list" allowBlank="1" showInputMessage="1" showErrorMessage="1" sqref="K9:K40" xr:uid="{457E0CC5-D360-403D-A9C2-5A087115014F}">
      <formula1>"D,0,1,2,3,4"</formula1>
    </dataValidation>
    <dataValidation showInputMessage="1" showErrorMessage="1" sqref="O42:R42" xr:uid="{82A6A9C1-8DC1-4F2E-92E1-F95C5A374E97}"/>
    <dataValidation type="decimal" allowBlank="1" showInputMessage="1" showErrorMessage="1" sqref="O7:P7" xr:uid="{BDFCB46C-FFFE-4334-910A-2380066F39EA}">
      <formula1>0</formula1>
      <formula2>10</formula2>
    </dataValidation>
    <dataValidation type="date" allowBlank="1" showInputMessage="1" showErrorMessage="1" sqref="Q5:R5" xr:uid="{292D970D-CC67-4195-A251-0C3560C7DBD8}">
      <formula1>41151</formula1>
      <formula2>77433</formula2>
    </dataValidation>
  </dataValidations>
  <hyperlinks>
    <hyperlink ref="BP4" location="PF!A1" display="PF phase Summary Page" xr:uid="{035C4077-7E61-499A-9842-B024B68001B1}"/>
    <hyperlink ref="BP4:BU5" location="TF!A1" display="TF Summary Page" xr:uid="{DD27E06B-40C4-4E23-ABA9-B955D9792206}"/>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2322" r:id="rId3" name="IP_Signature">
              <controlPr defaultSize="0" print="0" autoFill="0" autoPict="0" macro="[0]!IP_signature">
                <anchor moveWithCells="1" sizeWithCells="1">
                  <from>
                    <xdr:col>11</xdr:col>
                    <xdr:colOff>0</xdr:colOff>
                    <xdr:row>41</xdr:row>
                    <xdr:rowOff>0</xdr:rowOff>
                  </from>
                  <to>
                    <xdr:col>12</xdr:col>
                    <xdr:colOff>0</xdr:colOff>
                    <xdr:row>42</xdr:row>
                    <xdr:rowOff>0</xdr:rowOff>
                  </to>
                </anchor>
              </controlPr>
            </control>
          </mc:Choice>
        </mc:AlternateContent>
        <mc:AlternateContent xmlns:mc="http://schemas.openxmlformats.org/markup-compatibility/2006">
          <mc:Choice Requires="x14">
            <control shapeId="312323" r:id="rId4" name="CCG_Click">
              <controlPr defaultSize="0" print="0" autoFill="0" autoPict="0" macro="[0]!CCG_Click">
                <anchor moveWithCells="1" sizeWithCells="1">
                  <from>
                    <xdr:col>4</xdr:col>
                    <xdr:colOff>0</xdr:colOff>
                    <xdr:row>42</xdr:row>
                    <xdr:rowOff>38100</xdr:rowOff>
                  </from>
                  <to>
                    <xdr:col>6</xdr:col>
                    <xdr:colOff>123825</xdr:colOff>
                    <xdr:row>43</xdr:row>
                    <xdr:rowOff>190500</xdr:rowOff>
                  </to>
                </anchor>
              </controlPr>
            </control>
          </mc:Choice>
        </mc:AlternateContent>
        <mc:AlternateContent xmlns:mc="http://schemas.openxmlformats.org/markup-compatibility/2006">
          <mc:Choice Requires="x14">
            <control shapeId="312324" r:id="rId5" name="MCG_Click">
              <controlPr defaultSize="0" print="0" autoFill="0" autoPict="0" macro="[0]!MCG_Click">
                <anchor moveWithCells="1" sizeWithCells="1">
                  <from>
                    <xdr:col>6</xdr:col>
                    <xdr:colOff>190500</xdr:colOff>
                    <xdr:row>42</xdr:row>
                    <xdr:rowOff>38100</xdr:rowOff>
                  </from>
                  <to>
                    <xdr:col>11</xdr:col>
                    <xdr:colOff>66675</xdr:colOff>
                    <xdr:row>43</xdr:row>
                    <xdr:rowOff>190500</xdr:rowOff>
                  </to>
                </anchor>
              </controlPr>
            </control>
          </mc:Choice>
        </mc:AlternateContent>
        <mc:AlternateContent xmlns:mc="http://schemas.openxmlformats.org/markup-compatibility/2006">
          <mc:Choice Requires="x14">
            <control shapeId="312325" r:id="rId6" name="DCG_Click">
              <controlPr defaultSize="0" print="0" autoFill="0" autoPict="0" macro="[0]!DCG_Click">
                <anchor moveWithCells="1" sizeWithCells="1">
                  <from>
                    <xdr:col>11</xdr:col>
                    <xdr:colOff>123825</xdr:colOff>
                    <xdr:row>42</xdr:row>
                    <xdr:rowOff>38100</xdr:rowOff>
                  </from>
                  <to>
                    <xdr:col>12</xdr:col>
                    <xdr:colOff>276225</xdr:colOff>
                    <xdr:row>43</xdr:row>
                    <xdr:rowOff>190500</xdr:rowOff>
                  </to>
                </anchor>
              </controlPr>
            </control>
          </mc:Choice>
        </mc:AlternateContent>
        <mc:AlternateContent xmlns:mc="http://schemas.openxmlformats.org/markup-compatibility/2006">
          <mc:Choice Requires="x14">
            <control shapeId="312326" r:id="rId7" name="PMC_Click">
              <controlPr defaultSize="0" print="0" autoFill="0" autoPict="0" macro="[0]!PMC_Click">
                <anchor moveWithCells="1" sizeWithCells="1">
                  <from>
                    <xdr:col>12</xdr:col>
                    <xdr:colOff>342900</xdr:colOff>
                    <xdr:row>42</xdr:row>
                    <xdr:rowOff>38100</xdr:rowOff>
                  </from>
                  <to>
                    <xdr:col>17</xdr:col>
                    <xdr:colOff>257175</xdr:colOff>
                    <xdr:row>43</xdr:row>
                    <xdr:rowOff>190500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424FA-1C88-4A98-ABC3-8E1A3BB08771}">
  <sheetPr>
    <tabColor rgb="FFFFFF00"/>
    <pageSetUpPr autoPageBreaks="0"/>
  </sheetPr>
  <dimension ref="A1:AVW67"/>
  <sheetViews>
    <sheetView showGridLines="0" showRowColHeaders="0" topLeftCell="B3" zoomScaleNormal="100" workbookViewId="0">
      <selection activeCell="L9" sqref="L9:R40"/>
    </sheetView>
  </sheetViews>
  <sheetFormatPr defaultColWidth="9.140625" defaultRowHeight="15" x14ac:dyDescent="0.25"/>
  <cols>
    <col min="1" max="1" width="1.5703125" style="714" customWidth="1"/>
    <col min="2" max="2" width="3.5703125" style="714" customWidth="1"/>
    <col min="3" max="3" width="5.5703125" style="715" customWidth="1"/>
    <col min="4" max="4" width="9.140625" style="715"/>
    <col min="5" max="5" width="14" style="715" customWidth="1"/>
    <col min="6" max="6" width="7.85546875" style="715" customWidth="1"/>
    <col min="7" max="11" width="5.140625" style="715" customWidth="1"/>
    <col min="12" max="12" width="21.5703125" style="715" customWidth="1"/>
    <col min="13" max="13" width="6.5703125" style="715" customWidth="1"/>
    <col min="14" max="14" width="12.5703125" style="715" customWidth="1"/>
    <col min="15" max="15" width="7.85546875" style="715" customWidth="1"/>
    <col min="16" max="16" width="2.7109375" style="715" customWidth="1"/>
    <col min="17" max="17" width="4.85546875" style="715" customWidth="1"/>
    <col min="18" max="18" width="7.28515625" style="715" customWidth="1"/>
    <col min="19" max="19" width="1.7109375" style="715" customWidth="1"/>
    <col min="20" max="20" width="19.140625" style="716" hidden="1" customWidth="1"/>
    <col min="21" max="21" width="31.140625" style="716" hidden="1" customWidth="1"/>
    <col min="22" max="22" width="5.140625" style="716" hidden="1" customWidth="1"/>
    <col min="23" max="24" width="6.28515625" style="716" hidden="1" customWidth="1"/>
    <col min="25" max="25" width="8.42578125" style="716" hidden="1" customWidth="1"/>
    <col min="26" max="26" width="7.85546875" style="716" hidden="1" customWidth="1"/>
    <col min="27" max="27" width="10.7109375" style="716" hidden="1" customWidth="1"/>
    <col min="28" max="28" width="8" style="716" hidden="1" customWidth="1"/>
    <col min="29" max="31" width="5.140625" style="716" hidden="1" customWidth="1"/>
    <col min="32" max="34" width="5.85546875" style="716" hidden="1" customWidth="1"/>
    <col min="35" max="35" width="8.5703125" style="717" hidden="1" customWidth="1"/>
    <col min="36" max="36" width="7" style="716" hidden="1" customWidth="1"/>
    <col min="37" max="38" width="5.28515625" style="716" hidden="1" customWidth="1"/>
    <col min="39" max="40" width="7" style="716" hidden="1" customWidth="1"/>
    <col min="41" max="41" width="5.140625" style="716" hidden="1" customWidth="1"/>
    <col min="42" max="42" width="11.28515625" style="716" hidden="1" customWidth="1"/>
    <col min="43" max="43" width="6.42578125" style="716" hidden="1" customWidth="1"/>
    <col min="44" max="44" width="8.28515625" style="716" hidden="1" customWidth="1"/>
    <col min="45" max="45" width="8.85546875" style="716" hidden="1" customWidth="1"/>
    <col min="46" max="46" width="10.7109375" style="716" hidden="1" customWidth="1"/>
    <col min="47" max="47" width="8.85546875" style="716" hidden="1" customWidth="1"/>
    <col min="48" max="48" width="6.28515625" style="716" hidden="1" customWidth="1"/>
    <col min="49" max="49" width="10" style="716" hidden="1" customWidth="1"/>
    <col min="50" max="50" width="7.5703125" style="716" hidden="1" customWidth="1"/>
    <col min="51" max="51" width="7" style="716" hidden="1" customWidth="1"/>
    <col min="52" max="52" width="8.140625" style="716" hidden="1" customWidth="1"/>
    <col min="53" max="53" width="12.5703125" style="716" hidden="1" customWidth="1"/>
    <col min="54" max="54" width="7.7109375" style="716" hidden="1" customWidth="1"/>
    <col min="55" max="55" width="12.7109375" style="716" hidden="1" customWidth="1"/>
    <col min="56" max="56" width="7" style="716" hidden="1" customWidth="1"/>
    <col min="57" max="57" width="15.5703125" style="718" hidden="1" customWidth="1"/>
    <col min="58" max="58" width="9.140625" style="718" hidden="1" customWidth="1"/>
    <col min="59" max="59" width="10" style="716" hidden="1" customWidth="1"/>
    <col min="60" max="60" width="5.28515625" style="718" hidden="1" customWidth="1"/>
    <col min="61" max="61" width="4" style="718" hidden="1" customWidth="1"/>
    <col min="62" max="62" width="4.7109375" style="718" hidden="1" customWidth="1"/>
    <col min="63" max="63" width="5.5703125" style="718" hidden="1" customWidth="1"/>
    <col min="64" max="64" width="5.28515625" style="718" hidden="1" customWidth="1"/>
    <col min="65" max="65" width="4" style="718" hidden="1" customWidth="1"/>
    <col min="66" max="66" width="5.5703125" style="718" hidden="1" customWidth="1"/>
    <col min="67" max="67" width="5.140625" style="719" customWidth="1"/>
    <col min="68" max="73" width="5.140625" style="715" customWidth="1"/>
    <col min="74" max="16384" width="9.140625" style="715"/>
  </cols>
  <sheetData>
    <row r="1" spans="2:73" s="711" customFormat="1" ht="12" hidden="1" x14ac:dyDescent="0.2">
      <c r="T1" s="712"/>
      <c r="U1" s="712"/>
      <c r="V1" s="712"/>
      <c r="W1" s="712"/>
      <c r="X1" s="712"/>
      <c r="Y1" s="712"/>
      <c r="Z1" s="712"/>
      <c r="AA1" s="712"/>
      <c r="AB1" s="712"/>
      <c r="AC1" s="712"/>
      <c r="AD1" s="712"/>
      <c r="AE1" s="712"/>
      <c r="AF1" s="712"/>
      <c r="AG1" s="712"/>
      <c r="AH1" s="712"/>
      <c r="AI1" s="713"/>
      <c r="AJ1" s="712"/>
      <c r="AK1" s="712"/>
      <c r="AL1" s="712"/>
      <c r="AM1" s="712"/>
      <c r="AN1" s="712"/>
      <c r="AO1" s="712"/>
      <c r="AP1" s="712"/>
      <c r="AQ1" s="712"/>
      <c r="AR1" s="712"/>
      <c r="AS1" s="712"/>
      <c r="AT1" s="712"/>
      <c r="AU1" s="712"/>
      <c r="AV1" s="712"/>
      <c r="AW1" s="712"/>
      <c r="AX1" s="712"/>
      <c r="AY1" s="712"/>
      <c r="AZ1" s="712"/>
      <c r="BA1" s="712"/>
      <c r="BB1" s="712"/>
      <c r="BC1" s="712"/>
      <c r="BD1" s="712"/>
      <c r="BE1" s="712"/>
      <c r="BF1" s="712"/>
      <c r="BG1" s="712"/>
      <c r="BH1" s="712"/>
      <c r="BI1" s="712"/>
      <c r="BJ1" s="712"/>
      <c r="BK1" s="712"/>
      <c r="BL1" s="712"/>
      <c r="BM1" s="712"/>
      <c r="BN1" s="712"/>
    </row>
    <row r="2" spans="2:73" s="711" customFormat="1" ht="12" hidden="1" x14ac:dyDescent="0.2">
      <c r="T2" s="712"/>
      <c r="U2" s="712"/>
      <c r="V2" s="712"/>
      <c r="W2" s="712"/>
      <c r="X2" s="712"/>
      <c r="Y2" s="712"/>
      <c r="Z2" s="712"/>
      <c r="AA2" s="712"/>
      <c r="AB2" s="712"/>
      <c r="AC2" s="712"/>
      <c r="AD2" s="712"/>
      <c r="AE2" s="712"/>
      <c r="AF2" s="712"/>
      <c r="AG2" s="712"/>
      <c r="AH2" s="712"/>
      <c r="AI2" s="713"/>
      <c r="AJ2" s="712"/>
      <c r="AK2" s="712"/>
      <c r="AL2" s="712"/>
      <c r="AM2" s="712"/>
      <c r="AN2" s="712"/>
      <c r="AO2" s="712"/>
      <c r="AP2" s="712"/>
      <c r="AQ2" s="712"/>
      <c r="AR2" s="712"/>
      <c r="AS2" s="712"/>
      <c r="AT2" s="712"/>
      <c r="AU2" s="712"/>
      <c r="AV2" s="712"/>
      <c r="AW2" s="712"/>
      <c r="AX2" s="712"/>
      <c r="AY2" s="712"/>
      <c r="AZ2" s="712"/>
      <c r="BA2" s="712"/>
      <c r="BB2" s="712"/>
      <c r="BC2" s="712"/>
      <c r="BD2" s="712"/>
      <c r="BE2" s="712"/>
      <c r="BF2" s="712"/>
      <c r="BG2" s="712"/>
      <c r="BH2" s="712"/>
      <c r="BI2" s="712"/>
      <c r="BJ2" s="712"/>
      <c r="BK2" s="712"/>
      <c r="BL2" s="712"/>
      <c r="BM2" s="712"/>
      <c r="BN2" s="712"/>
    </row>
    <row r="3" spans="2:73" ht="15.75" thickBot="1" x14ac:dyDescent="0.3">
      <c r="BE3" s="716"/>
      <c r="BF3" s="716"/>
      <c r="BG3" s="718"/>
    </row>
    <row r="4" spans="2:73" ht="13.5" customHeight="1" thickTop="1" x14ac:dyDescent="0.25">
      <c r="B4" s="1078" t="s">
        <v>267</v>
      </c>
      <c r="C4" s="1079"/>
      <c r="D4" s="1079"/>
      <c r="E4" s="1079"/>
      <c r="F4" s="1079"/>
      <c r="G4" s="1080"/>
      <c r="H4" s="1081" t="s">
        <v>629</v>
      </c>
      <c r="I4" s="1082"/>
      <c r="J4" s="1082"/>
      <c r="K4" s="1082"/>
      <c r="L4" s="1082"/>
      <c r="M4" s="1082"/>
      <c r="N4" s="1083"/>
      <c r="O4" s="1084" t="s">
        <v>269</v>
      </c>
      <c r="P4" s="1085"/>
      <c r="Q4" s="1084" t="s">
        <v>270</v>
      </c>
      <c r="R4" s="1086"/>
      <c r="S4" s="720"/>
      <c r="T4" s="721"/>
      <c r="U4" s="721"/>
      <c r="V4" s="721"/>
      <c r="W4" s="721"/>
      <c r="X4" s="721"/>
      <c r="Y4" s="721"/>
      <c r="Z4" s="721"/>
      <c r="AA4" s="721"/>
      <c r="AB4" s="721"/>
      <c r="AC4" s="721"/>
      <c r="AD4" s="721"/>
      <c r="AE4" s="721"/>
      <c r="AF4" s="721"/>
      <c r="AG4" s="721"/>
      <c r="AH4" s="721"/>
      <c r="AI4" s="722"/>
      <c r="AJ4" s="721"/>
      <c r="AK4" s="721"/>
      <c r="AL4" s="721"/>
      <c r="AM4" s="721"/>
      <c r="AN4" s="721"/>
      <c r="AO4" s="721"/>
      <c r="AP4" s="721"/>
      <c r="AQ4" s="712"/>
      <c r="AR4" s="712"/>
      <c r="AW4" s="716" t="s">
        <v>271</v>
      </c>
      <c r="AX4" s="716" t="s">
        <v>272</v>
      </c>
      <c r="AY4" s="716" t="s">
        <v>273</v>
      </c>
      <c r="AZ4" s="716" t="s">
        <v>274</v>
      </c>
      <c r="BA4" s="716" t="s">
        <v>275</v>
      </c>
      <c r="BB4" s="716" t="s">
        <v>276</v>
      </c>
      <c r="BE4" s="716"/>
      <c r="BF4" s="716"/>
      <c r="BG4" s="718"/>
      <c r="BP4" s="976" t="s">
        <v>845</v>
      </c>
      <c r="BQ4" s="976"/>
      <c r="BR4" s="976"/>
      <c r="BS4" s="976"/>
      <c r="BT4" s="976"/>
      <c r="BU4" s="976"/>
    </row>
    <row r="5" spans="2:73" s="731" customFormat="1" ht="15.75" customHeight="1" x14ac:dyDescent="0.2">
      <c r="B5" s="1087" t="s">
        <v>618</v>
      </c>
      <c r="C5" s="1088"/>
      <c r="D5" s="1088"/>
      <c r="E5" s="1088"/>
      <c r="F5" s="1088"/>
      <c r="G5" s="1089"/>
      <c r="H5" s="1090" t="s">
        <v>620</v>
      </c>
      <c r="I5" s="1091"/>
      <c r="J5" s="1091"/>
      <c r="K5" s="1091"/>
      <c r="L5" s="1091"/>
      <c r="M5" s="1091"/>
      <c r="N5" s="1092"/>
      <c r="O5" s="1093"/>
      <c r="P5" s="1094"/>
      <c r="Q5" s="1095"/>
      <c r="R5" s="1096"/>
      <c r="S5" s="723"/>
      <c r="T5" s="724"/>
      <c r="U5" s="724"/>
      <c r="V5" s="724"/>
      <c r="W5" s="724"/>
      <c r="X5" s="724"/>
      <c r="Y5" s="724"/>
      <c r="Z5" s="724"/>
      <c r="AA5" s="724"/>
      <c r="AB5" s="724"/>
      <c r="AC5" s="724"/>
      <c r="AD5" s="724"/>
      <c r="AE5" s="724"/>
      <c r="AF5" s="724"/>
      <c r="AG5" s="724"/>
      <c r="AH5" s="724"/>
      <c r="AI5" s="725"/>
      <c r="AJ5" s="724"/>
      <c r="AK5" s="724"/>
      <c r="AL5" s="724"/>
      <c r="AM5" s="724"/>
      <c r="AN5" s="724"/>
      <c r="AO5" s="724"/>
      <c r="AP5" s="724"/>
      <c r="AQ5" s="726"/>
      <c r="AR5" s="726"/>
      <c r="AS5" s="727"/>
      <c r="AT5" s="728" t="s">
        <v>278</v>
      </c>
      <c r="AU5" s="729" t="b">
        <v>0</v>
      </c>
      <c r="AV5" s="727">
        <v>0</v>
      </c>
      <c r="AW5" s="727" t="b">
        <f>IF(ISERR(OR(AW9:AW40)),"UNK",IF(AND(graded_aca_events&gt;=1,input_test),FALSE,OR(AW9:AW40)))</f>
        <v>0</v>
      </c>
      <c r="AX5" s="727" t="b">
        <f>IF(ISERR(OR(AX9:AX40)),"UNK",IF(AND(graded_aca_events&gt;=1,input_test),FALSE,OR(AX9:AX40)))</f>
        <v>1</v>
      </c>
      <c r="AY5" s="727" t="b">
        <f>IF(ISERR(OR(AY9:AY40)),"UNK",OR(AY9:AY40))</f>
        <v>0</v>
      </c>
      <c r="AZ5" s="727" t="b">
        <f>IF(ISERR(OR(AZ9:AZ40)),"UNK",OR(AZ9:AZ40))</f>
        <v>0</v>
      </c>
      <c r="BA5" s="727" t="b">
        <f>IF(ISERR(OR(BA9:BA40)),"UNK",OR(BA9:BA40))</f>
        <v>0</v>
      </c>
      <c r="BB5" s="727" t="b">
        <f>IF(ISERR(OR(BB9:BB40)),"UNK",OR(BB9:BB40))</f>
        <v>0</v>
      </c>
      <c r="BC5" s="730" t="b">
        <f>OR(BC9:BC40)</f>
        <v>0</v>
      </c>
      <c r="BD5" s="730" t="b">
        <f>OR(BD9:BD40)</f>
        <v>0</v>
      </c>
      <c r="BE5" s="730" t="b">
        <f>OR(BE9:BE40)</f>
        <v>0</v>
      </c>
      <c r="BF5" s="730"/>
      <c r="BG5" s="727"/>
      <c r="BH5" s="1097" t="s">
        <v>279</v>
      </c>
      <c r="BI5" s="1097"/>
      <c r="BJ5" s="1097"/>
      <c r="BK5" s="1097"/>
      <c r="BL5" s="1098" t="s">
        <v>280</v>
      </c>
      <c r="BM5" s="1098"/>
      <c r="BN5" s="1098"/>
      <c r="BO5" s="719"/>
      <c r="BP5" s="976"/>
      <c r="BQ5" s="976"/>
      <c r="BR5" s="976"/>
      <c r="BS5" s="976"/>
      <c r="BT5" s="976"/>
      <c r="BU5" s="976"/>
    </row>
    <row r="6" spans="2:73" s="720" customFormat="1" ht="7.5" customHeight="1" x14ac:dyDescent="0.25">
      <c r="B6" s="1099" t="s">
        <v>281</v>
      </c>
      <c r="C6" s="1100"/>
      <c r="D6" s="1100"/>
      <c r="E6" s="1101"/>
      <c r="F6" s="1102" t="s">
        <v>282</v>
      </c>
      <c r="G6" s="1101"/>
      <c r="H6" s="1102" t="s">
        <v>283</v>
      </c>
      <c r="I6" s="1100"/>
      <c r="J6" s="1100"/>
      <c r="K6" s="1100"/>
      <c r="L6" s="1101"/>
      <c r="M6" s="1103" t="s">
        <v>284</v>
      </c>
      <c r="N6" s="1104"/>
      <c r="O6" s="1105" t="s">
        <v>285</v>
      </c>
      <c r="P6" s="1106"/>
      <c r="Q6" s="1102" t="str">
        <f>IF(AU42=0,"GRADE","GRADE (inc. bonus)")</f>
        <v>GRADE</v>
      </c>
      <c r="R6" s="1107"/>
      <c r="T6" s="721"/>
      <c r="U6" s="721"/>
      <c r="V6" s="721"/>
      <c r="W6" s="721"/>
      <c r="X6" s="721"/>
      <c r="Y6" s="721"/>
      <c r="Z6" s="721"/>
      <c r="AA6" s="721"/>
      <c r="AB6" s="721"/>
      <c r="AC6" s="721"/>
      <c r="AD6" s="721"/>
      <c r="AE6" s="721"/>
      <c r="AF6" s="721"/>
      <c r="AG6" s="721"/>
      <c r="AH6" s="721"/>
      <c r="AI6" s="722"/>
      <c r="AJ6" s="721"/>
      <c r="AK6" s="721"/>
      <c r="AL6" s="721"/>
      <c r="AM6" s="721"/>
      <c r="AN6" s="721"/>
      <c r="AO6" s="721"/>
      <c r="AP6" s="721"/>
      <c r="AQ6" s="721"/>
      <c r="AR6" s="721"/>
      <c r="AS6" s="721"/>
      <c r="AT6" s="721"/>
      <c r="AU6" s="721"/>
      <c r="AV6" s="721"/>
      <c r="AW6" s="721"/>
      <c r="AX6" s="721"/>
      <c r="AY6" s="721"/>
      <c r="AZ6" s="721"/>
      <c r="BA6" s="721"/>
      <c r="BB6" s="721"/>
      <c r="BC6" s="721"/>
      <c r="BD6" s="721"/>
      <c r="BE6" s="721"/>
      <c r="BF6" s="721"/>
      <c r="BG6" s="721"/>
      <c r="BH6" s="1097"/>
      <c r="BI6" s="1097"/>
      <c r="BJ6" s="1097"/>
      <c r="BK6" s="1097"/>
      <c r="BL6" s="1098"/>
      <c r="BM6" s="1098"/>
      <c r="BN6" s="1098"/>
      <c r="BO6" s="732"/>
    </row>
    <row r="7" spans="2:73" s="731" customFormat="1" ht="15.75" customHeight="1" thickBot="1" x14ac:dyDescent="0.25">
      <c r="B7" s="1108"/>
      <c r="C7" s="1109"/>
      <c r="D7" s="1109"/>
      <c r="E7" s="1110"/>
      <c r="F7" s="1111" t="s">
        <v>457</v>
      </c>
      <c r="G7" s="1112"/>
      <c r="H7" s="1113"/>
      <c r="I7" s="1114"/>
      <c r="J7" s="1114"/>
      <c r="K7" s="1114"/>
      <c r="L7" s="1115"/>
      <c r="M7" s="1118"/>
      <c r="N7" s="1119"/>
      <c r="O7" s="1120"/>
      <c r="P7" s="1121"/>
      <c r="Q7" s="1122" t="str">
        <f>IF((graded_aca_events+graded_amn_events)&lt;1,"---",IF(ISERROR(AR47),"",IF(F42&lt;&gt;"COMPLETE","INCOMPLETE",AR47)))</f>
        <v>---</v>
      </c>
      <c r="R7" s="1123"/>
      <c r="S7" s="715"/>
      <c r="T7" s="727"/>
      <c r="U7" s="727">
        <v>2</v>
      </c>
      <c r="V7" s="727">
        <v>3</v>
      </c>
      <c r="W7" s="727">
        <v>6</v>
      </c>
      <c r="X7" s="727">
        <v>7</v>
      </c>
      <c r="Y7" s="727">
        <v>11</v>
      </c>
      <c r="Z7" s="727">
        <v>8</v>
      </c>
      <c r="AA7" s="733">
        <v>9</v>
      </c>
      <c r="AB7" s="733">
        <v>10</v>
      </c>
      <c r="AC7" s="733">
        <v>5</v>
      </c>
      <c r="AD7" s="733">
        <v>4</v>
      </c>
      <c r="AE7" s="733">
        <v>12</v>
      </c>
      <c r="AF7" s="733">
        <v>13</v>
      </c>
      <c r="AG7" s="733"/>
      <c r="AH7" s="733"/>
      <c r="AI7" s="734"/>
      <c r="AJ7" s="735"/>
      <c r="AK7" s="735"/>
      <c r="AL7" s="735"/>
      <c r="AM7" s="735" t="b">
        <f>IF(COUNT(AM9:AM40)&gt;0,TRUE,FALSE)</f>
        <v>0</v>
      </c>
      <c r="AN7" s="735" t="b">
        <f>IF(COUNT(AN9:AN40)&gt;0,TRUE,FALSE)</f>
        <v>0</v>
      </c>
      <c r="AO7" s="727"/>
      <c r="AP7" s="727"/>
      <c r="AQ7" s="726"/>
      <c r="AR7" s="726"/>
      <c r="AS7" s="727"/>
      <c r="AT7" s="736">
        <v>0.2</v>
      </c>
      <c r="AU7" s="727"/>
      <c r="AV7" s="737">
        <f>0.01*input_maxb</f>
        <v>0</v>
      </c>
      <c r="AW7" s="738" t="s">
        <v>287</v>
      </c>
      <c r="AX7" s="739"/>
      <c r="AY7" s="738" t="s">
        <v>288</v>
      </c>
      <c r="AZ7" s="739"/>
      <c r="BA7" s="740" t="s">
        <v>289</v>
      </c>
      <c r="BB7" s="740"/>
      <c r="BC7" s="738" t="s">
        <v>290</v>
      </c>
      <c r="BD7" s="740"/>
      <c r="BE7" s="741"/>
      <c r="BF7" s="742"/>
      <c r="BG7" s="727" t="s">
        <v>291</v>
      </c>
      <c r="BH7" s="1097"/>
      <c r="BI7" s="1097"/>
      <c r="BJ7" s="1097"/>
      <c r="BK7" s="1097"/>
      <c r="BL7" s="1098"/>
      <c r="BM7" s="1098"/>
      <c r="BN7" s="1098"/>
      <c r="BO7" s="719"/>
    </row>
    <row r="8" spans="2:73" ht="27" customHeight="1" thickBot="1" x14ac:dyDescent="0.3">
      <c r="B8" s="1124" t="s">
        <v>292</v>
      </c>
      <c r="C8" s="1125"/>
      <c r="D8" s="1125"/>
      <c r="E8" s="1125"/>
      <c r="F8" s="1126"/>
      <c r="G8" s="743" t="s">
        <v>293</v>
      </c>
      <c r="H8" s="744" t="s">
        <v>294</v>
      </c>
      <c r="I8" s="745" t="s">
        <v>295</v>
      </c>
      <c r="J8" s="746" t="s">
        <v>296</v>
      </c>
      <c r="K8" s="747" t="s">
        <v>297</v>
      </c>
      <c r="L8" s="1127" t="s">
        <v>298</v>
      </c>
      <c r="M8" s="1125"/>
      <c r="N8" s="1125"/>
      <c r="O8" s="1125"/>
      <c r="P8" s="1125"/>
      <c r="Q8" s="1125"/>
      <c r="R8" s="1128"/>
      <c r="S8" s="714"/>
      <c r="T8" s="748" t="s">
        <v>299</v>
      </c>
      <c r="U8" s="748"/>
      <c r="V8" s="748" t="s">
        <v>300</v>
      </c>
      <c r="W8" s="748" t="s">
        <v>301</v>
      </c>
      <c r="X8" s="748" t="s">
        <v>302</v>
      </c>
      <c r="Y8" s="748" t="s">
        <v>303</v>
      </c>
      <c r="Z8" s="748" t="s">
        <v>304</v>
      </c>
      <c r="AA8" s="748" t="s">
        <v>305</v>
      </c>
      <c r="AB8" s="748" t="s">
        <v>306</v>
      </c>
      <c r="AC8" s="748" t="s">
        <v>307</v>
      </c>
      <c r="AD8" s="748" t="s">
        <v>308</v>
      </c>
      <c r="AE8" s="748" t="s">
        <v>309</v>
      </c>
      <c r="AF8" s="748" t="s">
        <v>310</v>
      </c>
      <c r="AG8" s="748" t="s">
        <v>311</v>
      </c>
      <c r="AH8" s="748" t="s">
        <v>312</v>
      </c>
      <c r="AI8" s="749" t="s">
        <v>313</v>
      </c>
      <c r="AJ8" s="750" t="s">
        <v>314</v>
      </c>
      <c r="AK8" s="751" t="s">
        <v>315</v>
      </c>
      <c r="AL8" s="751" t="s">
        <v>316</v>
      </c>
      <c r="AM8" s="751" t="s">
        <v>317</v>
      </c>
      <c r="AN8" s="751" t="s">
        <v>318</v>
      </c>
      <c r="AO8" s="750" t="s">
        <v>319</v>
      </c>
      <c r="AP8" s="750" t="s">
        <v>320</v>
      </c>
      <c r="AQ8" s="752" t="s">
        <v>321</v>
      </c>
      <c r="AR8" s="753" t="s">
        <v>1</v>
      </c>
      <c r="AS8" s="752" t="s">
        <v>322</v>
      </c>
      <c r="AT8" s="753" t="s">
        <v>1</v>
      </c>
      <c r="AU8" s="752" t="s">
        <v>323</v>
      </c>
      <c r="AV8" s="754" t="s">
        <v>324</v>
      </c>
      <c r="AW8" s="755" t="s">
        <v>325</v>
      </c>
      <c r="AX8" s="756" t="s">
        <v>326</v>
      </c>
      <c r="AY8" s="755" t="s">
        <v>327</v>
      </c>
      <c r="AZ8" s="756" t="s">
        <v>328</v>
      </c>
      <c r="BA8" s="757" t="s">
        <v>329</v>
      </c>
      <c r="BB8" s="757" t="s">
        <v>330</v>
      </c>
      <c r="BC8" s="758" t="s">
        <v>331</v>
      </c>
      <c r="BD8" s="759" t="s">
        <v>332</v>
      </c>
      <c r="BE8" s="760" t="s">
        <v>333</v>
      </c>
      <c r="BF8" s="761" t="s">
        <v>334</v>
      </c>
      <c r="BG8" s="718"/>
      <c r="BH8" s="718" t="s">
        <v>335</v>
      </c>
      <c r="BI8" s="718" t="s">
        <v>336</v>
      </c>
      <c r="BJ8" s="748" t="s">
        <v>337</v>
      </c>
      <c r="BK8" s="718" t="s">
        <v>338</v>
      </c>
      <c r="BL8" s="718" t="s">
        <v>335</v>
      </c>
      <c r="BM8" s="718" t="s">
        <v>336</v>
      </c>
      <c r="BN8" s="718" t="s">
        <v>338</v>
      </c>
    </row>
    <row r="9" spans="2:73" ht="12.95" customHeight="1" x14ac:dyDescent="0.25">
      <c r="B9" s="762" t="str">
        <f>IF(ISNA(Z9),"",IF(OR(Z9=1,Z9=2),"",1))</f>
        <v/>
      </c>
      <c r="C9" s="1129" t="str">
        <f t="shared" ref="C9:C37" si="0">IF(ISNA(Z9),"",CONCATENATE($U9,IF(ISNUMBER(AI9),TEXT(ROUND($AI9,3)," (0.0%)"),""),IF(AU9&gt;0," Bonus","")))</f>
        <v>Structure &amp; Logic (30.0%)</v>
      </c>
      <c r="D9" s="1129"/>
      <c r="E9" s="1129"/>
      <c r="F9" s="1130"/>
      <c r="G9" s="763" t="str">
        <f t="shared" ref="G9:G40" si="1">BH9</f>
        <v/>
      </c>
      <c r="H9" s="764" t="str">
        <f t="shared" ref="H9:I40" si="2">BJ9</f>
        <v/>
      </c>
      <c r="I9" s="765" t="str">
        <f t="shared" si="2"/>
        <v/>
      </c>
      <c r="J9" s="766"/>
      <c r="K9" s="767"/>
      <c r="L9" s="1131"/>
      <c r="M9" s="1132"/>
      <c r="N9" s="1132"/>
      <c r="O9" s="1132"/>
      <c r="P9" s="1132"/>
      <c r="Q9" s="1132"/>
      <c r="R9" s="1133"/>
      <c r="T9" s="716">
        <v>1</v>
      </c>
      <c r="U9" s="716" t="s">
        <v>967</v>
      </c>
      <c r="V9" s="768" t="s">
        <v>340</v>
      </c>
      <c r="W9" s="768" t="s">
        <v>340</v>
      </c>
      <c r="X9" s="768" t="s">
        <v>340</v>
      </c>
      <c r="Y9" s="768" t="s">
        <v>340</v>
      </c>
      <c r="Z9" s="768">
        <v>2</v>
      </c>
      <c r="AA9" s="768">
        <v>1</v>
      </c>
      <c r="AB9" s="768">
        <v>1</v>
      </c>
      <c r="AC9" s="768" t="s">
        <v>340</v>
      </c>
      <c r="AD9" s="768" t="s">
        <v>340</v>
      </c>
      <c r="AE9" s="768" t="s">
        <v>340</v>
      </c>
      <c r="AF9" s="768" t="s">
        <v>340</v>
      </c>
      <c r="AG9" s="768" t="str">
        <f t="shared" ref="AG9:AG40" si="3">IF(CrewSoloQual="Yes",$AC9,$AD9)</f>
        <v/>
      </c>
      <c r="AH9" s="768" t="str">
        <f t="shared" ref="AH9:AH40" si="4">IF(ISNUMBER(AC9),IF(CrewSoloQual="Yes",$AC9-1,$AD9-1),"")</f>
        <v/>
      </c>
      <c r="AI9" s="769">
        <f>IF(NOT(OR(Z9=1,Z9=2)),IF(AQ9&gt;0,$AR$45*AQ9/SUMIF($AQ$9:$AQ$40,"&gt;0"),IF(AU9&gt;0,$AV$45*AU9/SUMIF($AU$9:$AU$40,"&gt;0"),IF(AS9&gt;0,$AT$45*AS9/SUMIF($AS$9:$AS$40,"&gt;0"),""))),IF(SUMIF(AJ10:$AJ$40,"=" &amp; AJ9,AI10:$AI$40)=0,"",SUMIF(AJ10:$AJ$40,"=" &amp; AJ9,AI10:$AI$40)))</f>
        <v>0.29999997965999931</v>
      </c>
      <c r="AJ9" s="770">
        <f>0</f>
        <v>0</v>
      </c>
      <c r="AK9" s="768" t="str">
        <f>BI9</f>
        <v/>
      </c>
      <c r="AL9" s="768" t="str">
        <f>IF(ISBLANK(K9),"",K9)</f>
        <v/>
      </c>
      <c r="AM9" s="768" t="str">
        <f>IF(ISNUMBER(AK9),IF(ISNUMBER(AL9),1,""),"")</f>
        <v/>
      </c>
      <c r="AN9" s="768" t="str">
        <f t="shared" ref="AN9:AN37" si="5">IF(ISNUMBER(AH9),IF(AND(AB9=0,ISNUMBER(AC9),ISNUMBER(AL9)),1,""),"")</f>
        <v/>
      </c>
      <c r="AO9" s="768" t="str">
        <f t="shared" ref="AO9:AO40" si="6">IF(AB9=0,IF(CrewSoloQual="No",BI9,BK9),"")</f>
        <v/>
      </c>
      <c r="AP9" s="768" t="str">
        <f t="shared" ref="AP9:AP40" si="7">IF(ISNA(Z9),"",IF(AND(ISNUMBER(B9),G9&gt;=1,H9&lt;&gt;"NG"),IF(K9&lt;BK9,TRUE,FALSE),IF(AND(G9&gt;=1,J9="NA"),TRUE,IF(AND(AM9=1,G9=0,AL9&lt;BI9),TRUE,""))))</f>
        <v/>
      </c>
      <c r="AQ9" s="771">
        <f>IF(ISNA(Z9),0,IF(OR(J9="NA",W9="",AB9=0),0,W9))</f>
        <v>0</v>
      </c>
      <c r="AR9" s="772" t="str">
        <f t="shared" ref="AR9:AR40" si="8">IF(ISNA(Z9),"",IF(AND(NOT(OR(Z9=1,Z9=2,AK9="NG",AB9=0)),IF(ISNUMBER(AL9),AL9&gt;=0,FALSE)),VLOOKUP((10*AD9+AC9),$AQ$51:$AV$59,2+AL9,FALSE),IF(AND(input_test=TRUE,ISNUMBER(AD9),V9&lt;&gt;0),VLOOKUP((10*AD9+AC9),$AQ$51:$AV$59,2,FALSE),"")))</f>
        <v/>
      </c>
      <c r="AS9" s="773">
        <f>IF(ISNA(Z9),0,IF(OR(J9="NA",X9="",AB9=1),0,X9))</f>
        <v>0</v>
      </c>
      <c r="AT9" s="772" t="str">
        <f t="shared" ref="AT9:AT40" si="9">IF(ISNA(Z9),"",IF(AND(NOT(OR(Z9=1,Z9=2,AK9="NG",AB9=1)),IF(ISNUMBER(AL9),AL9&gt;=0,FALSE)),VLOOKUP((10*AH9+AG9),$AQ$51:$AV$59,2+AL9,FALSE),IF(AND(input_test=TRUE,ISNUMBER(AD9),V9&lt;&gt;0),VLOOKUP((10*AH9+AG9),$AQ$51:$AV$59,2,FALSE),"")))</f>
        <v/>
      </c>
      <c r="AU9" s="774">
        <f t="shared" ref="AU9:AU40" si="10">IF(ISNA(Z9),0,IF(OR(J9="NA",Y9=""),0,Y9))</f>
        <v>0</v>
      </c>
      <c r="AV9" s="775" t="str">
        <f t="shared" ref="AV9:AV40" si="11">AR9</f>
        <v/>
      </c>
      <c r="AW9" s="774" t="b">
        <f t="shared" ref="AW9:AW40" si="12">IF(ISNA(Z9),FALSE,IF(OR(AB9=1,G9=0,Z9=1,Z9=2),FALSE,IF(OR(J9="NA",J9&gt;=G9),FALSE,TRUE)))</f>
        <v>0</v>
      </c>
      <c r="AX9" s="776" t="b">
        <f t="shared" ref="AX9:AX40" si="13">IF(ISNA(Z9),FALSE,IF(OR(AB9=0,G9=0,Z9=1,Z9=2,J9="NA"),FALSE,IF(AK9="NG",IF(NOT(ISBLANK(K9)),FALSE,TRUE),IF(J9&gt;=G9,FALSE,TRUE))))</f>
        <v>0</v>
      </c>
      <c r="AY9" s="774" t="b">
        <f t="shared" ref="AY9:AY40" si="14">IF(ISNA(Z9),FALSE,IF(OR(AB9=1,G9&lt;1,Z9=1,Z9=2,AE9=0,ISBLANK(K9)),FALSE,IF(OR(J9="NA",K9&gt;=BI9),FALSE,TRUE)))</f>
        <v>0</v>
      </c>
      <c r="AZ9" s="776" t="b">
        <f t="shared" ref="AZ9:AZ40" si="15">IF(ISNA(Z9),FALSE,IF(OR(AB9=0,G9=0,Z9=1,Z9=2,AE9=0,BI9="NG",K9="",ISBLANK(K9)),FALSE,IF(OR(J9="NA",K9&gt;=AK9),FALSE,TRUE)))</f>
        <v>0</v>
      </c>
      <c r="BA9" s="768" t="b">
        <f t="shared" ref="BA9:BA40" si="16">IF(ISNA(Z9),FALSE,IF(OR(AB9=1,G9&lt;1,Z9=1,Z9=2,AE9=0),FALSE,IF(J9="NA",TRUE,FALSE)))</f>
        <v>0</v>
      </c>
      <c r="BB9" s="768" t="b">
        <f t="shared" ref="BB9:BB40" si="17">IF(ISNA(Z9),FALSE,IF(OR(AB9=0,G9=0,Z9=1,Z9=2),FALSE,IF(J9="NA",TRUE,FALSE)))</f>
        <v>0</v>
      </c>
      <c r="BC9" s="774" t="b">
        <f t="shared" ref="BC9:BC40" si="18">IF(OR(ISNA($Z9),ISNUMBER($Z9),NOT(ISNUMBER($J9)),K9="D"),FALSE,IF(AND(NOT(ISNUMBER($K9)),J9&gt;0),TRUE,FALSE))</f>
        <v>0</v>
      </c>
      <c r="BD9" s="777" t="b">
        <f>IF(OR(ISNA($Z9),ISNUMBER($Z9),NOT(ISNUMBER(K9))),FALSE,OR(NOT(ISNUMBER(J9)),J9=0,AND(J9=0,K9&lt;&gt;0)))</f>
        <v>0</v>
      </c>
      <c r="BE9" s="776" t="b">
        <f t="shared" ref="BE9:BE22" si="19">IF(OR(ISNA($Z9),K9&lt;&gt;"D"),FALSE,IF(OR(AND(H9="NG",J9=0),AND(H9&lt;&gt;"NG",NOT(OR(J9="NA",J9=0)))),TRUE,FALSE))</f>
        <v>0</v>
      </c>
      <c r="BF9" s="778" t="b">
        <f t="shared" ref="BF9:BF31" si="20">IF(OR(ISNA($Z9),H9&lt;&gt;"NG"),FALSE,IF(AND(J9="NA",K9&lt;&gt;""),TRUE,FALSE))</f>
        <v>0</v>
      </c>
      <c r="BG9" s="779" t="b">
        <f t="shared" ref="BG9:BG22" si="21">IF(ISNA($Z9),"NA",IF(OR(AZ9,AY9,AX9,AW9,AP9,BA9,BB9),TRUE,FALSE))</f>
        <v>0</v>
      </c>
      <c r="BH9" s="780" t="str">
        <f>IF(ISNA($Z9),"",IF(OR($Z9=1,$Z9=2),"",$V9))</f>
        <v/>
      </c>
      <c r="BI9" s="779" t="str">
        <f t="shared" ref="BI9:BI40" si="22">IF(ISNA($Z9),"",IF(OR($Z9=1,$Z9=2,$G9=""),"",IF(AB9=0,AH9,$AD9)))</f>
        <v/>
      </c>
      <c r="BJ9" s="779" t="str">
        <f t="shared" ref="BJ9:BJ40" si="23">IF(ISNA(AE9),"",IF(OR(Z9=1,Z9=2),"",IF(OR(AE9=0,AD9="NG"),TEXT(BI9,"0"),CONCATENATE(TEXT(BI9,"0"),"*"))))</f>
        <v/>
      </c>
      <c r="BK9" s="779" t="str">
        <f t="shared" ref="BK9:BK40" si="24">IF(ISNA($Z9),"",IF(OR($Z9=1,$Z9=2,$G9=""),"",IF(AB9=0,AG9,$AC9)))</f>
        <v/>
      </c>
      <c r="BL9" s="780" t="str">
        <f>IF(ISBLANK(BH9),"",IF(BH9=0,"",BH9))</f>
        <v/>
      </c>
      <c r="BM9" s="779" t="str">
        <f t="shared" ref="BM9:BM40" si="25">IF($BH9=0,"",IF($BI9="NG","D",$BI9))</f>
        <v/>
      </c>
      <c r="BN9" s="779" t="str">
        <f t="shared" ref="BN9:BN40" si="26">IF(ISNA(U9),"",IF($BH9=0,"",IF($BI9="NG","D",BK9)))</f>
        <v/>
      </c>
      <c r="BO9" s="781" t="s">
        <v>341</v>
      </c>
      <c r="BP9" s="782"/>
    </row>
    <row r="10" spans="2:73" s="731" customFormat="1" ht="12.95" customHeight="1" x14ac:dyDescent="0.25">
      <c r="B10" s="783">
        <f>IF(ISNA(Z10),"",IF(OR(Z10=1,Z10=2),"    ",MAX($B$9:B9)+1))</f>
        <v>1</v>
      </c>
      <c r="C10" s="1116" t="str">
        <f t="shared" si="0"/>
        <v xml:space="preserve">      - Executive Summary (8.0%)</v>
      </c>
      <c r="D10" s="1116"/>
      <c r="E10" s="1116"/>
      <c r="F10" s="1117"/>
      <c r="G10" s="763">
        <f t="shared" si="1"/>
        <v>1</v>
      </c>
      <c r="H10" s="764" t="str">
        <f t="shared" si="2"/>
        <v>2*</v>
      </c>
      <c r="I10" s="784">
        <f t="shared" si="2"/>
        <v>3</v>
      </c>
      <c r="J10" s="785"/>
      <c r="K10" s="786"/>
      <c r="L10" s="1134"/>
      <c r="M10" s="1135"/>
      <c r="N10" s="1135"/>
      <c r="O10" s="1135"/>
      <c r="P10" s="1135"/>
      <c r="Q10" s="1135"/>
      <c r="R10" s="1136"/>
      <c r="T10" s="727">
        <v>2</v>
      </c>
      <c r="U10" s="716" t="s">
        <v>601</v>
      </c>
      <c r="V10" s="768">
        <v>1</v>
      </c>
      <c r="W10" s="768">
        <v>2.6666660000000002</v>
      </c>
      <c r="X10" s="768" t="s">
        <v>340</v>
      </c>
      <c r="Y10" s="768" t="s">
        <v>340</v>
      </c>
      <c r="Z10" s="777" t="s">
        <v>340</v>
      </c>
      <c r="AA10" s="777">
        <v>2</v>
      </c>
      <c r="AB10" s="777">
        <v>1</v>
      </c>
      <c r="AC10" s="768">
        <v>3</v>
      </c>
      <c r="AD10" s="768">
        <v>2</v>
      </c>
      <c r="AE10" s="768">
        <v>1</v>
      </c>
      <c r="AF10" s="768" t="b">
        <v>1</v>
      </c>
      <c r="AG10" s="768">
        <f t="shared" si="3"/>
        <v>2</v>
      </c>
      <c r="AH10" s="768">
        <f t="shared" si="4"/>
        <v>1</v>
      </c>
      <c r="AI10" s="769">
        <f>IF(NOT(OR(Z10=1,Z10=2)),IF(AQ10&gt;0,$AR$45*AQ10/SUMIF($AQ$9:$AQ$40,"&gt;0"),IF(AU10&gt;0,$AV$45*AU10/SUMIF($AU$9:$AU$40,"&gt;0"),IF(AS10&gt;0,$AT$45*AS10/SUMIF($AS$9:$AS$40,"&gt;0"),""))),IF(SUMIF(AJ11:$AJ$40,"=" &amp; AJ10,AI11:$AI$40)=0,"",SUMIF(AJ11:$AJ$40,"=" &amp; AJ10,AI11:$AI$40)))</f>
        <v>7.9999982575999426E-2</v>
      </c>
      <c r="AJ10" s="770">
        <f>IF(OR(Z10=1,Z10=2,AA10&lt;AA9),AJ9+1,AJ9)</f>
        <v>0</v>
      </c>
      <c r="AK10" s="768">
        <f t="shared" ref="AK10:AK40" si="27">BI10</f>
        <v>2</v>
      </c>
      <c r="AL10" s="777" t="str">
        <f t="shared" ref="AL10:AL40" si="28">IF(ISBLANK(K10),"",K10)</f>
        <v/>
      </c>
      <c r="AM10" s="777" t="str">
        <f>IF(ISNUMBER(AK10),IF(ISNUMBER(AL10),1,""),"")</f>
        <v/>
      </c>
      <c r="AN10" s="777" t="str">
        <f t="shared" si="5"/>
        <v/>
      </c>
      <c r="AO10" s="777" t="str">
        <f t="shared" si="6"/>
        <v/>
      </c>
      <c r="AP10" s="768" t="b">
        <f>IF(ISNA(Z10),"",IF(AND(ISNUMBER(B10),G10&gt;=1,H10&lt;&gt;"NG"),IF(K10&lt;BK10,TRUE,FALSE),IF(AND(G10&gt;=1,J10="NA"),TRUE,IF(AND(AM10=1,G10=0,AL10&lt;BI10),TRUE,""))))</f>
        <v>1</v>
      </c>
      <c r="AQ10" s="771">
        <f t="shared" ref="AQ10:AQ40" si="29">IF(ISNA(Z10),0,IF(OR(J10="NA",W10="",AB10=0),0,W10))</f>
        <v>2.6666660000000002</v>
      </c>
      <c r="AR10" s="772" t="str">
        <f>IF(ISNA(Z10),"",IF(AND(NOT(OR(Z10=1,Z10=2,AK10="NG",AB10=0)),IF(ISNUMBER(AL10),AL10&gt;=0,FALSE)),VLOOKUP((10*AD10+AC10),$AQ$51:$AV$59,2+AL10,FALSE),IF(AND(input_test=TRUE,ISNUMBER(AD10),V10&lt;&gt;0),VLOOKUP((10*AD10+AC10),$AQ$51:$AV$59,2,FALSE),"")))</f>
        <v/>
      </c>
      <c r="AS10" s="773">
        <f t="shared" ref="AS10:AS40" si="30">IF(ISNA(Z10),0,IF(OR(J10="NA",X10="",AB10=1),0,X10))</f>
        <v>0</v>
      </c>
      <c r="AT10" s="772" t="str">
        <f>IF(ISNA(Z10),"",IF(AND(NOT(OR(Z10=1,Z10=2,AK10="NG",AB10=1)),IF(ISNUMBER(AL10),AL10&gt;=0,FALSE)),VLOOKUP((10*AH10+AG10),$AQ$51:$AV$59,2+AL10,FALSE),IF(AND(input_test=TRUE,ISNUMBER(AD10),V10&lt;&gt;0),VLOOKUP((10*AH10+AG10),$AQ$51:$AV$59,2,FALSE),"")))</f>
        <v/>
      </c>
      <c r="AU10" s="774">
        <f t="shared" si="10"/>
        <v>0</v>
      </c>
      <c r="AV10" s="775" t="str">
        <f t="shared" si="11"/>
        <v/>
      </c>
      <c r="AW10" s="774" t="b">
        <f t="shared" si="12"/>
        <v>0</v>
      </c>
      <c r="AX10" s="776" t="b">
        <f t="shared" si="13"/>
        <v>1</v>
      </c>
      <c r="AY10" s="774" t="b">
        <f t="shared" si="14"/>
        <v>0</v>
      </c>
      <c r="AZ10" s="776" t="b">
        <f t="shared" si="15"/>
        <v>0</v>
      </c>
      <c r="BA10" s="768" t="b">
        <f t="shared" si="16"/>
        <v>0</v>
      </c>
      <c r="BB10" s="768" t="b">
        <f t="shared" si="17"/>
        <v>0</v>
      </c>
      <c r="BC10" s="774" t="b">
        <f t="shared" si="18"/>
        <v>0</v>
      </c>
      <c r="BD10" s="777" t="b">
        <f t="shared" ref="BD10:BD40" si="31">IF(OR(ISNA($Z10),ISNUMBER($Z10),NOT(ISNUMBER(K10))),FALSE,OR(NOT(ISNUMBER(J10)),J10=0,AND(J10=0,K10&lt;&gt;0)))</f>
        <v>0</v>
      </c>
      <c r="BE10" s="776" t="b">
        <f t="shared" si="19"/>
        <v>0</v>
      </c>
      <c r="BF10" s="778" t="b">
        <f t="shared" si="20"/>
        <v>0</v>
      </c>
      <c r="BG10" s="779" t="b">
        <f t="shared" si="21"/>
        <v>1</v>
      </c>
      <c r="BH10" s="779">
        <f t="shared" ref="BH10:BH40" si="32">IF(ISNA($Z10),"",IF(OR($Z10=1,$Z10=2),"",$V10))</f>
        <v>1</v>
      </c>
      <c r="BI10" s="779">
        <f t="shared" si="22"/>
        <v>2</v>
      </c>
      <c r="BJ10" s="779" t="str">
        <f t="shared" si="23"/>
        <v>2*</v>
      </c>
      <c r="BK10" s="779">
        <f t="shared" si="24"/>
        <v>3</v>
      </c>
      <c r="BL10" s="780">
        <f t="shared" ref="BL10:BL40" si="33">IF(ISBLANK(BH10),"",IF(BH10=0,"",BH10))</f>
        <v>1</v>
      </c>
      <c r="BM10" s="779">
        <f t="shared" si="25"/>
        <v>2</v>
      </c>
      <c r="BN10" s="779">
        <f t="shared" si="26"/>
        <v>3</v>
      </c>
      <c r="BO10" s="787" t="s">
        <v>343</v>
      </c>
      <c r="BP10" s="788" t="s">
        <v>265</v>
      </c>
    </row>
    <row r="11" spans="2:73" s="731" customFormat="1" ht="12.95" customHeight="1" x14ac:dyDescent="0.25">
      <c r="B11" s="783">
        <f>IF(ISNA(Z11),"",IF(OR(Z11=1,Z11=2),"    ",MAX($B$9:B10)+1))</f>
        <v>2</v>
      </c>
      <c r="C11" s="1116" t="str">
        <f t="shared" si="0"/>
        <v xml:space="preserve">      - Report Org. &amp; Structure (10.0%)</v>
      </c>
      <c r="D11" s="1116"/>
      <c r="E11" s="1116"/>
      <c r="F11" s="1117"/>
      <c r="G11" s="763">
        <f t="shared" si="1"/>
        <v>1</v>
      </c>
      <c r="H11" s="764" t="str">
        <f t="shared" si="2"/>
        <v>2*</v>
      </c>
      <c r="I11" s="784">
        <f t="shared" si="2"/>
        <v>3</v>
      </c>
      <c r="J11" s="789"/>
      <c r="K11" s="786"/>
      <c r="L11" s="1134"/>
      <c r="M11" s="1135"/>
      <c r="N11" s="1135"/>
      <c r="O11" s="1135"/>
      <c r="P11" s="1135"/>
      <c r="Q11" s="1135"/>
      <c r="R11" s="1136"/>
      <c r="T11" s="727">
        <v>3</v>
      </c>
      <c r="U11" s="716" t="s">
        <v>994</v>
      </c>
      <c r="V11" s="768">
        <v>1</v>
      </c>
      <c r="W11" s="768">
        <v>3.3333330000000001</v>
      </c>
      <c r="X11" s="768" t="s">
        <v>340</v>
      </c>
      <c r="Y11" s="768" t="s">
        <v>340</v>
      </c>
      <c r="Z11" s="777" t="s">
        <v>340</v>
      </c>
      <c r="AA11" s="777">
        <v>2</v>
      </c>
      <c r="AB11" s="777">
        <v>1</v>
      </c>
      <c r="AC11" s="768">
        <v>3</v>
      </c>
      <c r="AD11" s="768">
        <v>2</v>
      </c>
      <c r="AE11" s="768">
        <v>1</v>
      </c>
      <c r="AF11" s="768" t="b">
        <v>1</v>
      </c>
      <c r="AG11" s="768">
        <f t="shared" si="3"/>
        <v>2</v>
      </c>
      <c r="AH11" s="768">
        <f t="shared" si="4"/>
        <v>1</v>
      </c>
      <c r="AI11" s="769">
        <f>IF(NOT(OR(Z11=1,Z11=2)),IF(AQ11&gt;0,$AR$45*AQ11/SUMIF($AQ$9:$AQ$40,"&gt;0"),IF(AU11&gt;0,$AV$45*AU11/SUMIF($AU$9:$AU$40,"&gt;0"),IF(AS11&gt;0,$AT$45*AS11/SUMIF($AS$9:$AS$40,"&gt;0"),""))),IF(SUMIF(AJ12:$AJ$40,"=" &amp; AJ11,AI12:$AI$40)=0,"",SUMIF(AJ12:$AJ$40,"=" &amp; AJ11,AI12:$AI$40)))</f>
        <v>9.9999993219999764E-2</v>
      </c>
      <c r="AJ11" s="770">
        <f t="shared" ref="AJ11:AJ40" si="34">IF(OR(Z11=1,Z11=2,AA11&lt;AA10),AJ10+1,AJ10)</f>
        <v>0</v>
      </c>
      <c r="AK11" s="768">
        <f t="shared" si="27"/>
        <v>2</v>
      </c>
      <c r="AL11" s="777" t="str">
        <f t="shared" si="28"/>
        <v/>
      </c>
      <c r="AM11" s="777" t="str">
        <f t="shared" ref="AM11:AM40" si="35">IF(ISNUMBER(AK11),IF(ISNUMBER(AL11),1,""),"")</f>
        <v/>
      </c>
      <c r="AN11" s="777" t="str">
        <f t="shared" si="5"/>
        <v/>
      </c>
      <c r="AO11" s="777" t="str">
        <f t="shared" si="6"/>
        <v/>
      </c>
      <c r="AP11" s="768" t="b">
        <f t="shared" si="7"/>
        <v>1</v>
      </c>
      <c r="AQ11" s="771">
        <f t="shared" si="29"/>
        <v>3.3333330000000001</v>
      </c>
      <c r="AR11" s="772" t="str">
        <f t="shared" si="8"/>
        <v/>
      </c>
      <c r="AS11" s="773">
        <f t="shared" si="30"/>
        <v>0</v>
      </c>
      <c r="AT11" s="772" t="str">
        <f t="shared" si="9"/>
        <v/>
      </c>
      <c r="AU11" s="774">
        <f t="shared" si="10"/>
        <v>0</v>
      </c>
      <c r="AV11" s="775" t="str">
        <f t="shared" si="11"/>
        <v/>
      </c>
      <c r="AW11" s="774" t="b">
        <f t="shared" si="12"/>
        <v>0</v>
      </c>
      <c r="AX11" s="776" t="b">
        <f t="shared" si="13"/>
        <v>1</v>
      </c>
      <c r="AY11" s="774" t="b">
        <f t="shared" si="14"/>
        <v>0</v>
      </c>
      <c r="AZ11" s="776" t="b">
        <f t="shared" si="15"/>
        <v>0</v>
      </c>
      <c r="BA11" s="768" t="b">
        <f t="shared" si="16"/>
        <v>0</v>
      </c>
      <c r="BB11" s="768" t="b">
        <f t="shared" si="17"/>
        <v>0</v>
      </c>
      <c r="BC11" s="774" t="b">
        <f t="shared" si="18"/>
        <v>0</v>
      </c>
      <c r="BD11" s="777" t="b">
        <f t="shared" si="31"/>
        <v>0</v>
      </c>
      <c r="BE11" s="776" t="b">
        <f t="shared" si="19"/>
        <v>0</v>
      </c>
      <c r="BF11" s="778" t="b">
        <f t="shared" si="20"/>
        <v>0</v>
      </c>
      <c r="BG11" s="779" t="b">
        <f t="shared" si="21"/>
        <v>1</v>
      </c>
      <c r="BH11" s="779">
        <f t="shared" si="32"/>
        <v>1</v>
      </c>
      <c r="BI11" s="779">
        <f t="shared" si="22"/>
        <v>2</v>
      </c>
      <c r="BJ11" s="779" t="str">
        <f t="shared" si="23"/>
        <v>2*</v>
      </c>
      <c r="BK11" s="779">
        <f t="shared" si="24"/>
        <v>3</v>
      </c>
      <c r="BL11" s="780">
        <f t="shared" si="33"/>
        <v>1</v>
      </c>
      <c r="BM11" s="779">
        <f t="shared" si="25"/>
        <v>2</v>
      </c>
      <c r="BN11" s="779">
        <f t="shared" si="26"/>
        <v>3</v>
      </c>
      <c r="BO11" s="787">
        <v>0</v>
      </c>
      <c r="BP11" s="788" t="s">
        <v>465</v>
      </c>
    </row>
    <row r="12" spans="2:73" s="731" customFormat="1" ht="12.95" customHeight="1" x14ac:dyDescent="0.25">
      <c r="B12" s="783">
        <f>IF(ISNA(Z12),"",IF(OR(Z12=1,Z12=2),"    ",MAX($B$9:B11)+1))</f>
        <v>3</v>
      </c>
      <c r="C12" s="1116" t="str">
        <f t="shared" si="0"/>
        <v xml:space="preserve">      - Logical Chain of Reasoning (12.0%)</v>
      </c>
      <c r="D12" s="1116"/>
      <c r="E12" s="1116"/>
      <c r="F12" s="1117"/>
      <c r="G12" s="763">
        <f t="shared" si="1"/>
        <v>1</v>
      </c>
      <c r="H12" s="764" t="str">
        <f t="shared" si="2"/>
        <v>2*</v>
      </c>
      <c r="I12" s="784">
        <f t="shared" si="2"/>
        <v>3</v>
      </c>
      <c r="J12" s="789"/>
      <c r="K12" s="786"/>
      <c r="L12" s="1134"/>
      <c r="M12" s="1135"/>
      <c r="N12" s="1135"/>
      <c r="O12" s="1135"/>
      <c r="P12" s="1135"/>
      <c r="Q12" s="1135"/>
      <c r="R12" s="1136"/>
      <c r="T12" s="727">
        <v>4</v>
      </c>
      <c r="U12" s="716" t="s">
        <v>969</v>
      </c>
      <c r="V12" s="768">
        <v>1</v>
      </c>
      <c r="W12" s="768">
        <v>4</v>
      </c>
      <c r="X12" s="768" t="s">
        <v>340</v>
      </c>
      <c r="Y12" s="768" t="s">
        <v>340</v>
      </c>
      <c r="Z12" s="777" t="s">
        <v>340</v>
      </c>
      <c r="AA12" s="777">
        <v>2</v>
      </c>
      <c r="AB12" s="777">
        <v>1</v>
      </c>
      <c r="AC12" s="768">
        <v>3</v>
      </c>
      <c r="AD12" s="768">
        <v>2</v>
      </c>
      <c r="AE12" s="768">
        <v>1</v>
      </c>
      <c r="AF12" s="768" t="b">
        <v>1</v>
      </c>
      <c r="AG12" s="768">
        <f t="shared" si="3"/>
        <v>2</v>
      </c>
      <c r="AH12" s="768">
        <f t="shared" si="4"/>
        <v>1</v>
      </c>
      <c r="AI12" s="769">
        <f>IF(NOT(OR(Z12=1,Z12=2)),IF(AQ12&gt;0,$AR$45*AQ12/SUMIF($AQ$9:$AQ$40,"&gt;0"),IF(AU12&gt;0,$AV$45*AU12/SUMIF($AU$9:$AU$40,"&gt;0"),IF(AS12&gt;0,$AT$45*AS12/SUMIF($AS$9:$AS$40,"&gt;0"),""))),IF(SUMIF(AJ13:$AJ$40,"=" &amp; AJ12,AI13:$AI$40)=0,"",SUMIF(AJ13:$AJ$40,"=" &amp; AJ12,AI13:$AI$40)))</f>
        <v>0.1200000038640001</v>
      </c>
      <c r="AJ12" s="770">
        <f t="shared" si="34"/>
        <v>0</v>
      </c>
      <c r="AK12" s="768">
        <f t="shared" si="27"/>
        <v>2</v>
      </c>
      <c r="AL12" s="777" t="str">
        <f t="shared" si="28"/>
        <v/>
      </c>
      <c r="AM12" s="777" t="str">
        <f t="shared" si="35"/>
        <v/>
      </c>
      <c r="AN12" s="777" t="str">
        <f t="shared" si="5"/>
        <v/>
      </c>
      <c r="AO12" s="777" t="str">
        <f t="shared" si="6"/>
        <v/>
      </c>
      <c r="AP12" s="768" t="b">
        <f t="shared" si="7"/>
        <v>1</v>
      </c>
      <c r="AQ12" s="771">
        <f t="shared" si="29"/>
        <v>4</v>
      </c>
      <c r="AR12" s="772" t="str">
        <f t="shared" si="8"/>
        <v/>
      </c>
      <c r="AS12" s="773">
        <f t="shared" si="30"/>
        <v>0</v>
      </c>
      <c r="AT12" s="772" t="str">
        <f t="shared" si="9"/>
        <v/>
      </c>
      <c r="AU12" s="774">
        <f t="shared" si="10"/>
        <v>0</v>
      </c>
      <c r="AV12" s="775" t="str">
        <f t="shared" si="11"/>
        <v/>
      </c>
      <c r="AW12" s="774" t="b">
        <f t="shared" si="12"/>
        <v>0</v>
      </c>
      <c r="AX12" s="776" t="b">
        <f t="shared" si="13"/>
        <v>1</v>
      </c>
      <c r="AY12" s="774" t="b">
        <f t="shared" si="14"/>
        <v>0</v>
      </c>
      <c r="AZ12" s="776" t="b">
        <f t="shared" si="15"/>
        <v>0</v>
      </c>
      <c r="BA12" s="768" t="b">
        <f t="shared" si="16"/>
        <v>0</v>
      </c>
      <c r="BB12" s="768" t="b">
        <f t="shared" si="17"/>
        <v>0</v>
      </c>
      <c r="BC12" s="774" t="b">
        <f t="shared" si="18"/>
        <v>0</v>
      </c>
      <c r="BD12" s="777" t="b">
        <f t="shared" si="31"/>
        <v>0</v>
      </c>
      <c r="BE12" s="776" t="b">
        <f t="shared" si="19"/>
        <v>0</v>
      </c>
      <c r="BF12" s="778" t="b">
        <f t="shared" si="20"/>
        <v>0</v>
      </c>
      <c r="BG12" s="779" t="b">
        <f t="shared" si="21"/>
        <v>1</v>
      </c>
      <c r="BH12" s="779">
        <f t="shared" si="32"/>
        <v>1</v>
      </c>
      <c r="BI12" s="779">
        <f t="shared" si="22"/>
        <v>2</v>
      </c>
      <c r="BJ12" s="779" t="str">
        <f t="shared" si="23"/>
        <v>2*</v>
      </c>
      <c r="BK12" s="779">
        <f t="shared" si="24"/>
        <v>3</v>
      </c>
      <c r="BL12" s="780">
        <f t="shared" si="33"/>
        <v>1</v>
      </c>
      <c r="BM12" s="779">
        <f t="shared" si="25"/>
        <v>2</v>
      </c>
      <c r="BN12" s="779">
        <f t="shared" si="26"/>
        <v>3</v>
      </c>
      <c r="BO12" s="787">
        <v>1</v>
      </c>
      <c r="BP12" s="788" t="s">
        <v>467</v>
      </c>
    </row>
    <row r="13" spans="2:73" s="731" customFormat="1" ht="12.95" customHeight="1" x14ac:dyDescent="0.25">
      <c r="B13" s="783" t="str">
        <f>IF(ISNA(Z13),"",IF(OR(Z13=1,Z13=2),"    ",MAX($B$9:B12)+1))</f>
        <v xml:space="preserve">    </v>
      </c>
      <c r="C13" s="1116" t="str">
        <f t="shared" si="0"/>
        <v>Content &amp; Analysis (40.0%)</v>
      </c>
      <c r="D13" s="1116"/>
      <c r="E13" s="1116"/>
      <c r="F13" s="1117"/>
      <c r="G13" s="763" t="str">
        <f t="shared" si="1"/>
        <v/>
      </c>
      <c r="H13" s="764" t="str">
        <f t="shared" si="2"/>
        <v/>
      </c>
      <c r="I13" s="784" t="str">
        <f t="shared" si="2"/>
        <v/>
      </c>
      <c r="J13" s="793"/>
      <c r="K13" s="794"/>
      <c r="L13" s="1134"/>
      <c r="M13" s="1135"/>
      <c r="N13" s="1135"/>
      <c r="O13" s="1135"/>
      <c r="P13" s="1135"/>
      <c r="Q13" s="1135"/>
      <c r="R13" s="1136"/>
      <c r="T13" s="727">
        <v>5</v>
      </c>
      <c r="U13" s="716" t="s">
        <v>1007</v>
      </c>
      <c r="V13" s="768" t="s">
        <v>340</v>
      </c>
      <c r="W13" s="768" t="s">
        <v>340</v>
      </c>
      <c r="X13" s="768" t="s">
        <v>340</v>
      </c>
      <c r="Y13" s="768" t="s">
        <v>340</v>
      </c>
      <c r="Z13" s="777">
        <v>2</v>
      </c>
      <c r="AA13" s="777">
        <v>1</v>
      </c>
      <c r="AB13" s="777">
        <v>1</v>
      </c>
      <c r="AC13" s="768" t="s">
        <v>340</v>
      </c>
      <c r="AD13" s="768" t="s">
        <v>340</v>
      </c>
      <c r="AE13" s="768" t="s">
        <v>340</v>
      </c>
      <c r="AF13" s="768" t="s">
        <v>340</v>
      </c>
      <c r="AG13" s="768" t="str">
        <f t="shared" si="3"/>
        <v/>
      </c>
      <c r="AH13" s="768" t="str">
        <f t="shared" si="4"/>
        <v/>
      </c>
      <c r="AI13" s="769">
        <f>IF(NOT(OR(Z13=1,Z13=2)),IF(AQ13&gt;0,$AR$45*AQ13/SUMIF($AQ$9:$AQ$40,"&gt;0"),IF(AU13&gt;0,$AV$45*AU13/SUMIF($AU$9:$AU$40,"&gt;0"),IF(AS13&gt;0,$AT$45*AS13/SUMIF($AS$9:$AS$40,"&gt;0"),""))),IF(SUMIF(AJ14:$AJ$40,"=" &amp; AJ13,AI14:$AI$40)=0,"",SUMIF(AJ14:$AJ$40,"=" &amp; AJ13,AI14:$AI$40)))</f>
        <v>0.40000001188000028</v>
      </c>
      <c r="AJ13" s="770">
        <f t="shared" si="34"/>
        <v>1</v>
      </c>
      <c r="AK13" s="768" t="str">
        <f t="shared" si="27"/>
        <v/>
      </c>
      <c r="AL13" s="777" t="str">
        <f t="shared" si="28"/>
        <v/>
      </c>
      <c r="AM13" s="777" t="str">
        <f t="shared" si="35"/>
        <v/>
      </c>
      <c r="AN13" s="777" t="str">
        <f t="shared" si="5"/>
        <v/>
      </c>
      <c r="AO13" s="777" t="str">
        <f t="shared" si="6"/>
        <v/>
      </c>
      <c r="AP13" s="768" t="str">
        <f t="shared" si="7"/>
        <v/>
      </c>
      <c r="AQ13" s="771">
        <f t="shared" si="29"/>
        <v>0</v>
      </c>
      <c r="AR13" s="772" t="str">
        <f t="shared" si="8"/>
        <v/>
      </c>
      <c r="AS13" s="773">
        <f t="shared" si="30"/>
        <v>0</v>
      </c>
      <c r="AT13" s="772" t="str">
        <f t="shared" si="9"/>
        <v/>
      </c>
      <c r="AU13" s="774">
        <f t="shared" si="10"/>
        <v>0</v>
      </c>
      <c r="AV13" s="775" t="str">
        <f t="shared" si="11"/>
        <v/>
      </c>
      <c r="AW13" s="774" t="b">
        <f t="shared" si="12"/>
        <v>0</v>
      </c>
      <c r="AX13" s="776" t="b">
        <f t="shared" si="13"/>
        <v>0</v>
      </c>
      <c r="AY13" s="774" t="b">
        <f t="shared" si="14"/>
        <v>0</v>
      </c>
      <c r="AZ13" s="776" t="b">
        <f t="shared" si="15"/>
        <v>0</v>
      </c>
      <c r="BA13" s="768" t="b">
        <f t="shared" si="16"/>
        <v>0</v>
      </c>
      <c r="BB13" s="768" t="b">
        <f t="shared" si="17"/>
        <v>0</v>
      </c>
      <c r="BC13" s="774" t="b">
        <f t="shared" si="18"/>
        <v>0</v>
      </c>
      <c r="BD13" s="777" t="b">
        <f t="shared" si="31"/>
        <v>0</v>
      </c>
      <c r="BE13" s="776" t="b">
        <f t="shared" si="19"/>
        <v>0</v>
      </c>
      <c r="BF13" s="778" t="b">
        <f t="shared" si="20"/>
        <v>0</v>
      </c>
      <c r="BG13" s="779" t="b">
        <f t="shared" si="21"/>
        <v>0</v>
      </c>
      <c r="BH13" s="779" t="str">
        <f t="shared" si="32"/>
        <v/>
      </c>
      <c r="BI13" s="779" t="str">
        <f t="shared" si="22"/>
        <v/>
      </c>
      <c r="BJ13" s="779" t="str">
        <f t="shared" si="23"/>
        <v/>
      </c>
      <c r="BK13" s="779" t="str">
        <f t="shared" si="24"/>
        <v/>
      </c>
      <c r="BL13" s="780" t="str">
        <f t="shared" si="33"/>
        <v/>
      </c>
      <c r="BM13" s="779" t="str">
        <f t="shared" si="25"/>
        <v/>
      </c>
      <c r="BN13" s="779" t="str">
        <f t="shared" si="26"/>
        <v/>
      </c>
      <c r="BO13" s="787">
        <v>2</v>
      </c>
      <c r="BP13" s="788" t="s">
        <v>350</v>
      </c>
    </row>
    <row r="14" spans="2:73" s="731" customFormat="1" ht="12.95" customHeight="1" x14ac:dyDescent="0.25">
      <c r="B14" s="783">
        <f>IF(ISNA(Z14),"",IF(OR(Z14=1,Z14=2),"    ",MAX($B$9:B13)+1))</f>
        <v>4</v>
      </c>
      <c r="C14" s="1116" t="str">
        <f t="shared" si="0"/>
        <v xml:space="preserve">      - Test Methods and Conditions (6.0%)</v>
      </c>
      <c r="D14" s="1116"/>
      <c r="E14" s="1116"/>
      <c r="F14" s="1117"/>
      <c r="G14" s="763">
        <f t="shared" si="1"/>
        <v>1</v>
      </c>
      <c r="H14" s="764" t="str">
        <f t="shared" si="2"/>
        <v>2*</v>
      </c>
      <c r="I14" s="784">
        <f t="shared" si="2"/>
        <v>3</v>
      </c>
      <c r="J14" s="789"/>
      <c r="K14" s="786"/>
      <c r="L14" s="1134"/>
      <c r="M14" s="1135"/>
      <c r="N14" s="1135"/>
      <c r="O14" s="1135"/>
      <c r="P14" s="1135"/>
      <c r="Q14" s="1135"/>
      <c r="R14" s="1136"/>
      <c r="T14" s="727">
        <v>6</v>
      </c>
      <c r="U14" s="716" t="s">
        <v>984</v>
      </c>
      <c r="V14" s="768">
        <v>1</v>
      </c>
      <c r="W14" s="768">
        <v>2</v>
      </c>
      <c r="X14" s="768" t="s">
        <v>340</v>
      </c>
      <c r="Y14" s="768" t="s">
        <v>340</v>
      </c>
      <c r="Z14" s="777" t="s">
        <v>340</v>
      </c>
      <c r="AA14" s="777">
        <v>2</v>
      </c>
      <c r="AB14" s="777">
        <v>1</v>
      </c>
      <c r="AC14" s="768">
        <v>3</v>
      </c>
      <c r="AD14" s="768">
        <v>2</v>
      </c>
      <c r="AE14" s="768">
        <v>1</v>
      </c>
      <c r="AF14" s="768" t="b">
        <v>1</v>
      </c>
      <c r="AG14" s="768">
        <f t="shared" si="3"/>
        <v>2</v>
      </c>
      <c r="AH14" s="768">
        <f t="shared" si="4"/>
        <v>1</v>
      </c>
      <c r="AI14" s="769">
        <f>IF(NOT(OR(Z14=1,Z14=2)),IF(AQ14&gt;0,$AR$45*AQ14/SUMIF($AQ$9:$AQ$40,"&gt;0"),IF(AU14&gt;0,$AV$45*AU14/SUMIF($AU$9:$AU$40,"&gt;0"),IF(AS14&gt;0,$AT$45*AS14/SUMIF($AS$9:$AS$40,"&gt;0"),""))),IF(SUMIF(AJ15:$AJ$40,"=" &amp; AJ14,AI15:$AI$40)=0,"",SUMIF(AJ15:$AJ$40,"=" &amp; AJ14,AI15:$AI$40)))</f>
        <v>6.0000001932000051E-2</v>
      </c>
      <c r="AJ14" s="770">
        <f t="shared" si="34"/>
        <v>1</v>
      </c>
      <c r="AK14" s="768">
        <f t="shared" si="27"/>
        <v>2</v>
      </c>
      <c r="AL14" s="777" t="str">
        <f t="shared" si="28"/>
        <v/>
      </c>
      <c r="AM14" s="777" t="str">
        <f t="shared" si="35"/>
        <v/>
      </c>
      <c r="AN14" s="777" t="str">
        <f t="shared" si="5"/>
        <v/>
      </c>
      <c r="AO14" s="777" t="str">
        <f t="shared" si="6"/>
        <v/>
      </c>
      <c r="AP14" s="768" t="b">
        <f t="shared" si="7"/>
        <v>1</v>
      </c>
      <c r="AQ14" s="771">
        <f t="shared" si="29"/>
        <v>2</v>
      </c>
      <c r="AR14" s="772" t="str">
        <f t="shared" si="8"/>
        <v/>
      </c>
      <c r="AS14" s="773">
        <f t="shared" si="30"/>
        <v>0</v>
      </c>
      <c r="AT14" s="772" t="str">
        <f t="shared" si="9"/>
        <v/>
      </c>
      <c r="AU14" s="774">
        <f t="shared" si="10"/>
        <v>0</v>
      </c>
      <c r="AV14" s="775" t="str">
        <f t="shared" si="11"/>
        <v/>
      </c>
      <c r="AW14" s="774" t="b">
        <f t="shared" si="12"/>
        <v>0</v>
      </c>
      <c r="AX14" s="776" t="b">
        <f t="shared" si="13"/>
        <v>1</v>
      </c>
      <c r="AY14" s="774" t="b">
        <f t="shared" si="14"/>
        <v>0</v>
      </c>
      <c r="AZ14" s="776" t="b">
        <f t="shared" si="15"/>
        <v>0</v>
      </c>
      <c r="BA14" s="768" t="b">
        <f t="shared" si="16"/>
        <v>0</v>
      </c>
      <c r="BB14" s="768" t="b">
        <f t="shared" si="17"/>
        <v>0</v>
      </c>
      <c r="BC14" s="774" t="b">
        <f t="shared" si="18"/>
        <v>0</v>
      </c>
      <c r="BD14" s="777" t="b">
        <f t="shared" si="31"/>
        <v>0</v>
      </c>
      <c r="BE14" s="776" t="b">
        <f t="shared" si="19"/>
        <v>0</v>
      </c>
      <c r="BF14" s="778" t="b">
        <f t="shared" si="20"/>
        <v>0</v>
      </c>
      <c r="BG14" s="779" t="b">
        <f t="shared" si="21"/>
        <v>1</v>
      </c>
      <c r="BH14" s="779">
        <f t="shared" si="32"/>
        <v>1</v>
      </c>
      <c r="BI14" s="779">
        <f t="shared" si="22"/>
        <v>2</v>
      </c>
      <c r="BJ14" s="779" t="str">
        <f t="shared" si="23"/>
        <v>2*</v>
      </c>
      <c r="BK14" s="779">
        <f t="shared" si="24"/>
        <v>3</v>
      </c>
      <c r="BL14" s="780">
        <f t="shared" si="33"/>
        <v>1</v>
      </c>
      <c r="BM14" s="779">
        <f t="shared" si="25"/>
        <v>2</v>
      </c>
      <c r="BN14" s="779">
        <f t="shared" si="26"/>
        <v>3</v>
      </c>
      <c r="BO14" s="787">
        <v>3</v>
      </c>
      <c r="BP14" s="788" t="s">
        <v>352</v>
      </c>
    </row>
    <row r="15" spans="2:73" s="731" customFormat="1" ht="12.95" customHeight="1" x14ac:dyDescent="0.25">
      <c r="B15" s="783">
        <f>IF(ISNA(Z15),"",IF(OR(Z15=1,Z15=2),"    ",MAX($B$9:B14)+1))</f>
        <v>5</v>
      </c>
      <c r="C15" s="1116" t="str">
        <f t="shared" si="0"/>
        <v xml:space="preserve">      - Objective Results (12.0%)</v>
      </c>
      <c r="D15" s="1116"/>
      <c r="E15" s="1116"/>
      <c r="F15" s="1117"/>
      <c r="G15" s="763">
        <f t="shared" si="1"/>
        <v>1</v>
      </c>
      <c r="H15" s="764" t="str">
        <f t="shared" si="2"/>
        <v>2*</v>
      </c>
      <c r="I15" s="784">
        <f t="shared" si="2"/>
        <v>3</v>
      </c>
      <c r="J15" s="789"/>
      <c r="K15" s="786"/>
      <c r="L15" s="1134"/>
      <c r="M15" s="1135"/>
      <c r="N15" s="1135"/>
      <c r="O15" s="1135"/>
      <c r="P15" s="1135"/>
      <c r="Q15" s="1135"/>
      <c r="R15" s="1136"/>
      <c r="T15" s="727">
        <v>7</v>
      </c>
      <c r="U15" s="716" t="s">
        <v>985</v>
      </c>
      <c r="V15" s="768">
        <v>1</v>
      </c>
      <c r="W15" s="768">
        <v>4</v>
      </c>
      <c r="X15" s="768" t="s">
        <v>340</v>
      </c>
      <c r="Y15" s="768" t="s">
        <v>340</v>
      </c>
      <c r="Z15" s="777" t="s">
        <v>340</v>
      </c>
      <c r="AA15" s="777">
        <v>2</v>
      </c>
      <c r="AB15" s="777">
        <v>1</v>
      </c>
      <c r="AC15" s="768">
        <v>3</v>
      </c>
      <c r="AD15" s="768">
        <v>2</v>
      </c>
      <c r="AE15" s="768">
        <v>1</v>
      </c>
      <c r="AF15" s="768" t="b">
        <v>1</v>
      </c>
      <c r="AG15" s="768">
        <f t="shared" si="3"/>
        <v>2</v>
      </c>
      <c r="AH15" s="768">
        <f t="shared" si="4"/>
        <v>1</v>
      </c>
      <c r="AI15" s="769">
        <f>IF(NOT(OR(Z15=1,Z15=2)),IF(AQ15&gt;0,$AR$45*AQ15/SUMIF($AQ$9:$AQ$40,"&gt;0"),IF(AU15&gt;0,$AV$45*AU15/SUMIF($AU$9:$AU$40,"&gt;0"),IF(AS15&gt;0,$AT$45*AS15/SUMIF($AS$9:$AS$40,"&gt;0"),""))),IF(SUMIF(AJ16:$AJ$40,"=" &amp; AJ15,AI16:$AI$40)=0,"",SUMIF(AJ16:$AJ$40,"=" &amp; AJ15,AI16:$AI$40)))</f>
        <v>0.1200000038640001</v>
      </c>
      <c r="AJ15" s="770">
        <f t="shared" si="34"/>
        <v>1</v>
      </c>
      <c r="AK15" s="768">
        <f t="shared" si="27"/>
        <v>2</v>
      </c>
      <c r="AL15" s="777" t="str">
        <f t="shared" si="28"/>
        <v/>
      </c>
      <c r="AM15" s="777" t="str">
        <f t="shared" si="35"/>
        <v/>
      </c>
      <c r="AN15" s="777" t="str">
        <f t="shared" si="5"/>
        <v/>
      </c>
      <c r="AO15" s="777" t="str">
        <f t="shared" si="6"/>
        <v/>
      </c>
      <c r="AP15" s="768" t="b">
        <f t="shared" si="7"/>
        <v>1</v>
      </c>
      <c r="AQ15" s="771">
        <f t="shared" si="29"/>
        <v>4</v>
      </c>
      <c r="AR15" s="772" t="str">
        <f t="shared" si="8"/>
        <v/>
      </c>
      <c r="AS15" s="773">
        <f t="shared" si="30"/>
        <v>0</v>
      </c>
      <c r="AT15" s="772" t="str">
        <f t="shared" si="9"/>
        <v/>
      </c>
      <c r="AU15" s="774">
        <f t="shared" si="10"/>
        <v>0</v>
      </c>
      <c r="AV15" s="775" t="str">
        <f t="shared" si="11"/>
        <v/>
      </c>
      <c r="AW15" s="774" t="b">
        <f t="shared" si="12"/>
        <v>0</v>
      </c>
      <c r="AX15" s="776" t="b">
        <f t="shared" si="13"/>
        <v>1</v>
      </c>
      <c r="AY15" s="774" t="b">
        <f t="shared" si="14"/>
        <v>0</v>
      </c>
      <c r="AZ15" s="776" t="b">
        <f t="shared" si="15"/>
        <v>0</v>
      </c>
      <c r="BA15" s="768" t="b">
        <f t="shared" si="16"/>
        <v>0</v>
      </c>
      <c r="BB15" s="768" t="b">
        <f t="shared" si="17"/>
        <v>0</v>
      </c>
      <c r="BC15" s="774" t="b">
        <f t="shared" si="18"/>
        <v>0</v>
      </c>
      <c r="BD15" s="777" t="b">
        <f t="shared" si="31"/>
        <v>0</v>
      </c>
      <c r="BE15" s="776" t="b">
        <f t="shared" si="19"/>
        <v>0</v>
      </c>
      <c r="BF15" s="778" t="b">
        <f t="shared" si="20"/>
        <v>0</v>
      </c>
      <c r="BG15" s="779" t="b">
        <f t="shared" si="21"/>
        <v>1</v>
      </c>
      <c r="BH15" s="779">
        <f t="shared" si="32"/>
        <v>1</v>
      </c>
      <c r="BI15" s="779">
        <f t="shared" si="22"/>
        <v>2</v>
      </c>
      <c r="BJ15" s="779" t="str">
        <f t="shared" si="23"/>
        <v>2*</v>
      </c>
      <c r="BK15" s="779">
        <f t="shared" si="24"/>
        <v>3</v>
      </c>
      <c r="BL15" s="780">
        <f t="shared" si="33"/>
        <v>1</v>
      </c>
      <c r="BM15" s="779">
        <f t="shared" si="25"/>
        <v>2</v>
      </c>
      <c r="BN15" s="779">
        <f t="shared" si="26"/>
        <v>3</v>
      </c>
      <c r="BO15" s="787">
        <v>4</v>
      </c>
      <c r="BP15" s="788" t="s">
        <v>354</v>
      </c>
    </row>
    <row r="16" spans="2:73" s="731" customFormat="1" ht="12.95" customHeight="1" x14ac:dyDescent="0.25">
      <c r="B16" s="783">
        <f>IF(ISNA(Z16),"",IF(OR(Z16=1,Z16=2),"    ",MAX($B$9:B15)+1))</f>
        <v>6</v>
      </c>
      <c r="C16" s="1116" t="str">
        <f t="shared" si="0"/>
        <v xml:space="preserve">      - Eng Analysis &amp; Oper. Impact (12.0%)</v>
      </c>
      <c r="D16" s="1116"/>
      <c r="E16" s="1116"/>
      <c r="F16" s="1117"/>
      <c r="G16" s="763">
        <f t="shared" si="1"/>
        <v>1</v>
      </c>
      <c r="H16" s="764" t="str">
        <f t="shared" si="2"/>
        <v>2*</v>
      </c>
      <c r="I16" s="784">
        <f t="shared" si="2"/>
        <v>3</v>
      </c>
      <c r="J16" s="789"/>
      <c r="K16" s="786"/>
      <c r="L16" s="1134"/>
      <c r="M16" s="1135"/>
      <c r="N16" s="1135"/>
      <c r="O16" s="1135"/>
      <c r="P16" s="1135"/>
      <c r="Q16" s="1135"/>
      <c r="R16" s="1136"/>
      <c r="T16" s="727">
        <v>8</v>
      </c>
      <c r="U16" s="716" t="s">
        <v>986</v>
      </c>
      <c r="V16" s="768">
        <v>1</v>
      </c>
      <c r="W16" s="768">
        <v>4</v>
      </c>
      <c r="X16" s="768" t="s">
        <v>340</v>
      </c>
      <c r="Y16" s="768" t="s">
        <v>340</v>
      </c>
      <c r="Z16" s="777" t="s">
        <v>340</v>
      </c>
      <c r="AA16" s="777">
        <v>2</v>
      </c>
      <c r="AB16" s="777">
        <v>1</v>
      </c>
      <c r="AC16" s="768">
        <v>3</v>
      </c>
      <c r="AD16" s="768">
        <v>2</v>
      </c>
      <c r="AE16" s="768">
        <v>1</v>
      </c>
      <c r="AF16" s="768" t="b">
        <v>1</v>
      </c>
      <c r="AG16" s="768">
        <f t="shared" si="3"/>
        <v>2</v>
      </c>
      <c r="AH16" s="768">
        <f t="shared" si="4"/>
        <v>1</v>
      </c>
      <c r="AI16" s="769">
        <f>IF(NOT(OR(Z16=1,Z16=2)),IF(AQ16&gt;0,$AR$45*AQ16/SUMIF($AQ$9:$AQ$40,"&gt;0"),IF(AU16&gt;0,$AV$45*AU16/SUMIF($AU$9:$AU$40,"&gt;0"),IF(AS16&gt;0,$AT$45*AS16/SUMIF($AS$9:$AS$40,"&gt;0"),""))),IF(SUMIF(AJ17:$AJ$40,"=" &amp; AJ16,AI17:$AI$40)=0,"",SUMIF(AJ17:$AJ$40,"=" &amp; AJ16,AI17:$AI$40)))</f>
        <v>0.1200000038640001</v>
      </c>
      <c r="AJ16" s="770">
        <f t="shared" si="34"/>
        <v>1</v>
      </c>
      <c r="AK16" s="768">
        <f t="shared" si="27"/>
        <v>2</v>
      </c>
      <c r="AL16" s="777" t="str">
        <f t="shared" si="28"/>
        <v/>
      </c>
      <c r="AM16" s="777" t="str">
        <f t="shared" si="35"/>
        <v/>
      </c>
      <c r="AN16" s="777" t="str">
        <f t="shared" si="5"/>
        <v/>
      </c>
      <c r="AO16" s="777" t="str">
        <f t="shared" si="6"/>
        <v/>
      </c>
      <c r="AP16" s="768" t="b">
        <f t="shared" si="7"/>
        <v>1</v>
      </c>
      <c r="AQ16" s="771">
        <f t="shared" si="29"/>
        <v>4</v>
      </c>
      <c r="AR16" s="772" t="str">
        <f t="shared" si="8"/>
        <v/>
      </c>
      <c r="AS16" s="773">
        <f t="shared" si="30"/>
        <v>0</v>
      </c>
      <c r="AT16" s="772" t="str">
        <f t="shared" si="9"/>
        <v/>
      </c>
      <c r="AU16" s="774">
        <f t="shared" si="10"/>
        <v>0</v>
      </c>
      <c r="AV16" s="775" t="str">
        <f t="shared" si="11"/>
        <v/>
      </c>
      <c r="AW16" s="774" t="b">
        <f t="shared" si="12"/>
        <v>0</v>
      </c>
      <c r="AX16" s="776" t="b">
        <f t="shared" si="13"/>
        <v>1</v>
      </c>
      <c r="AY16" s="774" t="b">
        <f t="shared" si="14"/>
        <v>0</v>
      </c>
      <c r="AZ16" s="776" t="b">
        <f t="shared" si="15"/>
        <v>0</v>
      </c>
      <c r="BA16" s="768" t="b">
        <f t="shared" si="16"/>
        <v>0</v>
      </c>
      <c r="BB16" s="768" t="b">
        <f t="shared" si="17"/>
        <v>0</v>
      </c>
      <c r="BC16" s="774" t="b">
        <f t="shared" si="18"/>
        <v>0</v>
      </c>
      <c r="BD16" s="777" t="b">
        <f t="shared" si="31"/>
        <v>0</v>
      </c>
      <c r="BE16" s="776" t="b">
        <f t="shared" si="19"/>
        <v>0</v>
      </c>
      <c r="BF16" s="778" t="b">
        <f t="shared" si="20"/>
        <v>0</v>
      </c>
      <c r="BG16" s="779" t="b">
        <f t="shared" si="21"/>
        <v>1</v>
      </c>
      <c r="BH16" s="779">
        <f t="shared" si="32"/>
        <v>1</v>
      </c>
      <c r="BI16" s="779">
        <f t="shared" si="22"/>
        <v>2</v>
      </c>
      <c r="BJ16" s="779" t="str">
        <f t="shared" si="23"/>
        <v>2*</v>
      </c>
      <c r="BK16" s="779">
        <f t="shared" si="24"/>
        <v>3</v>
      </c>
      <c r="BL16" s="780">
        <f t="shared" si="33"/>
        <v>1</v>
      </c>
      <c r="BM16" s="779">
        <f t="shared" si="25"/>
        <v>2</v>
      </c>
      <c r="BN16" s="779">
        <f t="shared" si="26"/>
        <v>3</v>
      </c>
      <c r="BO16" s="719"/>
    </row>
    <row r="17" spans="2:75" s="731" customFormat="1" ht="12.95" customHeight="1" x14ac:dyDescent="0.25">
      <c r="B17" s="783">
        <f>IF(ISNA(Z17),"",IF(OR(Z17=1,Z17=2),"    ",MAX($B$9:B16)+1))</f>
        <v>7</v>
      </c>
      <c r="C17" s="1116" t="str">
        <f t="shared" si="0"/>
        <v xml:space="preserve">      - Conclusions &amp; Recomm. (10.0%)</v>
      </c>
      <c r="D17" s="1116"/>
      <c r="E17" s="1116"/>
      <c r="F17" s="1117"/>
      <c r="G17" s="763">
        <f t="shared" si="1"/>
        <v>1</v>
      </c>
      <c r="H17" s="764" t="str">
        <f t="shared" si="2"/>
        <v>2*</v>
      </c>
      <c r="I17" s="784">
        <f t="shared" si="2"/>
        <v>3</v>
      </c>
      <c r="J17" s="789"/>
      <c r="K17" s="786"/>
      <c r="L17" s="1134"/>
      <c r="M17" s="1135"/>
      <c r="N17" s="1135"/>
      <c r="O17" s="1135"/>
      <c r="P17" s="1135"/>
      <c r="Q17" s="1135"/>
      <c r="R17" s="1136"/>
      <c r="T17" s="727">
        <v>9</v>
      </c>
      <c r="U17" s="716" t="s">
        <v>987</v>
      </c>
      <c r="V17" s="768">
        <v>1</v>
      </c>
      <c r="W17" s="768">
        <v>3.3333333000000001</v>
      </c>
      <c r="X17" s="768" t="s">
        <v>340</v>
      </c>
      <c r="Y17" s="768" t="s">
        <v>340</v>
      </c>
      <c r="Z17" s="777" t="s">
        <v>340</v>
      </c>
      <c r="AA17" s="777">
        <v>2</v>
      </c>
      <c r="AB17" s="777">
        <v>1</v>
      </c>
      <c r="AC17" s="768">
        <v>3</v>
      </c>
      <c r="AD17" s="768">
        <v>2</v>
      </c>
      <c r="AE17" s="768">
        <v>1</v>
      </c>
      <c r="AF17" s="768" t="b">
        <v>1</v>
      </c>
      <c r="AG17" s="768">
        <f t="shared" si="3"/>
        <v>2</v>
      </c>
      <c r="AH17" s="768">
        <f t="shared" si="4"/>
        <v>1</v>
      </c>
      <c r="AI17" s="769">
        <f>IF(NOT(OR(Z17=1,Z17=2)),IF(AQ17&gt;0,$AR$45*AQ17/SUMIF($AQ$9:$AQ$40,"&gt;0"),IF(AU17&gt;0,$AV$45*AU17/SUMIF($AU$9:$AU$40,"&gt;0"),IF(AS17&gt;0,$AT$45*AS17/SUMIF($AS$9:$AS$40,"&gt;0"),""))),IF(SUMIF(AJ18:$AJ$40,"=" &amp; AJ17,AI18:$AI$40)=0,"",SUMIF(AJ18:$AJ$40,"=" &amp; AJ17,AI18:$AI$40)))</f>
        <v>0.10000000222000005</v>
      </c>
      <c r="AJ17" s="770">
        <f t="shared" si="34"/>
        <v>1</v>
      </c>
      <c r="AK17" s="768">
        <f t="shared" si="27"/>
        <v>2</v>
      </c>
      <c r="AL17" s="777" t="str">
        <f t="shared" si="28"/>
        <v/>
      </c>
      <c r="AM17" s="777" t="str">
        <f t="shared" si="35"/>
        <v/>
      </c>
      <c r="AN17" s="777" t="str">
        <f t="shared" si="5"/>
        <v/>
      </c>
      <c r="AO17" s="777" t="str">
        <f t="shared" si="6"/>
        <v/>
      </c>
      <c r="AP17" s="768" t="b">
        <f t="shared" si="7"/>
        <v>1</v>
      </c>
      <c r="AQ17" s="771">
        <f t="shared" si="29"/>
        <v>3.3333333000000001</v>
      </c>
      <c r="AR17" s="772" t="str">
        <f t="shared" si="8"/>
        <v/>
      </c>
      <c r="AS17" s="773">
        <f t="shared" si="30"/>
        <v>0</v>
      </c>
      <c r="AT17" s="772" t="str">
        <f t="shared" si="9"/>
        <v/>
      </c>
      <c r="AU17" s="774">
        <f t="shared" si="10"/>
        <v>0</v>
      </c>
      <c r="AV17" s="775" t="str">
        <f t="shared" si="11"/>
        <v/>
      </c>
      <c r="AW17" s="774" t="b">
        <f t="shared" si="12"/>
        <v>0</v>
      </c>
      <c r="AX17" s="776" t="b">
        <f t="shared" si="13"/>
        <v>1</v>
      </c>
      <c r="AY17" s="774" t="b">
        <f t="shared" si="14"/>
        <v>0</v>
      </c>
      <c r="AZ17" s="776" t="b">
        <f t="shared" si="15"/>
        <v>0</v>
      </c>
      <c r="BA17" s="768" t="b">
        <f t="shared" si="16"/>
        <v>0</v>
      </c>
      <c r="BB17" s="768" t="b">
        <f t="shared" si="17"/>
        <v>0</v>
      </c>
      <c r="BC17" s="774" t="b">
        <f t="shared" si="18"/>
        <v>0</v>
      </c>
      <c r="BD17" s="777" t="b">
        <f t="shared" si="31"/>
        <v>0</v>
      </c>
      <c r="BE17" s="776" t="b">
        <f t="shared" si="19"/>
        <v>0</v>
      </c>
      <c r="BF17" s="778" t="b">
        <f t="shared" si="20"/>
        <v>0</v>
      </c>
      <c r="BG17" s="779" t="b">
        <f t="shared" si="21"/>
        <v>1</v>
      </c>
      <c r="BH17" s="779">
        <f t="shared" si="32"/>
        <v>1</v>
      </c>
      <c r="BI17" s="779">
        <f t="shared" si="22"/>
        <v>2</v>
      </c>
      <c r="BJ17" s="779" t="str">
        <f t="shared" si="23"/>
        <v>2*</v>
      </c>
      <c r="BK17" s="779">
        <f t="shared" si="24"/>
        <v>3</v>
      </c>
      <c r="BL17" s="780">
        <f t="shared" si="33"/>
        <v>1</v>
      </c>
      <c r="BM17" s="779">
        <f t="shared" si="25"/>
        <v>2</v>
      </c>
      <c r="BN17" s="779">
        <f t="shared" si="26"/>
        <v>3</v>
      </c>
      <c r="BO17" s="787"/>
      <c r="BP17" s="790"/>
    </row>
    <row r="18" spans="2:75" s="731" customFormat="1" ht="12.95" customHeight="1" x14ac:dyDescent="0.25">
      <c r="B18" s="783" t="str">
        <f>IF(ISNA(Z18),"",IF(OR(Z18=1,Z18=2),"    ",MAX($B$9:B17)+1))</f>
        <v xml:space="preserve">    </v>
      </c>
      <c r="C18" s="1116" t="str">
        <f t="shared" si="0"/>
        <v>Clarity &amp; Precision (Mechanics) (10.0%)</v>
      </c>
      <c r="D18" s="1116"/>
      <c r="E18" s="1116"/>
      <c r="F18" s="1117"/>
      <c r="G18" s="763" t="str">
        <f t="shared" si="1"/>
        <v/>
      </c>
      <c r="H18" s="764" t="str">
        <f t="shared" si="2"/>
        <v/>
      </c>
      <c r="I18" s="784" t="str">
        <f t="shared" si="2"/>
        <v/>
      </c>
      <c r="J18" s="793"/>
      <c r="K18" s="794"/>
      <c r="L18" s="1134"/>
      <c r="M18" s="1135"/>
      <c r="N18" s="1135"/>
      <c r="O18" s="1135"/>
      <c r="P18" s="1135"/>
      <c r="Q18" s="1135"/>
      <c r="R18" s="1136"/>
      <c r="T18" s="727">
        <v>10</v>
      </c>
      <c r="U18" s="716" t="s">
        <v>970</v>
      </c>
      <c r="V18" s="768" t="s">
        <v>340</v>
      </c>
      <c r="W18" s="768" t="s">
        <v>340</v>
      </c>
      <c r="X18" s="768" t="s">
        <v>340</v>
      </c>
      <c r="Y18" s="768" t="s">
        <v>340</v>
      </c>
      <c r="Z18" s="777">
        <v>2</v>
      </c>
      <c r="AA18" s="777">
        <v>1</v>
      </c>
      <c r="AB18" s="777">
        <v>1</v>
      </c>
      <c r="AC18" s="768" t="s">
        <v>340</v>
      </c>
      <c r="AD18" s="768" t="s">
        <v>340</v>
      </c>
      <c r="AE18" s="768" t="s">
        <v>340</v>
      </c>
      <c r="AF18" s="768" t="s">
        <v>340</v>
      </c>
      <c r="AG18" s="768" t="str">
        <f t="shared" si="3"/>
        <v/>
      </c>
      <c r="AH18" s="768" t="str">
        <f t="shared" si="4"/>
        <v/>
      </c>
      <c r="AI18" s="769">
        <f>IF(NOT(OR(Z18=1,Z18=2)),IF(AQ18&gt;0,$AR$45*AQ18/SUMIF($AQ$9:$AQ$40,"&gt;0"),IF(AU18&gt;0,$AV$45*AU18/SUMIF($AU$9:$AU$40,"&gt;0"),IF(AS18&gt;0,$AT$45*AS18/SUMIF($AS$9:$AS$40,"&gt;0"),""))),IF(SUMIF(AJ19:$AJ$40,"=" &amp; AJ18,AI19:$AI$40)=0,"",SUMIF(AJ19:$AJ$40,"=" &amp; AJ18,AI19:$AI$40)))</f>
        <v>0.10000000222000006</v>
      </c>
      <c r="AJ18" s="770">
        <f t="shared" si="34"/>
        <v>2</v>
      </c>
      <c r="AK18" s="768" t="str">
        <f t="shared" si="27"/>
        <v/>
      </c>
      <c r="AL18" s="777" t="str">
        <f t="shared" si="28"/>
        <v/>
      </c>
      <c r="AM18" s="777" t="str">
        <f t="shared" si="35"/>
        <v/>
      </c>
      <c r="AN18" s="777" t="str">
        <f t="shared" si="5"/>
        <v/>
      </c>
      <c r="AO18" s="777" t="str">
        <f t="shared" si="6"/>
        <v/>
      </c>
      <c r="AP18" s="768" t="str">
        <f t="shared" si="7"/>
        <v/>
      </c>
      <c r="AQ18" s="771">
        <f t="shared" si="29"/>
        <v>0</v>
      </c>
      <c r="AR18" s="772" t="str">
        <f t="shared" si="8"/>
        <v/>
      </c>
      <c r="AS18" s="773">
        <f t="shared" si="30"/>
        <v>0</v>
      </c>
      <c r="AT18" s="772" t="str">
        <f t="shared" si="9"/>
        <v/>
      </c>
      <c r="AU18" s="774">
        <f t="shared" si="10"/>
        <v>0</v>
      </c>
      <c r="AV18" s="775" t="str">
        <f t="shared" si="11"/>
        <v/>
      </c>
      <c r="AW18" s="774" t="b">
        <f t="shared" si="12"/>
        <v>0</v>
      </c>
      <c r="AX18" s="776" t="b">
        <f t="shared" si="13"/>
        <v>0</v>
      </c>
      <c r="AY18" s="774" t="b">
        <f t="shared" si="14"/>
        <v>0</v>
      </c>
      <c r="AZ18" s="776" t="b">
        <f t="shared" si="15"/>
        <v>0</v>
      </c>
      <c r="BA18" s="768" t="b">
        <f t="shared" si="16"/>
        <v>0</v>
      </c>
      <c r="BB18" s="768" t="b">
        <f t="shared" si="17"/>
        <v>0</v>
      </c>
      <c r="BC18" s="774" t="b">
        <f t="shared" si="18"/>
        <v>0</v>
      </c>
      <c r="BD18" s="777" t="b">
        <f t="shared" si="31"/>
        <v>0</v>
      </c>
      <c r="BE18" s="776" t="b">
        <f t="shared" si="19"/>
        <v>0</v>
      </c>
      <c r="BF18" s="778" t="b">
        <f t="shared" si="20"/>
        <v>0</v>
      </c>
      <c r="BG18" s="779" t="b">
        <f t="shared" si="21"/>
        <v>0</v>
      </c>
      <c r="BH18" s="779" t="str">
        <f t="shared" si="32"/>
        <v/>
      </c>
      <c r="BI18" s="779" t="str">
        <f t="shared" si="22"/>
        <v/>
      </c>
      <c r="BJ18" s="779" t="str">
        <f t="shared" si="23"/>
        <v/>
      </c>
      <c r="BK18" s="779" t="str">
        <f t="shared" si="24"/>
        <v/>
      </c>
      <c r="BL18" s="780" t="str">
        <f t="shared" si="33"/>
        <v/>
      </c>
      <c r="BM18" s="779" t="str">
        <f t="shared" si="25"/>
        <v/>
      </c>
      <c r="BN18" s="779" t="str">
        <f t="shared" si="26"/>
        <v/>
      </c>
      <c r="BO18" s="719"/>
    </row>
    <row r="19" spans="2:75" s="731" customFormat="1" ht="12.95" customHeight="1" x14ac:dyDescent="0.25">
      <c r="B19" s="783">
        <f>IF(ISNA(Z19),"",IF(OR(Z19=1,Z19=2),"    ",MAX($B$9:B18)+1))</f>
        <v>8</v>
      </c>
      <c r="C19" s="1116" t="str">
        <f t="shared" si="0"/>
        <v xml:space="preserve">      - Grammar &amp; Syntax (4.0%)</v>
      </c>
      <c r="D19" s="1116"/>
      <c r="E19" s="1116"/>
      <c r="F19" s="1117"/>
      <c r="G19" s="763">
        <f t="shared" si="1"/>
        <v>1</v>
      </c>
      <c r="H19" s="764" t="str">
        <f t="shared" si="2"/>
        <v>2*</v>
      </c>
      <c r="I19" s="784">
        <f t="shared" si="2"/>
        <v>3</v>
      </c>
      <c r="J19" s="789"/>
      <c r="K19" s="786"/>
      <c r="L19" s="1134"/>
      <c r="M19" s="1135"/>
      <c r="N19" s="1135"/>
      <c r="O19" s="1135"/>
      <c r="P19" s="1135"/>
      <c r="Q19" s="1135"/>
      <c r="R19" s="1136"/>
      <c r="T19" s="727">
        <v>11</v>
      </c>
      <c r="U19" s="716" t="s">
        <v>971</v>
      </c>
      <c r="V19" s="768">
        <v>1</v>
      </c>
      <c r="W19" s="768">
        <v>1.3333333000000001</v>
      </c>
      <c r="X19" s="768" t="s">
        <v>340</v>
      </c>
      <c r="Y19" s="768" t="s">
        <v>340</v>
      </c>
      <c r="Z19" s="777" t="s">
        <v>340</v>
      </c>
      <c r="AA19" s="777">
        <v>2</v>
      </c>
      <c r="AB19" s="777">
        <v>1</v>
      </c>
      <c r="AC19" s="768">
        <v>3</v>
      </c>
      <c r="AD19" s="768">
        <v>2</v>
      </c>
      <c r="AE19" s="768">
        <v>1</v>
      </c>
      <c r="AF19" s="768" t="b">
        <v>1</v>
      </c>
      <c r="AG19" s="768">
        <f t="shared" si="3"/>
        <v>2</v>
      </c>
      <c r="AH19" s="768">
        <f t="shared" si="4"/>
        <v>1</v>
      </c>
      <c r="AI19" s="769">
        <f>IF(NOT(OR(Z19=1,Z19=2)),IF(AQ19&gt;0,$AR$45*AQ19/SUMIF($AQ$9:$AQ$40,"&gt;0"),IF(AU19&gt;0,$AV$45*AU19/SUMIF($AU$9:$AU$40,"&gt;0"),IF(AS19&gt;0,$AT$45*AS19/SUMIF($AS$9:$AS$40,"&gt;0"),""))),IF(SUMIF(AJ20:$AJ$40,"=" &amp; AJ19,AI20:$AI$40)=0,"",SUMIF(AJ20:$AJ$40,"=" &amp; AJ19,AI20:$AI$40)))</f>
        <v>4.0000000288000007E-2</v>
      </c>
      <c r="AJ19" s="770">
        <f t="shared" si="34"/>
        <v>2</v>
      </c>
      <c r="AK19" s="768">
        <f t="shared" si="27"/>
        <v>2</v>
      </c>
      <c r="AL19" s="777" t="str">
        <f t="shared" si="28"/>
        <v/>
      </c>
      <c r="AM19" s="777" t="str">
        <f t="shared" si="35"/>
        <v/>
      </c>
      <c r="AN19" s="777" t="str">
        <f t="shared" si="5"/>
        <v/>
      </c>
      <c r="AO19" s="777" t="str">
        <f t="shared" si="6"/>
        <v/>
      </c>
      <c r="AP19" s="768" t="b">
        <f t="shared" si="7"/>
        <v>1</v>
      </c>
      <c r="AQ19" s="771">
        <f t="shared" si="29"/>
        <v>1.3333333000000001</v>
      </c>
      <c r="AR19" s="772" t="str">
        <f t="shared" si="8"/>
        <v/>
      </c>
      <c r="AS19" s="773">
        <f t="shared" si="30"/>
        <v>0</v>
      </c>
      <c r="AT19" s="772" t="str">
        <f t="shared" si="9"/>
        <v/>
      </c>
      <c r="AU19" s="774">
        <f t="shared" si="10"/>
        <v>0</v>
      </c>
      <c r="AV19" s="775" t="str">
        <f t="shared" si="11"/>
        <v/>
      </c>
      <c r="AW19" s="774" t="b">
        <f t="shared" si="12"/>
        <v>0</v>
      </c>
      <c r="AX19" s="776" t="b">
        <f t="shared" si="13"/>
        <v>1</v>
      </c>
      <c r="AY19" s="774" t="b">
        <f t="shared" si="14"/>
        <v>0</v>
      </c>
      <c r="AZ19" s="776" t="b">
        <f t="shared" si="15"/>
        <v>0</v>
      </c>
      <c r="BA19" s="768" t="b">
        <f t="shared" si="16"/>
        <v>0</v>
      </c>
      <c r="BB19" s="768" t="b">
        <f t="shared" si="17"/>
        <v>0</v>
      </c>
      <c r="BC19" s="774" t="b">
        <f t="shared" si="18"/>
        <v>0</v>
      </c>
      <c r="BD19" s="777" t="b">
        <f t="shared" si="31"/>
        <v>0</v>
      </c>
      <c r="BE19" s="776" t="b">
        <f t="shared" si="19"/>
        <v>0</v>
      </c>
      <c r="BF19" s="778" t="b">
        <f t="shared" si="20"/>
        <v>0</v>
      </c>
      <c r="BG19" s="779" t="b">
        <f t="shared" si="21"/>
        <v>1</v>
      </c>
      <c r="BH19" s="779">
        <f t="shared" si="32"/>
        <v>1</v>
      </c>
      <c r="BI19" s="779">
        <f t="shared" si="22"/>
        <v>2</v>
      </c>
      <c r="BJ19" s="779" t="str">
        <f t="shared" si="23"/>
        <v>2*</v>
      </c>
      <c r="BK19" s="779">
        <f t="shared" si="24"/>
        <v>3</v>
      </c>
      <c r="BL19" s="780">
        <f t="shared" si="33"/>
        <v>1</v>
      </c>
      <c r="BM19" s="779">
        <f t="shared" si="25"/>
        <v>2</v>
      </c>
      <c r="BN19" s="779">
        <f t="shared" si="26"/>
        <v>3</v>
      </c>
      <c r="BO19" s="791"/>
      <c r="BP19" s="790" t="s">
        <v>355</v>
      </c>
      <c r="BQ19" s="792"/>
      <c r="BR19" s="792"/>
      <c r="BS19" s="792"/>
      <c r="BT19" s="792"/>
      <c r="BU19" s="792"/>
    </row>
    <row r="20" spans="2:75" s="731" customFormat="1" ht="12.95" customHeight="1" x14ac:dyDescent="0.25">
      <c r="B20" s="783">
        <f>IF(ISNA(Z20),"",IF(OR(Z20=1,Z20=2),"    ",MAX($B$9:B19)+1))</f>
        <v>9</v>
      </c>
      <c r="C20" s="1116" t="str">
        <f t="shared" si="0"/>
        <v xml:space="preserve">      - Punct. Acronyms &amp; Format (3.0%)</v>
      </c>
      <c r="D20" s="1116"/>
      <c r="E20" s="1116"/>
      <c r="F20" s="1117"/>
      <c r="G20" s="763">
        <f t="shared" si="1"/>
        <v>1</v>
      </c>
      <c r="H20" s="764" t="str">
        <f t="shared" si="2"/>
        <v>2*</v>
      </c>
      <c r="I20" s="784">
        <f t="shared" si="2"/>
        <v>3</v>
      </c>
      <c r="J20" s="789"/>
      <c r="K20" s="786"/>
      <c r="L20" s="1134"/>
      <c r="M20" s="1135"/>
      <c r="N20" s="1135"/>
      <c r="O20" s="1135"/>
      <c r="P20" s="1135"/>
      <c r="Q20" s="1135"/>
      <c r="R20" s="1136"/>
      <c r="T20" s="727">
        <v>12</v>
      </c>
      <c r="U20" s="716" t="s">
        <v>990</v>
      </c>
      <c r="V20" s="768">
        <v>1</v>
      </c>
      <c r="W20" s="768">
        <v>1</v>
      </c>
      <c r="X20" s="768" t="s">
        <v>340</v>
      </c>
      <c r="Y20" s="768" t="s">
        <v>340</v>
      </c>
      <c r="Z20" s="777" t="s">
        <v>340</v>
      </c>
      <c r="AA20" s="777">
        <v>2</v>
      </c>
      <c r="AB20" s="777">
        <v>1</v>
      </c>
      <c r="AC20" s="768">
        <v>3</v>
      </c>
      <c r="AD20" s="768">
        <v>2</v>
      </c>
      <c r="AE20" s="768">
        <v>1</v>
      </c>
      <c r="AF20" s="768" t="b">
        <v>1</v>
      </c>
      <c r="AG20" s="768">
        <f t="shared" si="3"/>
        <v>2</v>
      </c>
      <c r="AH20" s="768">
        <f t="shared" si="4"/>
        <v>1</v>
      </c>
      <c r="AI20" s="769">
        <f>IF(NOT(OR(Z20=1,Z20=2)),IF(AQ20&gt;0,$AR$45*AQ20/SUMIF($AQ$9:$AQ$40,"&gt;0"),IF(AU20&gt;0,$AV$45*AU20/SUMIF($AU$9:$AU$40,"&gt;0"),IF(AS20&gt;0,$AT$45*AS20/SUMIF($AS$9:$AS$40,"&gt;0"),""))),IF(SUMIF(AJ21:$AJ$40,"=" &amp; AJ20,AI21:$AI$40)=0,"",SUMIF(AJ21:$AJ$40,"=" &amp; AJ20,AI21:$AI$40)))</f>
        <v>3.0000000966000025E-2</v>
      </c>
      <c r="AJ20" s="770">
        <f t="shared" si="34"/>
        <v>2</v>
      </c>
      <c r="AK20" s="768">
        <f t="shared" si="27"/>
        <v>2</v>
      </c>
      <c r="AL20" s="777" t="str">
        <f t="shared" si="28"/>
        <v/>
      </c>
      <c r="AM20" s="777" t="str">
        <f t="shared" si="35"/>
        <v/>
      </c>
      <c r="AN20" s="777" t="str">
        <f t="shared" si="5"/>
        <v/>
      </c>
      <c r="AO20" s="777" t="str">
        <f t="shared" si="6"/>
        <v/>
      </c>
      <c r="AP20" s="768" t="b">
        <f t="shared" si="7"/>
        <v>1</v>
      </c>
      <c r="AQ20" s="771">
        <f t="shared" si="29"/>
        <v>1</v>
      </c>
      <c r="AR20" s="772" t="str">
        <f t="shared" si="8"/>
        <v/>
      </c>
      <c r="AS20" s="773">
        <f t="shared" si="30"/>
        <v>0</v>
      </c>
      <c r="AT20" s="772" t="str">
        <f t="shared" si="9"/>
        <v/>
      </c>
      <c r="AU20" s="774">
        <f t="shared" si="10"/>
        <v>0</v>
      </c>
      <c r="AV20" s="775" t="str">
        <f t="shared" si="11"/>
        <v/>
      </c>
      <c r="AW20" s="774" t="b">
        <f t="shared" si="12"/>
        <v>0</v>
      </c>
      <c r="AX20" s="776" t="b">
        <f t="shared" si="13"/>
        <v>1</v>
      </c>
      <c r="AY20" s="774" t="b">
        <f t="shared" si="14"/>
        <v>0</v>
      </c>
      <c r="AZ20" s="776" t="b">
        <f t="shared" si="15"/>
        <v>0</v>
      </c>
      <c r="BA20" s="768" t="b">
        <f t="shared" si="16"/>
        <v>0</v>
      </c>
      <c r="BB20" s="768" t="b">
        <f t="shared" si="17"/>
        <v>0</v>
      </c>
      <c r="BC20" s="774" t="b">
        <f t="shared" si="18"/>
        <v>0</v>
      </c>
      <c r="BD20" s="777" t="b">
        <f t="shared" si="31"/>
        <v>0</v>
      </c>
      <c r="BE20" s="776" t="b">
        <f t="shared" si="19"/>
        <v>0</v>
      </c>
      <c r="BF20" s="778" t="b">
        <f t="shared" si="20"/>
        <v>0</v>
      </c>
      <c r="BG20" s="779" t="b">
        <f t="shared" si="21"/>
        <v>1</v>
      </c>
      <c r="BH20" s="779">
        <f t="shared" si="32"/>
        <v>1</v>
      </c>
      <c r="BI20" s="779">
        <f t="shared" si="22"/>
        <v>2</v>
      </c>
      <c r="BJ20" s="779" t="str">
        <f t="shared" si="23"/>
        <v>2*</v>
      </c>
      <c r="BK20" s="779">
        <f t="shared" si="24"/>
        <v>3</v>
      </c>
      <c r="BL20" s="780">
        <f t="shared" si="33"/>
        <v>1</v>
      </c>
      <c r="BM20" s="779">
        <f t="shared" si="25"/>
        <v>2</v>
      </c>
      <c r="BN20" s="779">
        <f t="shared" si="26"/>
        <v>3</v>
      </c>
      <c r="BO20" s="791"/>
      <c r="BP20" s="782"/>
      <c r="BQ20" s="1140" t="s">
        <v>356</v>
      </c>
      <c r="BR20" s="1140"/>
      <c r="BS20" s="1140"/>
      <c r="BT20" s="1140"/>
      <c r="BU20" s="1140"/>
    </row>
    <row r="21" spans="2:75" s="731" customFormat="1" ht="12.95" customHeight="1" x14ac:dyDescent="0.25">
      <c r="B21" s="783">
        <f>IF(ISNA(Z21),"",IF(OR(Z21=1,Z21=2),"    ",MAX($B$9:B20)+1))</f>
        <v>10</v>
      </c>
      <c r="C21" s="1116" t="str">
        <f t="shared" si="0"/>
        <v xml:space="preserve">      - Profess. Tone &amp; Word Choice (3.0%)</v>
      </c>
      <c r="D21" s="1116"/>
      <c r="E21" s="1116"/>
      <c r="F21" s="1117"/>
      <c r="G21" s="763">
        <f t="shared" si="1"/>
        <v>1</v>
      </c>
      <c r="H21" s="764" t="str">
        <f t="shared" si="2"/>
        <v>2*</v>
      </c>
      <c r="I21" s="784">
        <f t="shared" si="2"/>
        <v>3</v>
      </c>
      <c r="J21" s="789"/>
      <c r="K21" s="786"/>
      <c r="L21" s="1134"/>
      <c r="M21" s="1135"/>
      <c r="N21" s="1135"/>
      <c r="O21" s="1135"/>
      <c r="P21" s="1135"/>
      <c r="Q21" s="1135"/>
      <c r="R21" s="1136"/>
      <c r="T21" s="727">
        <v>13</v>
      </c>
      <c r="U21" s="716" t="s">
        <v>991</v>
      </c>
      <c r="V21" s="768">
        <v>1</v>
      </c>
      <c r="W21" s="768">
        <v>1</v>
      </c>
      <c r="X21" s="768" t="s">
        <v>340</v>
      </c>
      <c r="Y21" s="768" t="s">
        <v>340</v>
      </c>
      <c r="Z21" s="777" t="s">
        <v>340</v>
      </c>
      <c r="AA21" s="777">
        <v>2</v>
      </c>
      <c r="AB21" s="777">
        <v>1</v>
      </c>
      <c r="AC21" s="768">
        <v>3</v>
      </c>
      <c r="AD21" s="768">
        <v>2</v>
      </c>
      <c r="AE21" s="768">
        <v>1</v>
      </c>
      <c r="AF21" s="768" t="b">
        <v>1</v>
      </c>
      <c r="AG21" s="768">
        <f t="shared" si="3"/>
        <v>2</v>
      </c>
      <c r="AH21" s="768">
        <f t="shared" si="4"/>
        <v>1</v>
      </c>
      <c r="AI21" s="769">
        <f>IF(NOT(OR(Z21=1,Z21=2)),IF(AQ21&gt;0,$AR$45*AQ21/SUMIF($AQ$9:$AQ$40,"&gt;0"),IF(AU21&gt;0,$AV$45*AU21/SUMIF($AU$9:$AU$40,"&gt;0"),IF(AS21&gt;0,$AT$45*AS21/SUMIF($AS$9:$AS$40,"&gt;0"),""))),IF(SUMIF(AJ22:$AJ$40,"=" &amp; AJ21,AI22:$AI$40)=0,"",SUMIF(AJ22:$AJ$40,"=" &amp; AJ21,AI22:$AI$40)))</f>
        <v>3.0000000966000025E-2</v>
      </c>
      <c r="AJ21" s="770">
        <f t="shared" si="34"/>
        <v>2</v>
      </c>
      <c r="AK21" s="768">
        <f t="shared" si="27"/>
        <v>2</v>
      </c>
      <c r="AL21" s="777" t="str">
        <f t="shared" si="28"/>
        <v/>
      </c>
      <c r="AM21" s="777" t="str">
        <f t="shared" si="35"/>
        <v/>
      </c>
      <c r="AN21" s="777" t="str">
        <f t="shared" si="5"/>
        <v/>
      </c>
      <c r="AO21" s="777" t="str">
        <f t="shared" si="6"/>
        <v/>
      </c>
      <c r="AP21" s="768" t="b">
        <f t="shared" si="7"/>
        <v>1</v>
      </c>
      <c r="AQ21" s="771">
        <f t="shared" si="29"/>
        <v>1</v>
      </c>
      <c r="AR21" s="772" t="str">
        <f t="shared" si="8"/>
        <v/>
      </c>
      <c r="AS21" s="773">
        <f t="shared" si="30"/>
        <v>0</v>
      </c>
      <c r="AT21" s="772" t="str">
        <f t="shared" si="9"/>
        <v/>
      </c>
      <c r="AU21" s="774">
        <f t="shared" si="10"/>
        <v>0</v>
      </c>
      <c r="AV21" s="775" t="str">
        <f t="shared" si="11"/>
        <v/>
      </c>
      <c r="AW21" s="774" t="b">
        <f t="shared" si="12"/>
        <v>0</v>
      </c>
      <c r="AX21" s="776" t="b">
        <f t="shared" si="13"/>
        <v>1</v>
      </c>
      <c r="AY21" s="774" t="b">
        <f t="shared" si="14"/>
        <v>0</v>
      </c>
      <c r="AZ21" s="776" t="b">
        <f t="shared" si="15"/>
        <v>0</v>
      </c>
      <c r="BA21" s="768" t="b">
        <f t="shared" si="16"/>
        <v>0</v>
      </c>
      <c r="BB21" s="768" t="b">
        <f t="shared" si="17"/>
        <v>0</v>
      </c>
      <c r="BC21" s="774" t="b">
        <f t="shared" si="18"/>
        <v>0</v>
      </c>
      <c r="BD21" s="777" t="b">
        <f t="shared" si="31"/>
        <v>0</v>
      </c>
      <c r="BE21" s="776" t="b">
        <f t="shared" si="19"/>
        <v>0</v>
      </c>
      <c r="BF21" s="778" t="b">
        <f t="shared" si="20"/>
        <v>0</v>
      </c>
      <c r="BG21" s="779" t="b">
        <f t="shared" si="21"/>
        <v>1</v>
      </c>
      <c r="BH21" s="779">
        <f t="shared" si="32"/>
        <v>1</v>
      </c>
      <c r="BI21" s="779">
        <f t="shared" si="22"/>
        <v>2</v>
      </c>
      <c r="BJ21" s="779" t="str">
        <f t="shared" si="23"/>
        <v>2*</v>
      </c>
      <c r="BK21" s="779">
        <f t="shared" si="24"/>
        <v>3</v>
      </c>
      <c r="BL21" s="780">
        <f t="shared" si="33"/>
        <v>1</v>
      </c>
      <c r="BM21" s="779">
        <f t="shared" si="25"/>
        <v>2</v>
      </c>
      <c r="BN21" s="779">
        <f t="shared" si="26"/>
        <v>3</v>
      </c>
      <c r="BO21" s="791"/>
      <c r="BP21" s="791"/>
      <c r="BQ21" s="791">
        <v>0</v>
      </c>
      <c r="BR21" s="791">
        <v>1</v>
      </c>
      <c r="BS21" s="791">
        <v>2</v>
      </c>
      <c r="BT21" s="791">
        <v>3</v>
      </c>
      <c r="BU21" s="791">
        <v>4</v>
      </c>
    </row>
    <row r="22" spans="2:75" s="731" customFormat="1" ht="12.95" customHeight="1" x14ac:dyDescent="0.25">
      <c r="B22" s="783" t="str">
        <f>IF(ISNA(Z22),"",IF(OR(Z22=1,Z22=2),"    ",MAX($B$9:B21)+1))</f>
        <v xml:space="preserve">    </v>
      </c>
      <c r="C22" s="1116" t="str">
        <f t="shared" si="0"/>
        <v>Visual Eng &amp; Data Presentation (20.0%)</v>
      </c>
      <c r="D22" s="1116"/>
      <c r="E22" s="1116"/>
      <c r="F22" s="1117"/>
      <c r="G22" s="763" t="str">
        <f t="shared" si="1"/>
        <v/>
      </c>
      <c r="H22" s="764" t="str">
        <f t="shared" si="2"/>
        <v/>
      </c>
      <c r="I22" s="784" t="str">
        <f t="shared" si="2"/>
        <v/>
      </c>
      <c r="J22" s="793"/>
      <c r="K22" s="794"/>
      <c r="L22" s="1134"/>
      <c r="M22" s="1135"/>
      <c r="N22" s="1135"/>
      <c r="O22" s="1135"/>
      <c r="P22" s="1135"/>
      <c r="Q22" s="1135"/>
      <c r="R22" s="1136"/>
      <c r="T22" s="727">
        <v>14</v>
      </c>
      <c r="U22" s="716" t="s">
        <v>974</v>
      </c>
      <c r="V22" s="768" t="s">
        <v>340</v>
      </c>
      <c r="W22" s="768" t="s">
        <v>340</v>
      </c>
      <c r="X22" s="768" t="s">
        <v>340</v>
      </c>
      <c r="Y22" s="768" t="s">
        <v>340</v>
      </c>
      <c r="Z22" s="777">
        <v>2</v>
      </c>
      <c r="AA22" s="777">
        <v>1</v>
      </c>
      <c r="AB22" s="777">
        <v>1</v>
      </c>
      <c r="AC22" s="768" t="s">
        <v>340</v>
      </c>
      <c r="AD22" s="768" t="s">
        <v>340</v>
      </c>
      <c r="AE22" s="768" t="s">
        <v>340</v>
      </c>
      <c r="AF22" s="768" t="s">
        <v>340</v>
      </c>
      <c r="AG22" s="768" t="str">
        <f t="shared" si="3"/>
        <v/>
      </c>
      <c r="AH22" s="768" t="str">
        <f t="shared" si="4"/>
        <v/>
      </c>
      <c r="AI22" s="769">
        <f>IF(NOT(OR(Z22=1,Z22=2)),IF(AQ22&gt;0,$AR$45*AQ22/SUMIF($AQ$9:$AQ$40,"&gt;0"),IF(AU22&gt;0,$AV$45*AU22/SUMIF($AU$9:$AU$40,"&gt;0"),IF(AS22&gt;0,$AT$45*AS22/SUMIF($AS$9:$AS$40,"&gt;0"),""))),IF(SUMIF(AJ23:$AJ$40,"=" &amp; AJ22,AI23:$AI$40)=0,"",SUMIF(AJ23:$AJ$40,"=" &amp; AJ22,AI23:$AI$40)))</f>
        <v>0.20000000624000017</v>
      </c>
      <c r="AJ22" s="770">
        <f t="shared" si="34"/>
        <v>3</v>
      </c>
      <c r="AK22" s="768" t="str">
        <f t="shared" si="27"/>
        <v/>
      </c>
      <c r="AL22" s="777" t="str">
        <f t="shared" si="28"/>
        <v/>
      </c>
      <c r="AM22" s="777" t="str">
        <f t="shared" si="35"/>
        <v/>
      </c>
      <c r="AN22" s="777" t="str">
        <f t="shared" si="5"/>
        <v/>
      </c>
      <c r="AO22" s="777" t="str">
        <f t="shared" si="6"/>
        <v/>
      </c>
      <c r="AP22" s="768" t="str">
        <f t="shared" si="7"/>
        <v/>
      </c>
      <c r="AQ22" s="771">
        <f t="shared" si="29"/>
        <v>0</v>
      </c>
      <c r="AR22" s="772" t="str">
        <f t="shared" si="8"/>
        <v/>
      </c>
      <c r="AS22" s="773">
        <f t="shared" si="30"/>
        <v>0</v>
      </c>
      <c r="AT22" s="772" t="str">
        <f t="shared" si="9"/>
        <v/>
      </c>
      <c r="AU22" s="774">
        <f t="shared" si="10"/>
        <v>0</v>
      </c>
      <c r="AV22" s="775" t="str">
        <f t="shared" si="11"/>
        <v/>
      </c>
      <c r="AW22" s="774" t="b">
        <f t="shared" si="12"/>
        <v>0</v>
      </c>
      <c r="AX22" s="776" t="b">
        <f t="shared" si="13"/>
        <v>0</v>
      </c>
      <c r="AY22" s="774" t="b">
        <f t="shared" si="14"/>
        <v>0</v>
      </c>
      <c r="AZ22" s="776" t="b">
        <f t="shared" si="15"/>
        <v>0</v>
      </c>
      <c r="BA22" s="768" t="b">
        <f t="shared" si="16"/>
        <v>0</v>
      </c>
      <c r="BB22" s="768" t="b">
        <f t="shared" si="17"/>
        <v>0</v>
      </c>
      <c r="BC22" s="774" t="b">
        <f t="shared" si="18"/>
        <v>0</v>
      </c>
      <c r="BD22" s="777" t="b">
        <f t="shared" si="31"/>
        <v>0</v>
      </c>
      <c r="BE22" s="776" t="b">
        <f t="shared" si="19"/>
        <v>0</v>
      </c>
      <c r="BF22" s="778" t="b">
        <f t="shared" si="20"/>
        <v>0</v>
      </c>
      <c r="BG22" s="779" t="b">
        <f t="shared" si="21"/>
        <v>0</v>
      </c>
      <c r="BH22" s="779" t="str">
        <f t="shared" si="32"/>
        <v/>
      </c>
      <c r="BI22" s="779" t="str">
        <f t="shared" si="22"/>
        <v/>
      </c>
      <c r="BJ22" s="779" t="str">
        <f t="shared" si="23"/>
        <v/>
      </c>
      <c r="BK22" s="779" t="str">
        <f t="shared" si="24"/>
        <v/>
      </c>
      <c r="BL22" s="780" t="str">
        <f t="shared" si="33"/>
        <v/>
      </c>
      <c r="BM22" s="779" t="str">
        <f t="shared" si="25"/>
        <v/>
      </c>
      <c r="BN22" s="779" t="str">
        <f t="shared" si="26"/>
        <v/>
      </c>
      <c r="BO22" s="1141" t="s">
        <v>358</v>
      </c>
      <c r="BP22" s="791" t="s">
        <v>359</v>
      </c>
      <c r="BQ22" s="795">
        <f t="shared" ref="BQ22:BU30" si="36">AR51</f>
        <v>0.7</v>
      </c>
      <c r="BR22" s="796">
        <f t="shared" si="36"/>
        <v>0.9</v>
      </c>
      <c r="BS22" s="796">
        <f t="shared" si="36"/>
        <v>0.93330000000000002</v>
      </c>
      <c r="BT22" s="796">
        <f t="shared" si="36"/>
        <v>0.9667</v>
      </c>
      <c r="BU22" s="797">
        <f t="shared" si="36"/>
        <v>1</v>
      </c>
      <c r="BV22" s="798"/>
      <c r="BW22" s="711"/>
    </row>
    <row r="23" spans="2:75" s="731" customFormat="1" ht="12.95" customHeight="1" x14ac:dyDescent="0.25">
      <c r="B23" s="783">
        <f>IF(ISNA(Z23),"",IF(OR(Z23=1,Z23=2),"    ",MAX($B$9:B22)+1))</f>
        <v>11</v>
      </c>
      <c r="C23" s="1116" t="str">
        <f t="shared" si="0"/>
        <v xml:space="preserve">      - Anatomy of a Valid Plot/Table (8.0%)</v>
      </c>
      <c r="D23" s="1116"/>
      <c r="E23" s="1116"/>
      <c r="F23" s="1117"/>
      <c r="G23" s="763">
        <f t="shared" si="1"/>
        <v>1</v>
      </c>
      <c r="H23" s="764" t="str">
        <f t="shared" si="2"/>
        <v>2*</v>
      </c>
      <c r="I23" s="784">
        <f t="shared" si="2"/>
        <v>3</v>
      </c>
      <c r="J23" s="789"/>
      <c r="K23" s="786"/>
      <c r="L23" s="1134"/>
      <c r="M23" s="1135"/>
      <c r="N23" s="1135"/>
      <c r="O23" s="1135"/>
      <c r="P23" s="1135"/>
      <c r="Q23" s="1135"/>
      <c r="R23" s="1136"/>
      <c r="T23" s="727">
        <v>15</v>
      </c>
      <c r="U23" s="716" t="s">
        <v>975</v>
      </c>
      <c r="V23" s="768">
        <v>1</v>
      </c>
      <c r="W23" s="768">
        <v>2.6666666600000002</v>
      </c>
      <c r="X23" s="768" t="s">
        <v>340</v>
      </c>
      <c r="Y23" s="768" t="s">
        <v>340</v>
      </c>
      <c r="Z23" s="777" t="s">
        <v>340</v>
      </c>
      <c r="AA23" s="777">
        <v>2</v>
      </c>
      <c r="AB23" s="777">
        <v>1</v>
      </c>
      <c r="AC23" s="768">
        <v>3</v>
      </c>
      <c r="AD23" s="768">
        <v>2</v>
      </c>
      <c r="AE23" s="768">
        <v>1</v>
      </c>
      <c r="AF23" s="768" t="b">
        <v>1</v>
      </c>
      <c r="AG23" s="768">
        <f t="shared" si="3"/>
        <v>2</v>
      </c>
      <c r="AH23" s="768">
        <f t="shared" si="4"/>
        <v>1</v>
      </c>
      <c r="AI23" s="769">
        <f>IF(NOT(OR(Z23=1,Z23=2)),IF(AQ23&gt;0,$AR$45*AQ23/SUMIF($AQ$9:$AQ$40,"&gt;0"),IF(AU23&gt;0,$AV$45*AU23/SUMIF($AU$9:$AU$40,"&gt;0"),IF(AS23&gt;0,$AT$45*AS23/SUMIF($AS$9:$AS$40,"&gt;0"),""))),IF(SUMIF(AJ24:$AJ$40,"=" &amp; AJ23,AI24:$AI$40)=0,"",SUMIF(AJ24:$AJ$40,"=" &amp; AJ23,AI24:$AI$40)))</f>
        <v>8.0000002376000065E-2</v>
      </c>
      <c r="AJ23" s="770">
        <f t="shared" si="34"/>
        <v>3</v>
      </c>
      <c r="AK23" s="768">
        <f t="shared" si="27"/>
        <v>2</v>
      </c>
      <c r="AL23" s="777" t="str">
        <f t="shared" si="28"/>
        <v/>
      </c>
      <c r="AM23" s="777" t="str">
        <f t="shared" si="35"/>
        <v/>
      </c>
      <c r="AN23" s="777" t="str">
        <f t="shared" si="5"/>
        <v/>
      </c>
      <c r="AO23" s="777" t="str">
        <f t="shared" si="6"/>
        <v/>
      </c>
      <c r="AP23" s="768" t="b">
        <f t="shared" si="7"/>
        <v>1</v>
      </c>
      <c r="AQ23" s="771">
        <f t="shared" si="29"/>
        <v>2.6666666600000002</v>
      </c>
      <c r="AR23" s="772" t="str">
        <f t="shared" si="8"/>
        <v/>
      </c>
      <c r="AS23" s="773">
        <f t="shared" si="30"/>
        <v>0</v>
      </c>
      <c r="AT23" s="772" t="str">
        <f t="shared" si="9"/>
        <v/>
      </c>
      <c r="AU23" s="774">
        <f t="shared" si="10"/>
        <v>0</v>
      </c>
      <c r="AV23" s="775" t="str">
        <f t="shared" si="11"/>
        <v/>
      </c>
      <c r="AW23" s="774" t="b">
        <f t="shared" si="12"/>
        <v>0</v>
      </c>
      <c r="AX23" s="776" t="b">
        <f t="shared" si="13"/>
        <v>1</v>
      </c>
      <c r="AY23" s="774" t="b">
        <f t="shared" si="14"/>
        <v>0</v>
      </c>
      <c r="AZ23" s="776" t="b">
        <f t="shared" si="15"/>
        <v>0</v>
      </c>
      <c r="BA23" s="768" t="b">
        <f t="shared" si="16"/>
        <v>0</v>
      </c>
      <c r="BB23" s="768" t="b">
        <f t="shared" si="17"/>
        <v>0</v>
      </c>
      <c r="BC23" s="774" t="b">
        <f t="shared" si="18"/>
        <v>0</v>
      </c>
      <c r="BD23" s="777" t="b">
        <f t="shared" si="31"/>
        <v>0</v>
      </c>
      <c r="BE23" s="776" t="b">
        <f>IF(OR(ISNA($Z23),K23&lt;&gt;"D"),FALSE,IF(OR(AND(H23="NG",J23=0),AND(H23&lt;&gt;"NG",NOT(OR(J23="NA",J23=0)))),TRUE,FALSE))</f>
        <v>0</v>
      </c>
      <c r="BF23" s="778" t="b">
        <f t="shared" si="20"/>
        <v>0</v>
      </c>
      <c r="BG23" s="779" t="b">
        <f>IF(ISNA($Z23),"NA",IF(OR(AZ23,AY23,AX23,AW23,AP23,BA23,BB23),TRUE,FALSE))</f>
        <v>1</v>
      </c>
      <c r="BH23" s="779">
        <f t="shared" si="32"/>
        <v>1</v>
      </c>
      <c r="BI23" s="779">
        <f t="shared" si="22"/>
        <v>2</v>
      </c>
      <c r="BJ23" s="779" t="str">
        <f t="shared" si="23"/>
        <v>2*</v>
      </c>
      <c r="BK23" s="779">
        <f t="shared" si="24"/>
        <v>3</v>
      </c>
      <c r="BL23" s="780">
        <f t="shared" si="33"/>
        <v>1</v>
      </c>
      <c r="BM23" s="779">
        <f t="shared" si="25"/>
        <v>2</v>
      </c>
      <c r="BN23" s="779">
        <f t="shared" si="26"/>
        <v>3</v>
      </c>
      <c r="BO23" s="1141"/>
      <c r="BP23" s="791" t="s">
        <v>360</v>
      </c>
      <c r="BQ23" s="799">
        <f t="shared" si="36"/>
        <v>0.7</v>
      </c>
      <c r="BR23" s="800">
        <f t="shared" si="36"/>
        <v>0.8</v>
      </c>
      <c r="BS23" s="800">
        <f t="shared" si="36"/>
        <v>0.9</v>
      </c>
      <c r="BT23" s="800">
        <f t="shared" si="36"/>
        <v>0.95</v>
      </c>
      <c r="BU23" s="801">
        <f t="shared" si="36"/>
        <v>1</v>
      </c>
      <c r="BV23" s="711"/>
      <c r="BW23" s="802"/>
    </row>
    <row r="24" spans="2:75" s="731" customFormat="1" ht="12.95" customHeight="1" x14ac:dyDescent="0.25">
      <c r="B24" s="783">
        <f>IF(ISNA(Z24),"",IF(OR(Z24=1,Z24=2),"    ",MAX($B$9:B23)+1))</f>
        <v>12</v>
      </c>
      <c r="C24" s="1116" t="str">
        <f t="shared" si="0"/>
        <v xml:space="preserve">      - Data-Ink Ratio &amp; Clarity (6.0%)</v>
      </c>
      <c r="D24" s="1116"/>
      <c r="E24" s="1116"/>
      <c r="F24" s="1117"/>
      <c r="G24" s="763">
        <f t="shared" si="1"/>
        <v>1</v>
      </c>
      <c r="H24" s="764" t="str">
        <f t="shared" si="2"/>
        <v>2*</v>
      </c>
      <c r="I24" s="784">
        <f t="shared" si="2"/>
        <v>3</v>
      </c>
      <c r="J24" s="789"/>
      <c r="K24" s="786"/>
      <c r="L24" s="1134"/>
      <c r="M24" s="1135"/>
      <c r="N24" s="1135"/>
      <c r="O24" s="1135"/>
      <c r="P24" s="1135"/>
      <c r="Q24" s="1135"/>
      <c r="R24" s="1136"/>
      <c r="T24" s="727">
        <v>16</v>
      </c>
      <c r="U24" s="716" t="s">
        <v>976</v>
      </c>
      <c r="V24" s="768">
        <v>1</v>
      </c>
      <c r="W24" s="768">
        <v>2</v>
      </c>
      <c r="X24" s="768" t="s">
        <v>340</v>
      </c>
      <c r="Y24" s="768" t="s">
        <v>340</v>
      </c>
      <c r="Z24" s="777" t="s">
        <v>340</v>
      </c>
      <c r="AA24" s="777">
        <v>2</v>
      </c>
      <c r="AB24" s="777">
        <v>1</v>
      </c>
      <c r="AC24" s="768">
        <v>3</v>
      </c>
      <c r="AD24" s="768">
        <v>2</v>
      </c>
      <c r="AE24" s="768">
        <v>1</v>
      </c>
      <c r="AF24" s="768" t="b">
        <v>1</v>
      </c>
      <c r="AG24" s="768">
        <f t="shared" si="3"/>
        <v>2</v>
      </c>
      <c r="AH24" s="768">
        <f t="shared" si="4"/>
        <v>1</v>
      </c>
      <c r="AI24" s="769">
        <f>IF(NOT(OR(Z24=1,Z24=2)),IF(AQ24&gt;0,$AR$45*AQ24/SUMIF($AQ$9:$AQ$40,"&gt;0"),IF(AU24&gt;0,$AV$45*AU24/SUMIF($AU$9:$AU$40,"&gt;0"),IF(AS24&gt;0,$AT$45*AS24/SUMIF($AS$9:$AS$40,"&gt;0"),""))),IF(SUMIF(AJ25:$AJ$40,"=" &amp; AJ24,AI25:$AI$40)=0,"",SUMIF(AJ25:$AJ$40,"=" &amp; AJ24,AI25:$AI$40)))</f>
        <v>6.0000001932000051E-2</v>
      </c>
      <c r="AJ24" s="770">
        <f t="shared" si="34"/>
        <v>3</v>
      </c>
      <c r="AK24" s="768">
        <f t="shared" si="27"/>
        <v>2</v>
      </c>
      <c r="AL24" s="777" t="str">
        <f t="shared" si="28"/>
        <v/>
      </c>
      <c r="AM24" s="777" t="str">
        <f t="shared" si="35"/>
        <v/>
      </c>
      <c r="AN24" s="777" t="str">
        <f t="shared" si="5"/>
        <v/>
      </c>
      <c r="AO24" s="777" t="str">
        <f t="shared" si="6"/>
        <v/>
      </c>
      <c r="AP24" s="768" t="b">
        <f t="shared" si="7"/>
        <v>1</v>
      </c>
      <c r="AQ24" s="771">
        <f t="shared" si="29"/>
        <v>2</v>
      </c>
      <c r="AR24" s="772" t="str">
        <f t="shared" si="8"/>
        <v/>
      </c>
      <c r="AS24" s="773">
        <f t="shared" si="30"/>
        <v>0</v>
      </c>
      <c r="AT24" s="772" t="str">
        <f t="shared" si="9"/>
        <v/>
      </c>
      <c r="AU24" s="774">
        <f t="shared" si="10"/>
        <v>0</v>
      </c>
      <c r="AV24" s="775" t="str">
        <f t="shared" si="11"/>
        <v/>
      </c>
      <c r="AW24" s="774" t="b">
        <f t="shared" si="12"/>
        <v>0</v>
      </c>
      <c r="AX24" s="776" t="b">
        <f t="shared" si="13"/>
        <v>1</v>
      </c>
      <c r="AY24" s="774" t="b">
        <f t="shared" si="14"/>
        <v>0</v>
      </c>
      <c r="AZ24" s="776" t="b">
        <f t="shared" si="15"/>
        <v>0</v>
      </c>
      <c r="BA24" s="768" t="b">
        <f t="shared" si="16"/>
        <v>0</v>
      </c>
      <c r="BB24" s="768" t="b">
        <f t="shared" si="17"/>
        <v>0</v>
      </c>
      <c r="BC24" s="774" t="b">
        <f t="shared" si="18"/>
        <v>0</v>
      </c>
      <c r="BD24" s="777" t="b">
        <f t="shared" si="31"/>
        <v>0</v>
      </c>
      <c r="BE24" s="776" t="b">
        <f t="shared" ref="BE24:BE40" si="37">IF(OR(ISNA($Z24),K24&lt;&gt;"D"),FALSE,IF(OR(AND(H24="NG",J24=0),AND(H24&lt;&gt;"NG",NOT(OR(J24="NA",J24=0)))),TRUE,FALSE))</f>
        <v>0</v>
      </c>
      <c r="BF24" s="778" t="b">
        <f t="shared" si="20"/>
        <v>0</v>
      </c>
      <c r="BG24" s="779" t="b">
        <f t="shared" ref="BG24:BG40" si="38">IF(ISNA($Z24),"NA",IF(OR(AZ24,AY24,AX24,AW24,AP24,BA24,BB24),TRUE,FALSE))</f>
        <v>1</v>
      </c>
      <c r="BH24" s="779">
        <f t="shared" si="32"/>
        <v>1</v>
      </c>
      <c r="BI24" s="779">
        <f t="shared" si="22"/>
        <v>2</v>
      </c>
      <c r="BJ24" s="779" t="str">
        <f t="shared" si="23"/>
        <v>2*</v>
      </c>
      <c r="BK24" s="779">
        <f t="shared" si="24"/>
        <v>3</v>
      </c>
      <c r="BL24" s="780">
        <f t="shared" si="33"/>
        <v>1</v>
      </c>
      <c r="BM24" s="779">
        <f t="shared" si="25"/>
        <v>2</v>
      </c>
      <c r="BN24" s="779">
        <f t="shared" si="26"/>
        <v>3</v>
      </c>
      <c r="BO24" s="1141"/>
      <c r="BP24" s="791" t="s">
        <v>361</v>
      </c>
      <c r="BQ24" s="799">
        <f t="shared" si="36"/>
        <v>0.7</v>
      </c>
      <c r="BR24" s="800">
        <f t="shared" si="36"/>
        <v>0.76670000000000005</v>
      </c>
      <c r="BS24" s="800">
        <f t="shared" si="36"/>
        <v>0.83330000000000004</v>
      </c>
      <c r="BT24" s="800">
        <f t="shared" si="36"/>
        <v>0.9</v>
      </c>
      <c r="BU24" s="801">
        <f t="shared" si="36"/>
        <v>1</v>
      </c>
      <c r="BV24" s="711"/>
      <c r="BW24" s="802"/>
    </row>
    <row r="25" spans="2:75" s="731" customFormat="1" ht="12.95" customHeight="1" x14ac:dyDescent="0.25">
      <c r="B25" s="783">
        <f>IF(ISNA(Z25),"",IF(OR(Z25=1,Z25=2),"    ",MAX($B$9:B24)+1))</f>
        <v>13</v>
      </c>
      <c r="C25" s="1116" t="str">
        <f t="shared" si="0"/>
        <v xml:space="preserve">      - Data Honesty &amp; Context (6.0%)</v>
      </c>
      <c r="D25" s="1116"/>
      <c r="E25" s="1116"/>
      <c r="F25" s="1117"/>
      <c r="G25" s="763">
        <f t="shared" si="1"/>
        <v>1</v>
      </c>
      <c r="H25" s="764" t="str">
        <f t="shared" si="2"/>
        <v>2*</v>
      </c>
      <c r="I25" s="784">
        <f t="shared" si="2"/>
        <v>3</v>
      </c>
      <c r="J25" s="789"/>
      <c r="K25" s="786"/>
      <c r="L25" s="1134"/>
      <c r="M25" s="1135"/>
      <c r="N25" s="1135"/>
      <c r="O25" s="1135"/>
      <c r="P25" s="1135"/>
      <c r="Q25" s="1135"/>
      <c r="R25" s="1136"/>
      <c r="T25" s="727">
        <v>17</v>
      </c>
      <c r="U25" s="716" t="s">
        <v>992</v>
      </c>
      <c r="V25" s="768">
        <v>1</v>
      </c>
      <c r="W25" s="768">
        <v>2</v>
      </c>
      <c r="X25" s="768" t="s">
        <v>340</v>
      </c>
      <c r="Y25" s="768" t="s">
        <v>340</v>
      </c>
      <c r="Z25" s="777" t="s">
        <v>340</v>
      </c>
      <c r="AA25" s="777">
        <v>2</v>
      </c>
      <c r="AB25" s="777">
        <v>1</v>
      </c>
      <c r="AC25" s="768">
        <v>3</v>
      </c>
      <c r="AD25" s="768">
        <v>2</v>
      </c>
      <c r="AE25" s="768">
        <v>1</v>
      </c>
      <c r="AF25" s="768" t="b">
        <v>1</v>
      </c>
      <c r="AG25" s="768">
        <f t="shared" si="3"/>
        <v>2</v>
      </c>
      <c r="AH25" s="768">
        <f t="shared" si="4"/>
        <v>1</v>
      </c>
      <c r="AI25" s="769">
        <f>IF(NOT(OR(Z25=1,Z25=2)),IF(AQ25&gt;0,$AR$45*AQ25/SUMIF($AQ$9:$AQ$40,"&gt;0"),IF(AU25&gt;0,$AV$45*AU25/SUMIF($AU$9:$AU$40,"&gt;0"),IF(AS25&gt;0,$AT$45*AS25/SUMIF($AS$9:$AS$40,"&gt;0"),""))),IF(SUMIF(AJ26:$AJ$40,"=" &amp; AJ25,AI26:$AI$40)=0,"",SUMIF(AJ26:$AJ$40,"=" &amp; AJ25,AI26:$AI$40)))</f>
        <v>6.0000001932000051E-2</v>
      </c>
      <c r="AJ25" s="770">
        <f t="shared" si="34"/>
        <v>3</v>
      </c>
      <c r="AK25" s="768">
        <f t="shared" si="27"/>
        <v>2</v>
      </c>
      <c r="AL25" s="777" t="str">
        <f t="shared" si="28"/>
        <v/>
      </c>
      <c r="AM25" s="777" t="str">
        <f t="shared" si="35"/>
        <v/>
      </c>
      <c r="AN25" s="777" t="str">
        <f t="shared" si="5"/>
        <v/>
      </c>
      <c r="AO25" s="777" t="str">
        <f t="shared" si="6"/>
        <v/>
      </c>
      <c r="AP25" s="768" t="b">
        <f t="shared" si="7"/>
        <v>1</v>
      </c>
      <c r="AQ25" s="771">
        <f t="shared" si="29"/>
        <v>2</v>
      </c>
      <c r="AR25" s="772" t="str">
        <f t="shared" si="8"/>
        <v/>
      </c>
      <c r="AS25" s="773">
        <f t="shared" si="30"/>
        <v>0</v>
      </c>
      <c r="AT25" s="772" t="str">
        <f t="shared" si="9"/>
        <v/>
      </c>
      <c r="AU25" s="774">
        <f t="shared" si="10"/>
        <v>0</v>
      </c>
      <c r="AV25" s="775" t="str">
        <f t="shared" si="11"/>
        <v/>
      </c>
      <c r="AW25" s="774" t="b">
        <f t="shared" si="12"/>
        <v>0</v>
      </c>
      <c r="AX25" s="776" t="b">
        <f t="shared" si="13"/>
        <v>1</v>
      </c>
      <c r="AY25" s="774" t="b">
        <f t="shared" si="14"/>
        <v>0</v>
      </c>
      <c r="AZ25" s="776" t="b">
        <f t="shared" si="15"/>
        <v>0</v>
      </c>
      <c r="BA25" s="768" t="b">
        <f t="shared" si="16"/>
        <v>0</v>
      </c>
      <c r="BB25" s="768" t="b">
        <f t="shared" si="17"/>
        <v>0</v>
      </c>
      <c r="BC25" s="774" t="b">
        <f t="shared" si="18"/>
        <v>0</v>
      </c>
      <c r="BD25" s="777" t="b">
        <f t="shared" si="31"/>
        <v>0</v>
      </c>
      <c r="BE25" s="776" t="b">
        <f t="shared" si="37"/>
        <v>0</v>
      </c>
      <c r="BF25" s="778" t="b">
        <f t="shared" si="20"/>
        <v>0</v>
      </c>
      <c r="BG25" s="779" t="b">
        <f t="shared" si="38"/>
        <v>1</v>
      </c>
      <c r="BH25" s="779">
        <f t="shared" si="32"/>
        <v>1</v>
      </c>
      <c r="BI25" s="779">
        <f t="shared" si="22"/>
        <v>2</v>
      </c>
      <c r="BJ25" s="779" t="str">
        <f t="shared" si="23"/>
        <v>2*</v>
      </c>
      <c r="BK25" s="779">
        <f t="shared" si="24"/>
        <v>3</v>
      </c>
      <c r="BL25" s="780">
        <f t="shared" si="33"/>
        <v>1</v>
      </c>
      <c r="BM25" s="779">
        <f t="shared" si="25"/>
        <v>2</v>
      </c>
      <c r="BN25" s="779">
        <f t="shared" si="26"/>
        <v>3</v>
      </c>
      <c r="BO25" s="1141"/>
      <c r="BP25" s="791" t="s">
        <v>362</v>
      </c>
      <c r="BQ25" s="799">
        <f t="shared" si="36"/>
        <v>0.6</v>
      </c>
      <c r="BR25" s="800">
        <f t="shared" si="36"/>
        <v>0.9</v>
      </c>
      <c r="BS25" s="800">
        <f t="shared" si="36"/>
        <v>0.93330000000000002</v>
      </c>
      <c r="BT25" s="800">
        <f t="shared" si="36"/>
        <v>0.9667</v>
      </c>
      <c r="BU25" s="801">
        <f t="shared" si="36"/>
        <v>1</v>
      </c>
      <c r="BV25" s="711"/>
      <c r="BW25" s="802"/>
    </row>
    <row r="26" spans="2:75" s="731" customFormat="1" ht="12.95" customHeight="1" x14ac:dyDescent="0.25">
      <c r="B26" s="783" t="str">
        <f>IF(ISNA(Z26),"",IF(OR(Z26=1,Z26=2),"    ",MAX($B$9:B25)+1))</f>
        <v/>
      </c>
      <c r="C26" s="1116" t="str">
        <f t="shared" si="0"/>
        <v/>
      </c>
      <c r="D26" s="1116"/>
      <c r="E26" s="1116"/>
      <c r="F26" s="1117"/>
      <c r="G26" s="763" t="str">
        <f t="shared" si="1"/>
        <v/>
      </c>
      <c r="H26" s="764" t="str">
        <f t="shared" si="2"/>
        <v/>
      </c>
      <c r="I26" s="784" t="str">
        <f t="shared" si="2"/>
        <v/>
      </c>
      <c r="J26" s="793"/>
      <c r="K26" s="794"/>
      <c r="L26" s="1134"/>
      <c r="M26" s="1135"/>
      <c r="N26" s="1135"/>
      <c r="O26" s="1135"/>
      <c r="P26" s="1135"/>
      <c r="Q26" s="1135"/>
      <c r="R26" s="1136"/>
      <c r="T26" s="727">
        <v>18</v>
      </c>
      <c r="U26" s="716" t="e">
        <v>#N/A</v>
      </c>
      <c r="V26" s="768" t="e">
        <v>#N/A</v>
      </c>
      <c r="W26" s="768" t="e">
        <v>#N/A</v>
      </c>
      <c r="X26" s="768" t="e">
        <v>#N/A</v>
      </c>
      <c r="Y26" s="768" t="e">
        <v>#N/A</v>
      </c>
      <c r="Z26" s="777" t="e">
        <v>#N/A</v>
      </c>
      <c r="AA26" s="777" t="e">
        <v>#N/A</v>
      </c>
      <c r="AB26" s="777" t="e">
        <v>#N/A</v>
      </c>
      <c r="AC26" s="768" t="e">
        <v>#N/A</v>
      </c>
      <c r="AD26" s="768" t="e">
        <v>#N/A</v>
      </c>
      <c r="AE26" s="768" t="e">
        <v>#N/A</v>
      </c>
      <c r="AF26" s="768" t="e">
        <v>#N/A</v>
      </c>
      <c r="AG26" s="768" t="e">
        <f t="shared" si="3"/>
        <v>#N/A</v>
      </c>
      <c r="AH26" s="768" t="str">
        <f t="shared" si="4"/>
        <v/>
      </c>
      <c r="AI26" s="769" t="e">
        <f>IF(NOT(OR(Z26=1,Z26=2)),IF(AQ26&gt;0,$AR$45*AQ26/SUMIF($AQ$9:$AQ$40,"&gt;0"),IF(AU26&gt;0,$AV$45*AU26/SUMIF($AU$9:$AU$40,"&gt;0"),IF(AS26&gt;0,$AT$45*AS26/SUMIF($AS$9:$AS$40,"&gt;0"),""))),IF(SUMIF(AJ27:$AJ$40,"=" &amp; AJ26,AI27:$AI$40)=0,"",SUMIF(AJ27:$AJ$40,"=" &amp; AJ26,AI27:$AI$40)))</f>
        <v>#N/A</v>
      </c>
      <c r="AJ26" s="770" t="e">
        <f t="shared" si="34"/>
        <v>#N/A</v>
      </c>
      <c r="AK26" s="768" t="str">
        <f t="shared" si="27"/>
        <v/>
      </c>
      <c r="AL26" s="777" t="str">
        <f t="shared" si="28"/>
        <v/>
      </c>
      <c r="AM26" s="777" t="str">
        <f t="shared" si="35"/>
        <v/>
      </c>
      <c r="AN26" s="777" t="str">
        <f t="shared" si="5"/>
        <v/>
      </c>
      <c r="AO26" s="777" t="e">
        <f t="shared" si="6"/>
        <v>#N/A</v>
      </c>
      <c r="AP26" s="768" t="str">
        <f t="shared" si="7"/>
        <v/>
      </c>
      <c r="AQ26" s="771">
        <f t="shared" si="29"/>
        <v>0</v>
      </c>
      <c r="AR26" s="772" t="str">
        <f t="shared" si="8"/>
        <v/>
      </c>
      <c r="AS26" s="773">
        <f t="shared" si="30"/>
        <v>0</v>
      </c>
      <c r="AT26" s="772" t="str">
        <f t="shared" si="9"/>
        <v/>
      </c>
      <c r="AU26" s="774">
        <f t="shared" si="10"/>
        <v>0</v>
      </c>
      <c r="AV26" s="775" t="str">
        <f t="shared" si="11"/>
        <v/>
      </c>
      <c r="AW26" s="774" t="b">
        <f t="shared" si="12"/>
        <v>0</v>
      </c>
      <c r="AX26" s="776" t="b">
        <f t="shared" si="13"/>
        <v>0</v>
      </c>
      <c r="AY26" s="774" t="b">
        <f t="shared" si="14"/>
        <v>0</v>
      </c>
      <c r="AZ26" s="776" t="b">
        <f t="shared" si="15"/>
        <v>0</v>
      </c>
      <c r="BA26" s="768" t="b">
        <f t="shared" si="16"/>
        <v>0</v>
      </c>
      <c r="BB26" s="768" t="b">
        <f t="shared" si="17"/>
        <v>0</v>
      </c>
      <c r="BC26" s="774" t="b">
        <f t="shared" si="18"/>
        <v>0</v>
      </c>
      <c r="BD26" s="777" t="b">
        <f t="shared" si="31"/>
        <v>0</v>
      </c>
      <c r="BE26" s="776" t="b">
        <f t="shared" si="37"/>
        <v>0</v>
      </c>
      <c r="BF26" s="778" t="b">
        <f t="shared" si="20"/>
        <v>0</v>
      </c>
      <c r="BG26" s="779" t="str">
        <f t="shared" si="38"/>
        <v>NA</v>
      </c>
      <c r="BH26" s="779" t="str">
        <f t="shared" si="32"/>
        <v/>
      </c>
      <c r="BI26" s="779" t="str">
        <f t="shared" si="22"/>
        <v/>
      </c>
      <c r="BJ26" s="779" t="str">
        <f t="shared" si="23"/>
        <v/>
      </c>
      <c r="BK26" s="779" t="str">
        <f t="shared" si="24"/>
        <v/>
      </c>
      <c r="BL26" s="780" t="str">
        <f t="shared" si="33"/>
        <v/>
      </c>
      <c r="BM26" s="779" t="str">
        <f t="shared" si="25"/>
        <v/>
      </c>
      <c r="BN26" s="779" t="str">
        <f t="shared" si="26"/>
        <v/>
      </c>
      <c r="BO26" s="1141"/>
      <c r="BP26" s="791" t="s">
        <v>363</v>
      </c>
      <c r="BQ26" s="799">
        <f t="shared" si="36"/>
        <v>0.6</v>
      </c>
      <c r="BR26" s="800">
        <f t="shared" si="36"/>
        <v>0.7</v>
      </c>
      <c r="BS26" s="800">
        <f t="shared" si="36"/>
        <v>0.9</v>
      </c>
      <c r="BT26" s="800">
        <f t="shared" si="36"/>
        <v>0.95</v>
      </c>
      <c r="BU26" s="801">
        <f t="shared" si="36"/>
        <v>1</v>
      </c>
      <c r="BV26" s="711"/>
      <c r="BW26" s="802"/>
    </row>
    <row r="27" spans="2:75" s="731" customFormat="1" ht="12.95" customHeight="1" x14ac:dyDescent="0.25">
      <c r="B27" s="783" t="str">
        <f>IF(ISNA(Z27),"",IF(OR(Z27=1,Z27=2),"    ",MAX($B$9:B26)+1))</f>
        <v/>
      </c>
      <c r="C27" s="1116" t="str">
        <f t="shared" si="0"/>
        <v/>
      </c>
      <c r="D27" s="1116"/>
      <c r="E27" s="1116"/>
      <c r="F27" s="1117"/>
      <c r="G27" s="763" t="str">
        <f t="shared" si="1"/>
        <v/>
      </c>
      <c r="H27" s="764" t="str">
        <f t="shared" si="2"/>
        <v/>
      </c>
      <c r="I27" s="784" t="str">
        <f t="shared" si="2"/>
        <v/>
      </c>
      <c r="J27" s="793"/>
      <c r="K27" s="794"/>
      <c r="L27" s="1134"/>
      <c r="M27" s="1135"/>
      <c r="N27" s="1135"/>
      <c r="O27" s="1135"/>
      <c r="P27" s="1135"/>
      <c r="Q27" s="1135"/>
      <c r="R27" s="1136"/>
      <c r="T27" s="727">
        <v>19</v>
      </c>
      <c r="U27" s="716" t="e">
        <v>#N/A</v>
      </c>
      <c r="V27" s="768" t="e">
        <v>#N/A</v>
      </c>
      <c r="W27" s="768" t="e">
        <v>#N/A</v>
      </c>
      <c r="X27" s="768" t="e">
        <v>#N/A</v>
      </c>
      <c r="Y27" s="768" t="e">
        <v>#N/A</v>
      </c>
      <c r="Z27" s="777" t="e">
        <v>#N/A</v>
      </c>
      <c r="AA27" s="777" t="e">
        <v>#N/A</v>
      </c>
      <c r="AB27" s="777" t="e">
        <v>#N/A</v>
      </c>
      <c r="AC27" s="768" t="e">
        <v>#N/A</v>
      </c>
      <c r="AD27" s="768" t="e">
        <v>#N/A</v>
      </c>
      <c r="AE27" s="768" t="e">
        <v>#N/A</v>
      </c>
      <c r="AF27" s="768" t="e">
        <v>#N/A</v>
      </c>
      <c r="AG27" s="768" t="e">
        <f t="shared" si="3"/>
        <v>#N/A</v>
      </c>
      <c r="AH27" s="768" t="str">
        <f t="shared" si="4"/>
        <v/>
      </c>
      <c r="AI27" s="769" t="e">
        <f>IF(NOT(OR(Z27=1,Z27=2)),IF(AQ27&gt;0,$AR$45*AQ27/SUMIF($AQ$9:$AQ$40,"&gt;0"),IF(AU27&gt;0,$AV$45*AU27/SUMIF($AU$9:$AU$40,"&gt;0"),IF(AS27&gt;0,$AT$45*AS27/SUMIF($AS$9:$AS$40,"&gt;0"),""))),IF(SUMIF(AJ28:$AJ$40,"=" &amp; AJ27,AI28:$AI$40)=0,"",SUMIF(AJ28:$AJ$40,"=" &amp; AJ27,AI28:$AI$40)))</f>
        <v>#N/A</v>
      </c>
      <c r="AJ27" s="770" t="e">
        <f t="shared" si="34"/>
        <v>#N/A</v>
      </c>
      <c r="AK27" s="768" t="str">
        <f t="shared" si="27"/>
        <v/>
      </c>
      <c r="AL27" s="777" t="str">
        <f t="shared" si="28"/>
        <v/>
      </c>
      <c r="AM27" s="777" t="str">
        <f t="shared" si="35"/>
        <v/>
      </c>
      <c r="AN27" s="777" t="str">
        <f t="shared" si="5"/>
        <v/>
      </c>
      <c r="AO27" s="777" t="e">
        <f t="shared" si="6"/>
        <v>#N/A</v>
      </c>
      <c r="AP27" s="768" t="str">
        <f t="shared" si="7"/>
        <v/>
      </c>
      <c r="AQ27" s="771">
        <f t="shared" si="29"/>
        <v>0</v>
      </c>
      <c r="AR27" s="772" t="str">
        <f t="shared" si="8"/>
        <v/>
      </c>
      <c r="AS27" s="773">
        <f t="shared" si="30"/>
        <v>0</v>
      </c>
      <c r="AT27" s="772" t="str">
        <f t="shared" si="9"/>
        <v/>
      </c>
      <c r="AU27" s="774">
        <f t="shared" si="10"/>
        <v>0</v>
      </c>
      <c r="AV27" s="775" t="str">
        <f t="shared" si="11"/>
        <v/>
      </c>
      <c r="AW27" s="774" t="b">
        <f t="shared" si="12"/>
        <v>0</v>
      </c>
      <c r="AX27" s="776" t="b">
        <f t="shared" si="13"/>
        <v>0</v>
      </c>
      <c r="AY27" s="774" t="b">
        <f t="shared" si="14"/>
        <v>0</v>
      </c>
      <c r="AZ27" s="776" t="b">
        <f t="shared" si="15"/>
        <v>0</v>
      </c>
      <c r="BA27" s="768" t="b">
        <f t="shared" si="16"/>
        <v>0</v>
      </c>
      <c r="BB27" s="768" t="b">
        <f t="shared" si="17"/>
        <v>0</v>
      </c>
      <c r="BC27" s="774" t="b">
        <f t="shared" si="18"/>
        <v>0</v>
      </c>
      <c r="BD27" s="777" t="b">
        <f t="shared" si="31"/>
        <v>0</v>
      </c>
      <c r="BE27" s="776" t="b">
        <f t="shared" si="37"/>
        <v>0</v>
      </c>
      <c r="BF27" s="778" t="b">
        <f t="shared" si="20"/>
        <v>0</v>
      </c>
      <c r="BG27" s="779" t="str">
        <f t="shared" si="38"/>
        <v>NA</v>
      </c>
      <c r="BH27" s="779" t="str">
        <f t="shared" si="32"/>
        <v/>
      </c>
      <c r="BI27" s="779" t="str">
        <f t="shared" si="22"/>
        <v/>
      </c>
      <c r="BJ27" s="779" t="str">
        <f t="shared" si="23"/>
        <v/>
      </c>
      <c r="BK27" s="779" t="str">
        <f t="shared" si="24"/>
        <v/>
      </c>
      <c r="BL27" s="780" t="str">
        <f t="shared" si="33"/>
        <v/>
      </c>
      <c r="BM27" s="779" t="str">
        <f t="shared" si="25"/>
        <v/>
      </c>
      <c r="BN27" s="779" t="str">
        <f t="shared" si="26"/>
        <v/>
      </c>
      <c r="BO27" s="1141"/>
      <c r="BP27" s="791" t="s">
        <v>364</v>
      </c>
      <c r="BQ27" s="799">
        <f t="shared" si="36"/>
        <v>0.6</v>
      </c>
      <c r="BR27" s="800">
        <f t="shared" si="36"/>
        <v>0.7</v>
      </c>
      <c r="BS27" s="800">
        <f t="shared" si="36"/>
        <v>0.8</v>
      </c>
      <c r="BT27" s="800">
        <f t="shared" si="36"/>
        <v>0.9</v>
      </c>
      <c r="BU27" s="801">
        <f t="shared" si="36"/>
        <v>1</v>
      </c>
    </row>
    <row r="28" spans="2:75" s="731" customFormat="1" ht="12.95" customHeight="1" x14ac:dyDescent="0.25">
      <c r="B28" s="783" t="str">
        <f>IF(ISNA(Z28),"",IF(OR(Z28=1,Z28=2),"    ",MAX($B$9:B27)+1))</f>
        <v/>
      </c>
      <c r="C28" s="1116" t="str">
        <f t="shared" si="0"/>
        <v/>
      </c>
      <c r="D28" s="1116"/>
      <c r="E28" s="1116"/>
      <c r="F28" s="1117"/>
      <c r="G28" s="763" t="str">
        <f t="shared" si="1"/>
        <v/>
      </c>
      <c r="H28" s="764" t="str">
        <f t="shared" si="2"/>
        <v/>
      </c>
      <c r="I28" s="784" t="str">
        <f t="shared" si="2"/>
        <v/>
      </c>
      <c r="J28" s="793"/>
      <c r="K28" s="794"/>
      <c r="L28" s="1134"/>
      <c r="M28" s="1135"/>
      <c r="N28" s="1135"/>
      <c r="O28" s="1135"/>
      <c r="P28" s="1135"/>
      <c r="Q28" s="1135"/>
      <c r="R28" s="1136"/>
      <c r="T28" s="727">
        <v>20</v>
      </c>
      <c r="U28" s="716" t="e">
        <v>#N/A</v>
      </c>
      <c r="V28" s="768" t="e">
        <v>#N/A</v>
      </c>
      <c r="W28" s="768" t="e">
        <v>#N/A</v>
      </c>
      <c r="X28" s="768" t="e">
        <v>#N/A</v>
      </c>
      <c r="Y28" s="768" t="e">
        <v>#N/A</v>
      </c>
      <c r="Z28" s="777" t="e">
        <v>#N/A</v>
      </c>
      <c r="AA28" s="777" t="e">
        <v>#N/A</v>
      </c>
      <c r="AB28" s="777" t="e">
        <v>#N/A</v>
      </c>
      <c r="AC28" s="768" t="e">
        <v>#N/A</v>
      </c>
      <c r="AD28" s="768" t="e">
        <v>#N/A</v>
      </c>
      <c r="AE28" s="768" t="e">
        <v>#N/A</v>
      </c>
      <c r="AF28" s="768" t="e">
        <v>#N/A</v>
      </c>
      <c r="AG28" s="768" t="e">
        <f t="shared" si="3"/>
        <v>#N/A</v>
      </c>
      <c r="AH28" s="768" t="str">
        <f t="shared" si="4"/>
        <v/>
      </c>
      <c r="AI28" s="769" t="e">
        <f>IF(NOT(OR(Z28=1,Z28=2)),IF(AQ28&gt;0,$AR$45*AQ28/SUMIF($AQ$9:$AQ$40,"&gt;0"),IF(AU28&gt;0,$AV$45*AU28/SUMIF($AU$9:$AU$40,"&gt;0"),IF(AS28&gt;0,$AT$45*AS28/SUMIF($AS$9:$AS$40,"&gt;0"),""))),IF(SUMIF(AJ29:$AJ$40,"=" &amp; AJ28,AI29:$AI$40)=0,"",SUMIF(AJ29:$AJ$40,"=" &amp; AJ28,AI29:$AI$40)))</f>
        <v>#N/A</v>
      </c>
      <c r="AJ28" s="770" t="e">
        <f t="shared" si="34"/>
        <v>#N/A</v>
      </c>
      <c r="AK28" s="768" t="str">
        <f t="shared" si="27"/>
        <v/>
      </c>
      <c r="AL28" s="777" t="str">
        <f t="shared" si="28"/>
        <v/>
      </c>
      <c r="AM28" s="777" t="str">
        <f t="shared" si="35"/>
        <v/>
      </c>
      <c r="AN28" s="777" t="str">
        <f t="shared" si="5"/>
        <v/>
      </c>
      <c r="AO28" s="777" t="e">
        <f t="shared" si="6"/>
        <v>#N/A</v>
      </c>
      <c r="AP28" s="768" t="str">
        <f t="shared" si="7"/>
        <v/>
      </c>
      <c r="AQ28" s="771">
        <f t="shared" si="29"/>
        <v>0</v>
      </c>
      <c r="AR28" s="772" t="str">
        <f t="shared" si="8"/>
        <v/>
      </c>
      <c r="AS28" s="773">
        <f t="shared" si="30"/>
        <v>0</v>
      </c>
      <c r="AT28" s="772" t="str">
        <f t="shared" si="9"/>
        <v/>
      </c>
      <c r="AU28" s="774">
        <f t="shared" si="10"/>
        <v>0</v>
      </c>
      <c r="AV28" s="775" t="str">
        <f t="shared" si="11"/>
        <v/>
      </c>
      <c r="AW28" s="774" t="b">
        <f t="shared" si="12"/>
        <v>0</v>
      </c>
      <c r="AX28" s="776" t="b">
        <f t="shared" si="13"/>
        <v>0</v>
      </c>
      <c r="AY28" s="774" t="b">
        <f t="shared" si="14"/>
        <v>0</v>
      </c>
      <c r="AZ28" s="776" t="b">
        <f t="shared" si="15"/>
        <v>0</v>
      </c>
      <c r="BA28" s="768" t="b">
        <f t="shared" si="16"/>
        <v>0</v>
      </c>
      <c r="BB28" s="768" t="b">
        <f t="shared" si="17"/>
        <v>0</v>
      </c>
      <c r="BC28" s="774" t="b">
        <f t="shared" si="18"/>
        <v>0</v>
      </c>
      <c r="BD28" s="777" t="b">
        <f t="shared" si="31"/>
        <v>0</v>
      </c>
      <c r="BE28" s="776" t="b">
        <f t="shared" si="37"/>
        <v>0</v>
      </c>
      <c r="BF28" s="778" t="b">
        <f t="shared" si="20"/>
        <v>0</v>
      </c>
      <c r="BG28" s="779" t="str">
        <f t="shared" si="38"/>
        <v>NA</v>
      </c>
      <c r="BH28" s="779" t="str">
        <f t="shared" si="32"/>
        <v/>
      </c>
      <c r="BI28" s="779" t="str">
        <f t="shared" si="22"/>
        <v/>
      </c>
      <c r="BJ28" s="779" t="str">
        <f t="shared" si="23"/>
        <v/>
      </c>
      <c r="BK28" s="779" t="str">
        <f t="shared" si="24"/>
        <v/>
      </c>
      <c r="BL28" s="780" t="str">
        <f t="shared" si="33"/>
        <v/>
      </c>
      <c r="BM28" s="779" t="str">
        <f t="shared" si="25"/>
        <v/>
      </c>
      <c r="BN28" s="779" t="str">
        <f t="shared" si="26"/>
        <v/>
      </c>
      <c r="BO28" s="1141"/>
      <c r="BP28" s="791" t="s">
        <v>365</v>
      </c>
      <c r="BQ28" s="799">
        <f t="shared" si="36"/>
        <v>0.3</v>
      </c>
      <c r="BR28" s="800">
        <f t="shared" si="36"/>
        <v>0.6</v>
      </c>
      <c r="BS28" s="800">
        <f t="shared" si="36"/>
        <v>0.9</v>
      </c>
      <c r="BT28" s="800">
        <f t="shared" si="36"/>
        <v>0.95</v>
      </c>
      <c r="BU28" s="801">
        <f t="shared" si="36"/>
        <v>1</v>
      </c>
    </row>
    <row r="29" spans="2:75" s="731" customFormat="1" ht="12.95" customHeight="1" x14ac:dyDescent="0.25">
      <c r="B29" s="783" t="str">
        <f>IF(ISNA(Z29),"",IF(OR(Z29=1,Z29=2),"    ",MAX($B$9:B28)+1))</f>
        <v/>
      </c>
      <c r="C29" s="1116" t="str">
        <f t="shared" si="0"/>
        <v/>
      </c>
      <c r="D29" s="1116"/>
      <c r="E29" s="1116"/>
      <c r="F29" s="1117"/>
      <c r="G29" s="763" t="str">
        <f t="shared" si="1"/>
        <v/>
      </c>
      <c r="H29" s="764" t="str">
        <f t="shared" si="2"/>
        <v/>
      </c>
      <c r="I29" s="784" t="str">
        <f t="shared" si="2"/>
        <v/>
      </c>
      <c r="J29" s="793"/>
      <c r="K29" s="794"/>
      <c r="L29" s="1134"/>
      <c r="M29" s="1135"/>
      <c r="N29" s="1135"/>
      <c r="O29" s="1135"/>
      <c r="P29" s="1135"/>
      <c r="Q29" s="1135"/>
      <c r="R29" s="1136"/>
      <c r="T29" s="727">
        <v>21</v>
      </c>
      <c r="U29" s="716" t="e">
        <v>#N/A</v>
      </c>
      <c r="V29" s="768" t="e">
        <v>#N/A</v>
      </c>
      <c r="W29" s="768" t="e">
        <v>#N/A</v>
      </c>
      <c r="X29" s="768" t="e">
        <v>#N/A</v>
      </c>
      <c r="Y29" s="768" t="e">
        <v>#N/A</v>
      </c>
      <c r="Z29" s="777" t="e">
        <v>#N/A</v>
      </c>
      <c r="AA29" s="777" t="e">
        <v>#N/A</v>
      </c>
      <c r="AB29" s="777" t="e">
        <v>#N/A</v>
      </c>
      <c r="AC29" s="768" t="e">
        <v>#N/A</v>
      </c>
      <c r="AD29" s="768" t="e">
        <v>#N/A</v>
      </c>
      <c r="AE29" s="768" t="e">
        <v>#N/A</v>
      </c>
      <c r="AF29" s="768" t="e">
        <v>#N/A</v>
      </c>
      <c r="AG29" s="768" t="e">
        <f t="shared" si="3"/>
        <v>#N/A</v>
      </c>
      <c r="AH29" s="768" t="str">
        <f t="shared" si="4"/>
        <v/>
      </c>
      <c r="AI29" s="769" t="e">
        <f>IF(NOT(OR(Z29=1,Z29=2)),IF(AQ29&gt;0,$AR$45*AQ29/SUMIF($AQ$9:$AQ$40,"&gt;0"),IF(AU29&gt;0,$AV$45*AU29/SUMIF($AU$9:$AU$40,"&gt;0"),IF(AS29&gt;0,$AT$45*AS29/SUMIF($AS$9:$AS$40,"&gt;0"),""))),IF(SUMIF(AJ30:$AJ$40,"=" &amp; AJ29,AI30:$AI$40)=0,"",SUMIF(AJ30:$AJ$40,"=" &amp; AJ29,AI30:$AI$40)))</f>
        <v>#N/A</v>
      </c>
      <c r="AJ29" s="770" t="e">
        <f t="shared" si="34"/>
        <v>#N/A</v>
      </c>
      <c r="AK29" s="768" t="str">
        <f t="shared" si="27"/>
        <v/>
      </c>
      <c r="AL29" s="777" t="str">
        <f t="shared" si="28"/>
        <v/>
      </c>
      <c r="AM29" s="777" t="str">
        <f t="shared" si="35"/>
        <v/>
      </c>
      <c r="AN29" s="777" t="str">
        <f t="shared" si="5"/>
        <v/>
      </c>
      <c r="AO29" s="777" t="e">
        <f t="shared" si="6"/>
        <v>#N/A</v>
      </c>
      <c r="AP29" s="768" t="str">
        <f t="shared" si="7"/>
        <v/>
      </c>
      <c r="AQ29" s="771">
        <f t="shared" si="29"/>
        <v>0</v>
      </c>
      <c r="AR29" s="772" t="str">
        <f t="shared" si="8"/>
        <v/>
      </c>
      <c r="AS29" s="773">
        <f t="shared" si="30"/>
        <v>0</v>
      </c>
      <c r="AT29" s="772" t="str">
        <f t="shared" si="9"/>
        <v/>
      </c>
      <c r="AU29" s="774">
        <f t="shared" si="10"/>
        <v>0</v>
      </c>
      <c r="AV29" s="775" t="str">
        <f t="shared" si="11"/>
        <v/>
      </c>
      <c r="AW29" s="774" t="b">
        <f t="shared" si="12"/>
        <v>0</v>
      </c>
      <c r="AX29" s="776" t="b">
        <f t="shared" si="13"/>
        <v>0</v>
      </c>
      <c r="AY29" s="774" t="b">
        <f t="shared" si="14"/>
        <v>0</v>
      </c>
      <c r="AZ29" s="776" t="b">
        <f t="shared" si="15"/>
        <v>0</v>
      </c>
      <c r="BA29" s="768" t="b">
        <f t="shared" si="16"/>
        <v>0</v>
      </c>
      <c r="BB29" s="768" t="b">
        <f t="shared" si="17"/>
        <v>0</v>
      </c>
      <c r="BC29" s="774" t="b">
        <f t="shared" si="18"/>
        <v>0</v>
      </c>
      <c r="BD29" s="777" t="b">
        <f t="shared" si="31"/>
        <v>0</v>
      </c>
      <c r="BE29" s="776" t="b">
        <f t="shared" si="37"/>
        <v>0</v>
      </c>
      <c r="BF29" s="778" t="b">
        <f t="shared" si="20"/>
        <v>0</v>
      </c>
      <c r="BG29" s="779" t="str">
        <f t="shared" si="38"/>
        <v>NA</v>
      </c>
      <c r="BH29" s="779" t="str">
        <f t="shared" si="32"/>
        <v/>
      </c>
      <c r="BI29" s="779" t="str">
        <f t="shared" si="22"/>
        <v/>
      </c>
      <c r="BJ29" s="779" t="str">
        <f t="shared" si="23"/>
        <v/>
      </c>
      <c r="BK29" s="779" t="str">
        <f t="shared" si="24"/>
        <v/>
      </c>
      <c r="BL29" s="780" t="str">
        <f t="shared" si="33"/>
        <v/>
      </c>
      <c r="BM29" s="779" t="str">
        <f t="shared" si="25"/>
        <v/>
      </c>
      <c r="BN29" s="779" t="str">
        <f t="shared" si="26"/>
        <v/>
      </c>
      <c r="BO29" s="1141"/>
      <c r="BP29" s="791" t="s">
        <v>366</v>
      </c>
      <c r="BQ29" s="799">
        <f t="shared" si="36"/>
        <v>0.3</v>
      </c>
      <c r="BR29" s="800">
        <f t="shared" si="36"/>
        <v>0.6</v>
      </c>
      <c r="BS29" s="800">
        <f t="shared" si="36"/>
        <v>0.7</v>
      </c>
      <c r="BT29" s="800">
        <f t="shared" si="36"/>
        <v>0.9</v>
      </c>
      <c r="BU29" s="801">
        <f t="shared" si="36"/>
        <v>1</v>
      </c>
    </row>
    <row r="30" spans="2:75" s="731" customFormat="1" ht="12.95" customHeight="1" x14ac:dyDescent="0.25">
      <c r="B30" s="783" t="str">
        <f>IF(ISNA(Z30),"",IF(OR(Z30=1,Z30=2),"    ",MAX($B$9:B29)+1))</f>
        <v/>
      </c>
      <c r="C30" s="1116" t="str">
        <f t="shared" si="0"/>
        <v/>
      </c>
      <c r="D30" s="1116"/>
      <c r="E30" s="1116"/>
      <c r="F30" s="1117"/>
      <c r="G30" s="763" t="str">
        <f t="shared" si="1"/>
        <v/>
      </c>
      <c r="H30" s="764" t="str">
        <f t="shared" si="2"/>
        <v/>
      </c>
      <c r="I30" s="784" t="str">
        <f t="shared" si="2"/>
        <v/>
      </c>
      <c r="J30" s="793"/>
      <c r="K30" s="794"/>
      <c r="L30" s="1134"/>
      <c r="M30" s="1135"/>
      <c r="N30" s="1135"/>
      <c r="O30" s="1135"/>
      <c r="P30" s="1135"/>
      <c r="Q30" s="1135"/>
      <c r="R30" s="1136"/>
      <c r="T30" s="727">
        <v>22</v>
      </c>
      <c r="U30" s="716" t="e">
        <v>#N/A</v>
      </c>
      <c r="V30" s="768" t="e">
        <v>#N/A</v>
      </c>
      <c r="W30" s="768" t="e">
        <v>#N/A</v>
      </c>
      <c r="X30" s="768" t="e">
        <v>#N/A</v>
      </c>
      <c r="Y30" s="768" t="e">
        <v>#N/A</v>
      </c>
      <c r="Z30" s="777" t="e">
        <v>#N/A</v>
      </c>
      <c r="AA30" s="777" t="e">
        <v>#N/A</v>
      </c>
      <c r="AB30" s="777" t="e">
        <v>#N/A</v>
      </c>
      <c r="AC30" s="768" t="e">
        <v>#N/A</v>
      </c>
      <c r="AD30" s="768" t="e">
        <v>#N/A</v>
      </c>
      <c r="AE30" s="768" t="e">
        <v>#N/A</v>
      </c>
      <c r="AF30" s="768" t="e">
        <v>#N/A</v>
      </c>
      <c r="AG30" s="768" t="e">
        <f t="shared" si="3"/>
        <v>#N/A</v>
      </c>
      <c r="AH30" s="768" t="str">
        <f t="shared" si="4"/>
        <v/>
      </c>
      <c r="AI30" s="769" t="e">
        <f>IF(NOT(OR(Z30=1,Z30=2)),IF(AQ30&gt;0,$AR$45*AQ30/SUMIF($AQ$9:$AQ$40,"&gt;0"),IF(AU30&gt;0,$AV$45*AU30/SUMIF($AU$9:$AU$40,"&gt;0"),IF(AS30&gt;0,$AT$45*AS30/SUMIF($AS$9:$AS$40,"&gt;0"),""))),IF(SUMIF(AJ31:$AJ$40,"=" &amp; AJ30,AI31:$AI$40)=0,"",SUMIF(AJ31:$AJ$40,"=" &amp; AJ30,AI31:$AI$40)))</f>
        <v>#N/A</v>
      </c>
      <c r="AJ30" s="770" t="e">
        <f t="shared" si="34"/>
        <v>#N/A</v>
      </c>
      <c r="AK30" s="768" t="str">
        <f t="shared" si="27"/>
        <v/>
      </c>
      <c r="AL30" s="777" t="str">
        <f t="shared" si="28"/>
        <v/>
      </c>
      <c r="AM30" s="777" t="str">
        <f t="shared" si="35"/>
        <v/>
      </c>
      <c r="AN30" s="777" t="str">
        <f t="shared" si="5"/>
        <v/>
      </c>
      <c r="AO30" s="777" t="e">
        <f t="shared" si="6"/>
        <v>#N/A</v>
      </c>
      <c r="AP30" s="768" t="str">
        <f t="shared" si="7"/>
        <v/>
      </c>
      <c r="AQ30" s="771">
        <f t="shared" si="29"/>
        <v>0</v>
      </c>
      <c r="AR30" s="772" t="str">
        <f t="shared" si="8"/>
        <v/>
      </c>
      <c r="AS30" s="773">
        <f t="shared" si="30"/>
        <v>0</v>
      </c>
      <c r="AT30" s="772" t="str">
        <f t="shared" si="9"/>
        <v/>
      </c>
      <c r="AU30" s="774">
        <f t="shared" si="10"/>
        <v>0</v>
      </c>
      <c r="AV30" s="775" t="str">
        <f t="shared" si="11"/>
        <v/>
      </c>
      <c r="AW30" s="774" t="b">
        <f t="shared" si="12"/>
        <v>0</v>
      </c>
      <c r="AX30" s="776" t="b">
        <f t="shared" si="13"/>
        <v>0</v>
      </c>
      <c r="AY30" s="774" t="b">
        <f t="shared" si="14"/>
        <v>0</v>
      </c>
      <c r="AZ30" s="776" t="b">
        <f t="shared" si="15"/>
        <v>0</v>
      </c>
      <c r="BA30" s="768" t="b">
        <f t="shared" si="16"/>
        <v>0</v>
      </c>
      <c r="BB30" s="768" t="b">
        <f t="shared" si="17"/>
        <v>0</v>
      </c>
      <c r="BC30" s="774" t="b">
        <f t="shared" si="18"/>
        <v>0</v>
      </c>
      <c r="BD30" s="777" t="b">
        <f t="shared" si="31"/>
        <v>0</v>
      </c>
      <c r="BE30" s="776" t="b">
        <f t="shared" si="37"/>
        <v>0</v>
      </c>
      <c r="BF30" s="778" t="b">
        <f t="shared" si="20"/>
        <v>0</v>
      </c>
      <c r="BG30" s="779" t="str">
        <f t="shared" si="38"/>
        <v>NA</v>
      </c>
      <c r="BH30" s="779" t="str">
        <f t="shared" si="32"/>
        <v/>
      </c>
      <c r="BI30" s="779" t="str">
        <f t="shared" si="22"/>
        <v/>
      </c>
      <c r="BJ30" s="779" t="str">
        <f t="shared" si="23"/>
        <v/>
      </c>
      <c r="BK30" s="779" t="str">
        <f t="shared" si="24"/>
        <v/>
      </c>
      <c r="BL30" s="780" t="str">
        <f t="shared" si="33"/>
        <v/>
      </c>
      <c r="BM30" s="779" t="str">
        <f t="shared" si="25"/>
        <v/>
      </c>
      <c r="BN30" s="779" t="str">
        <f t="shared" si="26"/>
        <v/>
      </c>
      <c r="BO30" s="1141"/>
      <c r="BP30" s="791" t="s">
        <v>367</v>
      </c>
      <c r="BQ30" s="803">
        <f t="shared" si="36"/>
        <v>0</v>
      </c>
      <c r="BR30" s="804">
        <f t="shared" si="36"/>
        <v>0.3</v>
      </c>
      <c r="BS30" s="804">
        <f t="shared" si="36"/>
        <v>0.6</v>
      </c>
      <c r="BT30" s="804">
        <f t="shared" si="36"/>
        <v>0.9</v>
      </c>
      <c r="BU30" s="805">
        <f t="shared" si="36"/>
        <v>1</v>
      </c>
    </row>
    <row r="31" spans="2:75" s="731" customFormat="1" ht="12.95" customHeight="1" x14ac:dyDescent="0.25">
      <c r="B31" s="783" t="str">
        <f>IF(ISNA(Z31),"",IF(OR(Z31=1,Z31=2),"    ",MAX($B$9:B30)+1))</f>
        <v/>
      </c>
      <c r="C31" s="1116" t="str">
        <f t="shared" si="0"/>
        <v/>
      </c>
      <c r="D31" s="1116"/>
      <c r="E31" s="1116"/>
      <c r="F31" s="1117"/>
      <c r="G31" s="763" t="str">
        <f t="shared" si="1"/>
        <v/>
      </c>
      <c r="H31" s="764" t="str">
        <f t="shared" si="2"/>
        <v/>
      </c>
      <c r="I31" s="784" t="str">
        <f t="shared" si="2"/>
        <v/>
      </c>
      <c r="J31" s="793"/>
      <c r="K31" s="794"/>
      <c r="L31" s="1134"/>
      <c r="M31" s="1135"/>
      <c r="N31" s="1135"/>
      <c r="O31" s="1135"/>
      <c r="P31" s="1135"/>
      <c r="Q31" s="1135"/>
      <c r="R31" s="1136"/>
      <c r="T31" s="727">
        <v>23</v>
      </c>
      <c r="U31" s="716" t="e">
        <v>#N/A</v>
      </c>
      <c r="V31" s="768" t="e">
        <v>#N/A</v>
      </c>
      <c r="W31" s="768" t="e">
        <v>#N/A</v>
      </c>
      <c r="X31" s="768" t="e">
        <v>#N/A</v>
      </c>
      <c r="Y31" s="768" t="e">
        <v>#N/A</v>
      </c>
      <c r="Z31" s="777" t="e">
        <v>#N/A</v>
      </c>
      <c r="AA31" s="777" t="e">
        <v>#N/A</v>
      </c>
      <c r="AB31" s="777" t="e">
        <v>#N/A</v>
      </c>
      <c r="AC31" s="768" t="e">
        <v>#N/A</v>
      </c>
      <c r="AD31" s="768" t="e">
        <v>#N/A</v>
      </c>
      <c r="AE31" s="768" t="e">
        <v>#N/A</v>
      </c>
      <c r="AF31" s="768" t="e">
        <v>#N/A</v>
      </c>
      <c r="AG31" s="768" t="e">
        <f t="shared" si="3"/>
        <v>#N/A</v>
      </c>
      <c r="AH31" s="768" t="str">
        <f t="shared" si="4"/>
        <v/>
      </c>
      <c r="AI31" s="769" t="e">
        <f>IF(NOT(OR(Z31=1,Z31=2)),IF(AQ31&gt;0,$AR$45*AQ31/SUMIF($AQ$9:$AQ$40,"&gt;0"),IF(AU31&gt;0,$AV$45*AU31/SUMIF($AU$9:$AU$40,"&gt;0"),IF(AS31&gt;0,$AT$45*AS31/SUMIF($AS$9:$AS$40,"&gt;0"),""))),IF(SUMIF(AJ32:$AJ$40,"=" &amp; AJ31,AI32:$AI$40)=0,"",SUMIF(AJ32:$AJ$40,"=" &amp; AJ31,AI32:$AI$40)))</f>
        <v>#N/A</v>
      </c>
      <c r="AJ31" s="770" t="e">
        <f t="shared" si="34"/>
        <v>#N/A</v>
      </c>
      <c r="AK31" s="768" t="str">
        <f t="shared" si="27"/>
        <v/>
      </c>
      <c r="AL31" s="777" t="str">
        <f t="shared" si="28"/>
        <v/>
      </c>
      <c r="AM31" s="777" t="str">
        <f t="shared" si="35"/>
        <v/>
      </c>
      <c r="AN31" s="777" t="str">
        <f t="shared" si="5"/>
        <v/>
      </c>
      <c r="AO31" s="777" t="e">
        <f t="shared" si="6"/>
        <v>#N/A</v>
      </c>
      <c r="AP31" s="768" t="str">
        <f t="shared" si="7"/>
        <v/>
      </c>
      <c r="AQ31" s="771">
        <f t="shared" si="29"/>
        <v>0</v>
      </c>
      <c r="AR31" s="772" t="str">
        <f t="shared" si="8"/>
        <v/>
      </c>
      <c r="AS31" s="773">
        <f t="shared" si="30"/>
        <v>0</v>
      </c>
      <c r="AT31" s="772" t="str">
        <f t="shared" si="9"/>
        <v/>
      </c>
      <c r="AU31" s="774">
        <f t="shared" si="10"/>
        <v>0</v>
      </c>
      <c r="AV31" s="775" t="str">
        <f t="shared" si="11"/>
        <v/>
      </c>
      <c r="AW31" s="774" t="b">
        <f t="shared" si="12"/>
        <v>0</v>
      </c>
      <c r="AX31" s="776" t="b">
        <f t="shared" si="13"/>
        <v>0</v>
      </c>
      <c r="AY31" s="774" t="b">
        <f t="shared" si="14"/>
        <v>0</v>
      </c>
      <c r="AZ31" s="776" t="b">
        <f t="shared" si="15"/>
        <v>0</v>
      </c>
      <c r="BA31" s="768" t="b">
        <f t="shared" si="16"/>
        <v>0</v>
      </c>
      <c r="BB31" s="768" t="b">
        <f t="shared" si="17"/>
        <v>0</v>
      </c>
      <c r="BC31" s="774" t="b">
        <f t="shared" si="18"/>
        <v>0</v>
      </c>
      <c r="BD31" s="777" t="b">
        <f t="shared" si="31"/>
        <v>0</v>
      </c>
      <c r="BE31" s="776" t="b">
        <f t="shared" si="37"/>
        <v>0</v>
      </c>
      <c r="BF31" s="778" t="b">
        <f t="shared" si="20"/>
        <v>0</v>
      </c>
      <c r="BG31" s="779" t="str">
        <f t="shared" si="38"/>
        <v>NA</v>
      </c>
      <c r="BH31" s="779" t="str">
        <f t="shared" si="32"/>
        <v/>
      </c>
      <c r="BI31" s="779" t="str">
        <f t="shared" si="22"/>
        <v/>
      </c>
      <c r="BJ31" s="779" t="str">
        <f t="shared" si="23"/>
        <v/>
      </c>
      <c r="BK31" s="779" t="str">
        <f t="shared" si="24"/>
        <v/>
      </c>
      <c r="BL31" s="780" t="str">
        <f t="shared" si="33"/>
        <v/>
      </c>
      <c r="BM31" s="779" t="str">
        <f t="shared" si="25"/>
        <v/>
      </c>
      <c r="BN31" s="779" t="str">
        <f t="shared" si="26"/>
        <v/>
      </c>
      <c r="BO31" s="719"/>
    </row>
    <row r="32" spans="2:75" s="731" customFormat="1" ht="12.95" customHeight="1" x14ac:dyDescent="0.25">
      <c r="B32" s="783" t="str">
        <f>IF(ISNA(Z32),"",IF(OR(Z32=1,Z32=2),"    ",MAX($B$9:B31)+1))</f>
        <v/>
      </c>
      <c r="C32" s="1116" t="str">
        <f t="shared" si="0"/>
        <v/>
      </c>
      <c r="D32" s="1116"/>
      <c r="E32" s="1116"/>
      <c r="F32" s="1117"/>
      <c r="G32" s="763" t="str">
        <f t="shared" si="1"/>
        <v/>
      </c>
      <c r="H32" s="764" t="str">
        <f t="shared" si="2"/>
        <v/>
      </c>
      <c r="I32" s="784" t="str">
        <f t="shared" si="2"/>
        <v/>
      </c>
      <c r="J32" s="793"/>
      <c r="K32" s="794"/>
      <c r="L32" s="1134"/>
      <c r="M32" s="1135"/>
      <c r="N32" s="1135"/>
      <c r="O32" s="1135"/>
      <c r="P32" s="1135"/>
      <c r="Q32" s="1135"/>
      <c r="R32" s="1136"/>
      <c r="T32" s="727">
        <v>24</v>
      </c>
      <c r="U32" s="716" t="e">
        <v>#N/A</v>
      </c>
      <c r="V32" s="768" t="e">
        <v>#N/A</v>
      </c>
      <c r="W32" s="768" t="e">
        <v>#N/A</v>
      </c>
      <c r="X32" s="768" t="e">
        <v>#N/A</v>
      </c>
      <c r="Y32" s="768" t="e">
        <v>#N/A</v>
      </c>
      <c r="Z32" s="777" t="e">
        <v>#N/A</v>
      </c>
      <c r="AA32" s="777" t="e">
        <v>#N/A</v>
      </c>
      <c r="AB32" s="777" t="e">
        <v>#N/A</v>
      </c>
      <c r="AC32" s="768" t="e">
        <v>#N/A</v>
      </c>
      <c r="AD32" s="768" t="e">
        <v>#N/A</v>
      </c>
      <c r="AE32" s="768" t="e">
        <v>#N/A</v>
      </c>
      <c r="AF32" s="768" t="e">
        <v>#N/A</v>
      </c>
      <c r="AG32" s="768" t="e">
        <f t="shared" si="3"/>
        <v>#N/A</v>
      </c>
      <c r="AH32" s="768" t="str">
        <f t="shared" si="4"/>
        <v/>
      </c>
      <c r="AI32" s="769" t="e">
        <f>IF(NOT(OR(Z32=1,Z32=2)),IF(AQ32&gt;0,$AR$45*AQ32/SUMIF($AQ$9:$AQ$40,"&gt;0"),IF(AU32&gt;0,$AV$45*AU32/SUMIF($AU$9:$AU$40,"&gt;0"),IF(AS32&gt;0,$AT$45*AS32/SUMIF($AS$9:$AS$40,"&gt;0"),""))),IF(SUMIF(AJ33:$AJ$40,"=" &amp; AJ32,AI33:$AI$40)=0,"",SUMIF(AJ33:$AJ$40,"=" &amp; AJ32,AI33:$AI$40)))</f>
        <v>#N/A</v>
      </c>
      <c r="AJ32" s="770" t="e">
        <f t="shared" si="34"/>
        <v>#N/A</v>
      </c>
      <c r="AK32" s="768" t="str">
        <f t="shared" si="27"/>
        <v/>
      </c>
      <c r="AL32" s="777" t="str">
        <f t="shared" si="28"/>
        <v/>
      </c>
      <c r="AM32" s="777" t="str">
        <f t="shared" si="35"/>
        <v/>
      </c>
      <c r="AN32" s="777" t="str">
        <f t="shared" si="5"/>
        <v/>
      </c>
      <c r="AO32" s="777" t="e">
        <f t="shared" si="6"/>
        <v>#N/A</v>
      </c>
      <c r="AP32" s="768" t="str">
        <f t="shared" si="7"/>
        <v/>
      </c>
      <c r="AQ32" s="771">
        <f t="shared" si="29"/>
        <v>0</v>
      </c>
      <c r="AR32" s="772" t="str">
        <f t="shared" si="8"/>
        <v/>
      </c>
      <c r="AS32" s="773">
        <f t="shared" si="30"/>
        <v>0</v>
      </c>
      <c r="AT32" s="772" t="str">
        <f t="shared" si="9"/>
        <v/>
      </c>
      <c r="AU32" s="774">
        <f t="shared" si="10"/>
        <v>0</v>
      </c>
      <c r="AV32" s="775" t="str">
        <f t="shared" si="11"/>
        <v/>
      </c>
      <c r="AW32" s="774" t="b">
        <f t="shared" si="12"/>
        <v>0</v>
      </c>
      <c r="AX32" s="776" t="b">
        <f t="shared" si="13"/>
        <v>0</v>
      </c>
      <c r="AY32" s="774" t="b">
        <f t="shared" si="14"/>
        <v>0</v>
      </c>
      <c r="AZ32" s="776" t="b">
        <f t="shared" si="15"/>
        <v>0</v>
      </c>
      <c r="BA32" s="768" t="b">
        <f t="shared" si="16"/>
        <v>0</v>
      </c>
      <c r="BB32" s="768" t="b">
        <f t="shared" si="17"/>
        <v>0</v>
      </c>
      <c r="BC32" s="774" t="b">
        <f t="shared" si="18"/>
        <v>0</v>
      </c>
      <c r="BD32" s="777" t="b">
        <f>IF(OR(ISNA($Z32),ISNUMBER($Z32),NOT(ISNUMBER(K32))),FALSE,OR(NOT(ISNUMBER(J32)),J32=0,AND(J32=0,K32&lt;&gt;0)))</f>
        <v>0</v>
      </c>
      <c r="BE32" s="776" t="b">
        <f t="shared" si="37"/>
        <v>0</v>
      </c>
      <c r="BF32" s="778" t="b">
        <f>IF(OR(ISNA($Z32),H32&lt;&gt;"NG"),FALSE,IF(AND(J32="NA",K32&lt;&gt;""),TRUE,FALSE))</f>
        <v>0</v>
      </c>
      <c r="BG32" s="779" t="str">
        <f t="shared" si="38"/>
        <v>NA</v>
      </c>
      <c r="BH32" s="779" t="str">
        <f t="shared" si="32"/>
        <v/>
      </c>
      <c r="BI32" s="779" t="str">
        <f t="shared" si="22"/>
        <v/>
      </c>
      <c r="BJ32" s="779" t="str">
        <f t="shared" si="23"/>
        <v/>
      </c>
      <c r="BK32" s="779" t="str">
        <f t="shared" si="24"/>
        <v/>
      </c>
      <c r="BL32" s="780" t="str">
        <f t="shared" si="33"/>
        <v/>
      </c>
      <c r="BM32" s="779" t="str">
        <f t="shared" si="25"/>
        <v/>
      </c>
      <c r="BN32" s="779" t="str">
        <f t="shared" si="26"/>
        <v/>
      </c>
      <c r="BO32" s="787" t="s">
        <v>368</v>
      </c>
      <c r="BP32" s="792" t="s">
        <v>369</v>
      </c>
    </row>
    <row r="33" spans="2:73 1271:1271" s="731" customFormat="1" ht="12.95" customHeight="1" x14ac:dyDescent="0.25">
      <c r="B33" s="783" t="str">
        <f>IF(ISNA(Z33),"",IF(OR(Z33=1,Z33=2),"    ",MAX($B$9:B32)+1))</f>
        <v/>
      </c>
      <c r="C33" s="1116" t="str">
        <f t="shared" si="0"/>
        <v/>
      </c>
      <c r="D33" s="1116"/>
      <c r="E33" s="1116"/>
      <c r="F33" s="1117"/>
      <c r="G33" s="763" t="str">
        <f t="shared" si="1"/>
        <v/>
      </c>
      <c r="H33" s="764" t="str">
        <f t="shared" si="2"/>
        <v/>
      </c>
      <c r="I33" s="784" t="str">
        <f t="shared" si="2"/>
        <v/>
      </c>
      <c r="J33" s="793"/>
      <c r="K33" s="794"/>
      <c r="L33" s="1134"/>
      <c r="M33" s="1135"/>
      <c r="N33" s="1135"/>
      <c r="O33" s="1135"/>
      <c r="P33" s="1135"/>
      <c r="Q33" s="1135"/>
      <c r="R33" s="1136"/>
      <c r="T33" s="727">
        <v>25</v>
      </c>
      <c r="U33" s="716" t="e">
        <v>#N/A</v>
      </c>
      <c r="V33" s="768" t="e">
        <v>#N/A</v>
      </c>
      <c r="W33" s="768" t="e">
        <v>#N/A</v>
      </c>
      <c r="X33" s="768" t="e">
        <v>#N/A</v>
      </c>
      <c r="Y33" s="768" t="e">
        <v>#N/A</v>
      </c>
      <c r="Z33" s="777" t="e">
        <v>#N/A</v>
      </c>
      <c r="AA33" s="777" t="e">
        <v>#N/A</v>
      </c>
      <c r="AB33" s="777" t="e">
        <v>#N/A</v>
      </c>
      <c r="AC33" s="768" t="e">
        <v>#N/A</v>
      </c>
      <c r="AD33" s="768" t="e">
        <v>#N/A</v>
      </c>
      <c r="AE33" s="768" t="e">
        <v>#N/A</v>
      </c>
      <c r="AF33" s="768" t="e">
        <v>#N/A</v>
      </c>
      <c r="AG33" s="768" t="e">
        <f t="shared" si="3"/>
        <v>#N/A</v>
      </c>
      <c r="AH33" s="768" t="str">
        <f t="shared" si="4"/>
        <v/>
      </c>
      <c r="AI33" s="769" t="e">
        <f>IF(NOT(OR(Z33=1,Z33=2)),IF(AQ33&gt;0,$AR$45*AQ33/SUMIF($AQ$9:$AQ$40,"&gt;0"),IF(AU33&gt;0,$AV$45*AU33/SUMIF($AU$9:$AU$40,"&gt;0"),IF(AS33&gt;0,$AT$45*AS33/SUMIF($AS$9:$AS$40,"&gt;0"),""))),IF(SUMIF(AJ34:$AJ$40,"=" &amp; AJ33,AI34:$AI$40)=0,"",SUMIF(AJ34:$AJ$40,"=" &amp; AJ33,AI34:$AI$40)))</f>
        <v>#N/A</v>
      </c>
      <c r="AJ33" s="770" t="e">
        <f t="shared" si="34"/>
        <v>#N/A</v>
      </c>
      <c r="AK33" s="768" t="str">
        <f t="shared" si="27"/>
        <v/>
      </c>
      <c r="AL33" s="777" t="str">
        <f t="shared" si="28"/>
        <v/>
      </c>
      <c r="AM33" s="777" t="str">
        <f t="shared" si="35"/>
        <v/>
      </c>
      <c r="AN33" s="777" t="str">
        <f t="shared" si="5"/>
        <v/>
      </c>
      <c r="AO33" s="777" t="e">
        <f t="shared" si="6"/>
        <v>#N/A</v>
      </c>
      <c r="AP33" s="768" t="str">
        <f t="shared" si="7"/>
        <v/>
      </c>
      <c r="AQ33" s="771">
        <f t="shared" si="29"/>
        <v>0</v>
      </c>
      <c r="AR33" s="772" t="str">
        <f t="shared" si="8"/>
        <v/>
      </c>
      <c r="AS33" s="773">
        <f t="shared" si="30"/>
        <v>0</v>
      </c>
      <c r="AT33" s="772" t="str">
        <f t="shared" si="9"/>
        <v/>
      </c>
      <c r="AU33" s="774">
        <f t="shared" si="10"/>
        <v>0</v>
      </c>
      <c r="AV33" s="775" t="str">
        <f t="shared" si="11"/>
        <v/>
      </c>
      <c r="AW33" s="774" t="b">
        <f t="shared" si="12"/>
        <v>0</v>
      </c>
      <c r="AX33" s="776" t="b">
        <f t="shared" si="13"/>
        <v>0</v>
      </c>
      <c r="AY33" s="774" t="b">
        <f t="shared" si="14"/>
        <v>0</v>
      </c>
      <c r="AZ33" s="776" t="b">
        <f t="shared" si="15"/>
        <v>0</v>
      </c>
      <c r="BA33" s="768" t="b">
        <f t="shared" si="16"/>
        <v>0</v>
      </c>
      <c r="BB33" s="768" t="b">
        <f t="shared" si="17"/>
        <v>0</v>
      </c>
      <c r="BC33" s="774" t="b">
        <f t="shared" si="18"/>
        <v>0</v>
      </c>
      <c r="BD33" s="777" t="b">
        <f t="shared" si="31"/>
        <v>0</v>
      </c>
      <c r="BE33" s="776" t="b">
        <f t="shared" si="37"/>
        <v>0</v>
      </c>
      <c r="BF33" s="778" t="b">
        <f t="shared" ref="BF33:BF40" si="39">IF(OR(ISNA($Z33),H33&lt;&gt;"NG"),FALSE,IF(AND(J33="NA",K33&lt;&gt;""),TRUE,FALSE))</f>
        <v>0</v>
      </c>
      <c r="BG33" s="779" t="str">
        <f t="shared" si="38"/>
        <v>NA</v>
      </c>
      <c r="BH33" s="779" t="str">
        <f t="shared" si="32"/>
        <v/>
      </c>
      <c r="BI33" s="779" t="str">
        <f t="shared" si="22"/>
        <v/>
      </c>
      <c r="BJ33" s="779" t="str">
        <f t="shared" si="23"/>
        <v/>
      </c>
      <c r="BK33" s="779" t="str">
        <f t="shared" si="24"/>
        <v/>
      </c>
      <c r="BL33" s="780" t="str">
        <f t="shared" si="33"/>
        <v/>
      </c>
      <c r="BM33" s="779" t="str">
        <f t="shared" si="25"/>
        <v/>
      </c>
      <c r="BN33" s="779" t="str">
        <f t="shared" si="26"/>
        <v/>
      </c>
      <c r="BO33" s="787" t="s">
        <v>370</v>
      </c>
      <c r="BP33" s="792" t="s">
        <v>371</v>
      </c>
    </row>
    <row r="34" spans="2:73 1271:1271" s="731" customFormat="1" ht="12.95" customHeight="1" x14ac:dyDescent="0.25">
      <c r="B34" s="783" t="str">
        <f>IF(ISNA(Z34),"",IF(OR(Z34=1,Z34=2),"    ",MAX($B$9:B33)+1))</f>
        <v/>
      </c>
      <c r="C34" s="1116" t="str">
        <f t="shared" si="0"/>
        <v/>
      </c>
      <c r="D34" s="1116"/>
      <c r="E34" s="1116"/>
      <c r="F34" s="1117"/>
      <c r="G34" s="763" t="str">
        <f t="shared" si="1"/>
        <v/>
      </c>
      <c r="H34" s="764" t="str">
        <f t="shared" si="2"/>
        <v/>
      </c>
      <c r="I34" s="784" t="str">
        <f t="shared" si="2"/>
        <v/>
      </c>
      <c r="J34" s="793"/>
      <c r="K34" s="794"/>
      <c r="L34" s="1134"/>
      <c r="M34" s="1135"/>
      <c r="N34" s="1135"/>
      <c r="O34" s="1135"/>
      <c r="P34" s="1135"/>
      <c r="Q34" s="1135"/>
      <c r="R34" s="1136"/>
      <c r="T34" s="727">
        <v>26</v>
      </c>
      <c r="U34" s="716" t="e">
        <v>#N/A</v>
      </c>
      <c r="V34" s="768" t="e">
        <v>#N/A</v>
      </c>
      <c r="W34" s="768" t="e">
        <v>#N/A</v>
      </c>
      <c r="X34" s="768" t="e">
        <v>#N/A</v>
      </c>
      <c r="Y34" s="768" t="e">
        <v>#N/A</v>
      </c>
      <c r="Z34" s="777" t="e">
        <v>#N/A</v>
      </c>
      <c r="AA34" s="777" t="e">
        <v>#N/A</v>
      </c>
      <c r="AB34" s="777" t="e">
        <v>#N/A</v>
      </c>
      <c r="AC34" s="768" t="e">
        <v>#N/A</v>
      </c>
      <c r="AD34" s="768" t="e">
        <v>#N/A</v>
      </c>
      <c r="AE34" s="768" t="e">
        <v>#N/A</v>
      </c>
      <c r="AF34" s="768" t="e">
        <v>#N/A</v>
      </c>
      <c r="AG34" s="768" t="e">
        <f t="shared" si="3"/>
        <v>#N/A</v>
      </c>
      <c r="AH34" s="768" t="str">
        <f t="shared" si="4"/>
        <v/>
      </c>
      <c r="AI34" s="769" t="e">
        <f>IF(NOT(OR(Z34=1,Z34=2)),IF(AQ34&gt;0,$AR$45*AQ34/SUMIF($AQ$9:$AQ$40,"&gt;0"),IF(AU34&gt;0,$AV$45*AU34/SUMIF($AU$9:$AU$40,"&gt;0"),IF(AS34&gt;0,$AT$45*AS34/SUMIF($AS$9:$AS$40,"&gt;0"),""))),IF(SUMIF(AJ35:$AJ$40,"=" &amp; AJ34,AI35:$AI$40)=0,"",SUMIF(AJ35:$AJ$40,"=" &amp; AJ34,AI35:$AI$40)))</f>
        <v>#N/A</v>
      </c>
      <c r="AJ34" s="770" t="e">
        <f t="shared" si="34"/>
        <v>#N/A</v>
      </c>
      <c r="AK34" s="768" t="str">
        <f t="shared" si="27"/>
        <v/>
      </c>
      <c r="AL34" s="777" t="str">
        <f t="shared" si="28"/>
        <v/>
      </c>
      <c r="AM34" s="777" t="str">
        <f t="shared" si="35"/>
        <v/>
      </c>
      <c r="AN34" s="777" t="str">
        <f t="shared" si="5"/>
        <v/>
      </c>
      <c r="AO34" s="777" t="e">
        <f t="shared" si="6"/>
        <v>#N/A</v>
      </c>
      <c r="AP34" s="768" t="str">
        <f t="shared" si="7"/>
        <v/>
      </c>
      <c r="AQ34" s="771">
        <f t="shared" si="29"/>
        <v>0</v>
      </c>
      <c r="AR34" s="772" t="str">
        <f t="shared" si="8"/>
        <v/>
      </c>
      <c r="AS34" s="773">
        <f t="shared" si="30"/>
        <v>0</v>
      </c>
      <c r="AT34" s="772" t="str">
        <f t="shared" si="9"/>
        <v/>
      </c>
      <c r="AU34" s="774">
        <f t="shared" si="10"/>
        <v>0</v>
      </c>
      <c r="AV34" s="775" t="str">
        <f t="shared" si="11"/>
        <v/>
      </c>
      <c r="AW34" s="774" t="b">
        <f t="shared" si="12"/>
        <v>0</v>
      </c>
      <c r="AX34" s="776" t="b">
        <f t="shared" si="13"/>
        <v>0</v>
      </c>
      <c r="AY34" s="774" t="b">
        <f t="shared" si="14"/>
        <v>0</v>
      </c>
      <c r="AZ34" s="776" t="b">
        <f t="shared" si="15"/>
        <v>0</v>
      </c>
      <c r="BA34" s="768" t="b">
        <f t="shared" si="16"/>
        <v>0</v>
      </c>
      <c r="BB34" s="768" t="b">
        <f t="shared" si="17"/>
        <v>0</v>
      </c>
      <c r="BC34" s="774" t="b">
        <f t="shared" si="18"/>
        <v>0</v>
      </c>
      <c r="BD34" s="777" t="b">
        <f t="shared" si="31"/>
        <v>0</v>
      </c>
      <c r="BE34" s="776" t="b">
        <f t="shared" si="37"/>
        <v>0</v>
      </c>
      <c r="BF34" s="778" t="b">
        <f t="shared" si="39"/>
        <v>0</v>
      </c>
      <c r="BG34" s="779" t="str">
        <f t="shared" si="38"/>
        <v>NA</v>
      </c>
      <c r="BH34" s="779" t="str">
        <f t="shared" si="32"/>
        <v/>
      </c>
      <c r="BI34" s="779" t="str">
        <f t="shared" si="22"/>
        <v/>
      </c>
      <c r="BJ34" s="779" t="str">
        <f t="shared" si="23"/>
        <v/>
      </c>
      <c r="BK34" s="779" t="str">
        <f t="shared" si="24"/>
        <v/>
      </c>
      <c r="BL34" s="780" t="str">
        <f t="shared" si="33"/>
        <v/>
      </c>
      <c r="BM34" s="779" t="str">
        <f t="shared" si="25"/>
        <v/>
      </c>
      <c r="BN34" s="779" t="str">
        <f t="shared" si="26"/>
        <v/>
      </c>
      <c r="BO34" s="782" t="s">
        <v>372</v>
      </c>
      <c r="BP34" s="792"/>
      <c r="BQ34" s="792"/>
      <c r="BR34" s="792"/>
      <c r="BS34" s="792"/>
      <c r="BT34" s="792"/>
      <c r="BU34" s="792"/>
    </row>
    <row r="35" spans="2:73 1271:1271" s="731" customFormat="1" ht="12.95" customHeight="1" x14ac:dyDescent="0.25">
      <c r="B35" s="783" t="str">
        <f>IF(ISNA(Z35),"",IF(OR(Z35=1,Z35=2),"    ",MAX($B$9:B34)+1))</f>
        <v/>
      </c>
      <c r="C35" s="1116" t="str">
        <f t="shared" si="0"/>
        <v/>
      </c>
      <c r="D35" s="1116"/>
      <c r="E35" s="1116"/>
      <c r="F35" s="1117"/>
      <c r="G35" s="763" t="str">
        <f t="shared" si="1"/>
        <v/>
      </c>
      <c r="H35" s="764" t="str">
        <f t="shared" si="2"/>
        <v/>
      </c>
      <c r="I35" s="784" t="str">
        <f t="shared" si="2"/>
        <v/>
      </c>
      <c r="J35" s="793"/>
      <c r="K35" s="794"/>
      <c r="L35" s="1134"/>
      <c r="M35" s="1135"/>
      <c r="N35" s="1135"/>
      <c r="O35" s="1135"/>
      <c r="P35" s="1135"/>
      <c r="Q35" s="1135"/>
      <c r="R35" s="1136"/>
      <c r="T35" s="727">
        <v>27</v>
      </c>
      <c r="U35" s="716" t="e">
        <v>#N/A</v>
      </c>
      <c r="V35" s="768" t="e">
        <v>#N/A</v>
      </c>
      <c r="W35" s="768" t="e">
        <v>#N/A</v>
      </c>
      <c r="X35" s="768" t="e">
        <v>#N/A</v>
      </c>
      <c r="Y35" s="768" t="e">
        <v>#N/A</v>
      </c>
      <c r="Z35" s="777" t="e">
        <v>#N/A</v>
      </c>
      <c r="AA35" s="777" t="e">
        <v>#N/A</v>
      </c>
      <c r="AB35" s="777" t="e">
        <v>#N/A</v>
      </c>
      <c r="AC35" s="768" t="e">
        <v>#N/A</v>
      </c>
      <c r="AD35" s="768" t="e">
        <v>#N/A</v>
      </c>
      <c r="AE35" s="768" t="e">
        <v>#N/A</v>
      </c>
      <c r="AF35" s="768" t="e">
        <v>#N/A</v>
      </c>
      <c r="AG35" s="768" t="e">
        <f t="shared" si="3"/>
        <v>#N/A</v>
      </c>
      <c r="AH35" s="768" t="str">
        <f t="shared" si="4"/>
        <v/>
      </c>
      <c r="AI35" s="769" t="e">
        <f>IF(NOT(OR(Z35=1,Z35=2)),IF(AQ35&gt;0,$AR$45*AQ35/SUMIF($AQ$9:$AQ$40,"&gt;0"),IF(AU35&gt;0,$AV$45*AU35/SUMIF($AU$9:$AU$40,"&gt;0"),IF(AS35&gt;0,$AT$45*AS35/SUMIF($AS$9:$AS$40,"&gt;0"),""))),IF(SUMIF(AJ36:$AJ$40,"=" &amp; AJ35,AI36:$AI$40)=0,"",SUMIF(AJ36:$AJ$40,"=" &amp; AJ35,AI36:$AI$40)))</f>
        <v>#N/A</v>
      </c>
      <c r="AJ35" s="770" t="e">
        <f t="shared" si="34"/>
        <v>#N/A</v>
      </c>
      <c r="AK35" s="768" t="str">
        <f t="shared" si="27"/>
        <v/>
      </c>
      <c r="AL35" s="777" t="str">
        <f t="shared" si="28"/>
        <v/>
      </c>
      <c r="AM35" s="777" t="str">
        <f t="shared" si="35"/>
        <v/>
      </c>
      <c r="AN35" s="777" t="str">
        <f t="shared" si="5"/>
        <v/>
      </c>
      <c r="AO35" s="777" t="e">
        <f t="shared" si="6"/>
        <v>#N/A</v>
      </c>
      <c r="AP35" s="768" t="str">
        <f t="shared" si="7"/>
        <v/>
      </c>
      <c r="AQ35" s="771">
        <f t="shared" si="29"/>
        <v>0</v>
      </c>
      <c r="AR35" s="772" t="str">
        <f t="shared" si="8"/>
        <v/>
      </c>
      <c r="AS35" s="773">
        <f t="shared" si="30"/>
        <v>0</v>
      </c>
      <c r="AT35" s="772" t="str">
        <f t="shared" si="9"/>
        <v/>
      </c>
      <c r="AU35" s="774">
        <f t="shared" si="10"/>
        <v>0</v>
      </c>
      <c r="AV35" s="775" t="str">
        <f t="shared" si="11"/>
        <v/>
      </c>
      <c r="AW35" s="774" t="b">
        <f t="shared" si="12"/>
        <v>0</v>
      </c>
      <c r="AX35" s="776" t="b">
        <f t="shared" si="13"/>
        <v>0</v>
      </c>
      <c r="AY35" s="774" t="b">
        <f t="shared" si="14"/>
        <v>0</v>
      </c>
      <c r="AZ35" s="776" t="b">
        <f t="shared" si="15"/>
        <v>0</v>
      </c>
      <c r="BA35" s="768" t="b">
        <f t="shared" si="16"/>
        <v>0</v>
      </c>
      <c r="BB35" s="768" t="b">
        <f t="shared" si="17"/>
        <v>0</v>
      </c>
      <c r="BC35" s="774" t="b">
        <f t="shared" si="18"/>
        <v>0</v>
      </c>
      <c r="BD35" s="777" t="b">
        <f t="shared" si="31"/>
        <v>0</v>
      </c>
      <c r="BE35" s="776" t="b">
        <f t="shared" si="37"/>
        <v>0</v>
      </c>
      <c r="BF35" s="778" t="b">
        <f t="shared" si="39"/>
        <v>0</v>
      </c>
      <c r="BG35" s="779" t="str">
        <f t="shared" si="38"/>
        <v>NA</v>
      </c>
      <c r="BH35" s="779" t="str">
        <f t="shared" si="32"/>
        <v/>
      </c>
      <c r="BI35" s="779" t="str">
        <f t="shared" si="22"/>
        <v/>
      </c>
      <c r="BJ35" s="779" t="str">
        <f t="shared" si="23"/>
        <v/>
      </c>
      <c r="BK35" s="779" t="str">
        <f t="shared" si="24"/>
        <v/>
      </c>
      <c r="BL35" s="780" t="str">
        <f t="shared" si="33"/>
        <v/>
      </c>
      <c r="BM35" s="779" t="str">
        <f t="shared" si="25"/>
        <v/>
      </c>
      <c r="BN35" s="779" t="str">
        <f t="shared" si="26"/>
        <v/>
      </c>
      <c r="BO35" s="1142"/>
      <c r="BP35" s="1143"/>
      <c r="BQ35" s="1143"/>
      <c r="BR35" s="1143"/>
      <c r="BS35" s="1143"/>
      <c r="BT35" s="1143"/>
      <c r="BU35" s="1144"/>
    </row>
    <row r="36" spans="2:73 1271:1271" s="731" customFormat="1" ht="12.95" customHeight="1" x14ac:dyDescent="0.25">
      <c r="B36" s="783" t="str">
        <f>IF(ISNA(Z36),"",IF(OR(Z36=1,Z36=2),"    ",MAX($B$9:B35)+1))</f>
        <v/>
      </c>
      <c r="C36" s="1116" t="str">
        <f t="shared" si="0"/>
        <v/>
      </c>
      <c r="D36" s="1116"/>
      <c r="E36" s="1116"/>
      <c r="F36" s="1117"/>
      <c r="G36" s="763" t="str">
        <f t="shared" si="1"/>
        <v/>
      </c>
      <c r="H36" s="764" t="str">
        <f t="shared" si="2"/>
        <v/>
      </c>
      <c r="I36" s="784" t="str">
        <f t="shared" si="2"/>
        <v/>
      </c>
      <c r="J36" s="793"/>
      <c r="K36" s="794"/>
      <c r="L36" s="1134"/>
      <c r="M36" s="1135"/>
      <c r="N36" s="1135"/>
      <c r="O36" s="1135"/>
      <c r="P36" s="1135"/>
      <c r="Q36" s="1135"/>
      <c r="R36" s="1136"/>
      <c r="T36" s="727">
        <v>28</v>
      </c>
      <c r="U36" s="716" t="e">
        <v>#N/A</v>
      </c>
      <c r="V36" s="768" t="e">
        <v>#N/A</v>
      </c>
      <c r="W36" s="768" t="e">
        <v>#N/A</v>
      </c>
      <c r="X36" s="768" t="e">
        <v>#N/A</v>
      </c>
      <c r="Y36" s="768" t="e">
        <v>#N/A</v>
      </c>
      <c r="Z36" s="777" t="e">
        <v>#N/A</v>
      </c>
      <c r="AA36" s="777" t="e">
        <v>#N/A</v>
      </c>
      <c r="AB36" s="777" t="e">
        <v>#N/A</v>
      </c>
      <c r="AC36" s="768" t="e">
        <v>#N/A</v>
      </c>
      <c r="AD36" s="768" t="e">
        <v>#N/A</v>
      </c>
      <c r="AE36" s="768" t="e">
        <v>#N/A</v>
      </c>
      <c r="AF36" s="768" t="e">
        <v>#N/A</v>
      </c>
      <c r="AG36" s="768" t="e">
        <f t="shared" si="3"/>
        <v>#N/A</v>
      </c>
      <c r="AH36" s="768" t="str">
        <f t="shared" si="4"/>
        <v/>
      </c>
      <c r="AI36" s="769" t="e">
        <f>IF(NOT(OR(Z36=1,Z36=2)),IF(AQ36&gt;0,$AR$45*AQ36/SUMIF($AQ$9:$AQ$40,"&gt;0"),IF(AU36&gt;0,$AV$45*AU36/SUMIF($AU$9:$AU$40,"&gt;0"),IF(AS36&gt;0,$AT$45*AS36/SUMIF($AS$9:$AS$40,"&gt;0"),""))),IF(SUMIF(AJ37:$AJ$40,"=" &amp; AJ36,AI37:$AI$40)=0,"",SUMIF(AJ37:$AJ$40,"=" &amp; AJ36,AI37:$AI$40)))</f>
        <v>#N/A</v>
      </c>
      <c r="AJ36" s="770" t="e">
        <f t="shared" si="34"/>
        <v>#N/A</v>
      </c>
      <c r="AK36" s="768" t="str">
        <f t="shared" si="27"/>
        <v/>
      </c>
      <c r="AL36" s="777" t="str">
        <f t="shared" si="28"/>
        <v/>
      </c>
      <c r="AM36" s="777" t="str">
        <f t="shared" si="35"/>
        <v/>
      </c>
      <c r="AN36" s="777" t="str">
        <f t="shared" si="5"/>
        <v/>
      </c>
      <c r="AO36" s="777" t="e">
        <f t="shared" si="6"/>
        <v>#N/A</v>
      </c>
      <c r="AP36" s="768" t="str">
        <f t="shared" si="7"/>
        <v/>
      </c>
      <c r="AQ36" s="771">
        <f t="shared" si="29"/>
        <v>0</v>
      </c>
      <c r="AR36" s="772" t="str">
        <f t="shared" si="8"/>
        <v/>
      </c>
      <c r="AS36" s="773">
        <f t="shared" si="30"/>
        <v>0</v>
      </c>
      <c r="AT36" s="772" t="str">
        <f t="shared" si="9"/>
        <v/>
      </c>
      <c r="AU36" s="774">
        <f t="shared" si="10"/>
        <v>0</v>
      </c>
      <c r="AV36" s="775" t="str">
        <f t="shared" si="11"/>
        <v/>
      </c>
      <c r="AW36" s="774" t="b">
        <f t="shared" si="12"/>
        <v>0</v>
      </c>
      <c r="AX36" s="776" t="b">
        <f t="shared" si="13"/>
        <v>0</v>
      </c>
      <c r="AY36" s="774" t="b">
        <f t="shared" si="14"/>
        <v>0</v>
      </c>
      <c r="AZ36" s="776" t="b">
        <f t="shared" si="15"/>
        <v>0</v>
      </c>
      <c r="BA36" s="768" t="b">
        <f t="shared" si="16"/>
        <v>0</v>
      </c>
      <c r="BB36" s="768" t="b">
        <f t="shared" si="17"/>
        <v>0</v>
      </c>
      <c r="BC36" s="774" t="b">
        <f t="shared" si="18"/>
        <v>0</v>
      </c>
      <c r="BD36" s="777" t="b">
        <f t="shared" si="31"/>
        <v>0</v>
      </c>
      <c r="BE36" s="776" t="b">
        <f t="shared" si="37"/>
        <v>0</v>
      </c>
      <c r="BF36" s="778" t="b">
        <f t="shared" si="39"/>
        <v>0</v>
      </c>
      <c r="BG36" s="779" t="str">
        <f t="shared" si="38"/>
        <v>NA</v>
      </c>
      <c r="BH36" s="779" t="str">
        <f t="shared" si="32"/>
        <v/>
      </c>
      <c r="BI36" s="779" t="str">
        <f t="shared" si="22"/>
        <v/>
      </c>
      <c r="BJ36" s="779" t="str">
        <f t="shared" si="23"/>
        <v/>
      </c>
      <c r="BK36" s="779" t="str">
        <f t="shared" si="24"/>
        <v/>
      </c>
      <c r="BL36" s="780" t="str">
        <f t="shared" si="33"/>
        <v/>
      </c>
      <c r="BM36" s="779" t="str">
        <f t="shared" si="25"/>
        <v/>
      </c>
      <c r="BN36" s="779" t="str">
        <f t="shared" si="26"/>
        <v/>
      </c>
      <c r="BO36" s="1145"/>
      <c r="BP36" s="1146"/>
      <c r="BQ36" s="1146"/>
      <c r="BR36" s="1146"/>
      <c r="BS36" s="1146"/>
      <c r="BT36" s="1146"/>
      <c r="BU36" s="1147"/>
    </row>
    <row r="37" spans="2:73 1271:1271" s="731" customFormat="1" ht="12.95" customHeight="1" x14ac:dyDescent="0.25">
      <c r="B37" s="783" t="str">
        <f>IF(ISNA(Z37),"",IF(OR(Z37=1,Z37=2),"    ",MAX($B$9:B36)+1))</f>
        <v/>
      </c>
      <c r="C37" s="1116" t="str">
        <f t="shared" si="0"/>
        <v/>
      </c>
      <c r="D37" s="1116"/>
      <c r="E37" s="1116"/>
      <c r="F37" s="1117"/>
      <c r="G37" s="763" t="str">
        <f t="shared" si="1"/>
        <v/>
      </c>
      <c r="H37" s="764" t="str">
        <f t="shared" si="2"/>
        <v/>
      </c>
      <c r="I37" s="784" t="str">
        <f t="shared" si="2"/>
        <v/>
      </c>
      <c r="J37" s="793"/>
      <c r="K37" s="794"/>
      <c r="L37" s="1134"/>
      <c r="M37" s="1135"/>
      <c r="N37" s="1135"/>
      <c r="O37" s="1135"/>
      <c r="P37" s="1135"/>
      <c r="Q37" s="1135"/>
      <c r="R37" s="1136"/>
      <c r="T37" s="727">
        <v>29</v>
      </c>
      <c r="U37" s="716" t="e">
        <v>#N/A</v>
      </c>
      <c r="V37" s="768" t="e">
        <v>#N/A</v>
      </c>
      <c r="W37" s="768" t="e">
        <v>#N/A</v>
      </c>
      <c r="X37" s="768" t="e">
        <v>#N/A</v>
      </c>
      <c r="Y37" s="768" t="e">
        <v>#N/A</v>
      </c>
      <c r="Z37" s="777" t="e">
        <v>#N/A</v>
      </c>
      <c r="AA37" s="777" t="e">
        <v>#N/A</v>
      </c>
      <c r="AB37" s="777" t="e">
        <v>#N/A</v>
      </c>
      <c r="AC37" s="768" t="e">
        <v>#N/A</v>
      </c>
      <c r="AD37" s="768" t="e">
        <v>#N/A</v>
      </c>
      <c r="AE37" s="768" t="e">
        <v>#N/A</v>
      </c>
      <c r="AF37" s="768" t="e">
        <v>#N/A</v>
      </c>
      <c r="AG37" s="768" t="e">
        <f t="shared" si="3"/>
        <v>#N/A</v>
      </c>
      <c r="AH37" s="768" t="str">
        <f t="shared" si="4"/>
        <v/>
      </c>
      <c r="AI37" s="769" t="e">
        <f>IF(NOT(OR(Z37=1,Z37=2)),IF(AQ37&gt;0,$AR$45*AQ37/SUMIF($AQ$9:$AQ$40,"&gt;0"),IF(AU37&gt;0,$AV$45*AU37/SUMIF($AU$9:$AU$40,"&gt;0"),IF(AS37&gt;0,$AT$45*AS37/SUMIF($AS$9:$AS$40,"&gt;0"),""))),IF(SUMIF(AJ38:$AJ$40,"=" &amp; AJ37,AI38:$AI$40)=0,"",SUMIF(AJ38:$AJ$40,"=" &amp; AJ37,AI38:$AI$40)))</f>
        <v>#N/A</v>
      </c>
      <c r="AJ37" s="770" t="e">
        <f t="shared" si="34"/>
        <v>#N/A</v>
      </c>
      <c r="AK37" s="768" t="str">
        <f t="shared" si="27"/>
        <v/>
      </c>
      <c r="AL37" s="777" t="str">
        <f t="shared" si="28"/>
        <v/>
      </c>
      <c r="AM37" s="777" t="str">
        <f t="shared" si="35"/>
        <v/>
      </c>
      <c r="AN37" s="777" t="str">
        <f t="shared" si="5"/>
        <v/>
      </c>
      <c r="AO37" s="777" t="e">
        <f t="shared" si="6"/>
        <v>#N/A</v>
      </c>
      <c r="AP37" s="768" t="str">
        <f t="shared" si="7"/>
        <v/>
      </c>
      <c r="AQ37" s="771">
        <f t="shared" si="29"/>
        <v>0</v>
      </c>
      <c r="AR37" s="772" t="str">
        <f t="shared" si="8"/>
        <v/>
      </c>
      <c r="AS37" s="773">
        <f t="shared" si="30"/>
        <v>0</v>
      </c>
      <c r="AT37" s="772" t="str">
        <f t="shared" si="9"/>
        <v/>
      </c>
      <c r="AU37" s="774">
        <f t="shared" si="10"/>
        <v>0</v>
      </c>
      <c r="AV37" s="775" t="str">
        <f t="shared" si="11"/>
        <v/>
      </c>
      <c r="AW37" s="774" t="b">
        <f t="shared" si="12"/>
        <v>0</v>
      </c>
      <c r="AX37" s="776" t="b">
        <f t="shared" si="13"/>
        <v>0</v>
      </c>
      <c r="AY37" s="774" t="b">
        <f t="shared" si="14"/>
        <v>0</v>
      </c>
      <c r="AZ37" s="776" t="b">
        <f t="shared" si="15"/>
        <v>0</v>
      </c>
      <c r="BA37" s="768" t="b">
        <f t="shared" si="16"/>
        <v>0</v>
      </c>
      <c r="BB37" s="768" t="b">
        <f t="shared" si="17"/>
        <v>0</v>
      </c>
      <c r="BC37" s="774" t="b">
        <f t="shared" si="18"/>
        <v>0</v>
      </c>
      <c r="BD37" s="777" t="b">
        <f t="shared" si="31"/>
        <v>0</v>
      </c>
      <c r="BE37" s="776" t="b">
        <f t="shared" si="37"/>
        <v>0</v>
      </c>
      <c r="BF37" s="778" t="b">
        <f t="shared" si="39"/>
        <v>0</v>
      </c>
      <c r="BG37" s="779" t="str">
        <f t="shared" si="38"/>
        <v>NA</v>
      </c>
      <c r="BH37" s="779" t="str">
        <f t="shared" si="32"/>
        <v/>
      </c>
      <c r="BI37" s="779" t="str">
        <f t="shared" si="22"/>
        <v/>
      </c>
      <c r="BJ37" s="779" t="str">
        <f t="shared" si="23"/>
        <v/>
      </c>
      <c r="BK37" s="779" t="str">
        <f t="shared" si="24"/>
        <v/>
      </c>
      <c r="BL37" s="780" t="str">
        <f t="shared" si="33"/>
        <v/>
      </c>
      <c r="BM37" s="779" t="str">
        <f t="shared" si="25"/>
        <v/>
      </c>
      <c r="BN37" s="779" t="str">
        <f t="shared" si="26"/>
        <v/>
      </c>
      <c r="BO37" s="1145"/>
      <c r="BP37" s="1146"/>
      <c r="BQ37" s="1146"/>
      <c r="BR37" s="1146"/>
      <c r="BS37" s="1146"/>
      <c r="BT37" s="1146"/>
      <c r="BU37" s="1147"/>
    </row>
    <row r="38" spans="2:73 1271:1271" s="731" customFormat="1" ht="12.95" customHeight="1" x14ac:dyDescent="0.25">
      <c r="B38" s="783" t="str">
        <f>IF(ISNA(Z38),"",IF(OR(Z38=1,Z38=2),"    ",MAX($B$9:B37)+1))</f>
        <v/>
      </c>
      <c r="C38" s="1116" t="str">
        <f>IF(ISNA(Z38),"",CONCATENATE($U38,IF(ISNUMBER(AI38),TEXT(ROUND($AI38,3)," (0.0%)"),""),IF(AU38&gt;0," Bonus","")))</f>
        <v/>
      </c>
      <c r="D38" s="1116"/>
      <c r="E38" s="1116"/>
      <c r="F38" s="1117"/>
      <c r="G38" s="763" t="str">
        <f t="shared" si="1"/>
        <v/>
      </c>
      <c r="H38" s="764" t="str">
        <f t="shared" si="2"/>
        <v/>
      </c>
      <c r="I38" s="784" t="str">
        <f t="shared" si="2"/>
        <v/>
      </c>
      <c r="J38" s="793"/>
      <c r="K38" s="794"/>
      <c r="L38" s="1134"/>
      <c r="M38" s="1135"/>
      <c r="N38" s="1135"/>
      <c r="O38" s="1135"/>
      <c r="P38" s="1135"/>
      <c r="Q38" s="1135"/>
      <c r="R38" s="1136"/>
      <c r="T38" s="727">
        <v>30</v>
      </c>
      <c r="U38" s="716" t="e">
        <v>#N/A</v>
      </c>
      <c r="V38" s="768" t="e">
        <v>#N/A</v>
      </c>
      <c r="W38" s="768" t="e">
        <v>#N/A</v>
      </c>
      <c r="X38" s="768" t="e">
        <v>#N/A</v>
      </c>
      <c r="Y38" s="768" t="e">
        <v>#N/A</v>
      </c>
      <c r="Z38" s="777" t="e">
        <v>#N/A</v>
      </c>
      <c r="AA38" s="777" t="e">
        <v>#N/A</v>
      </c>
      <c r="AB38" s="777" t="e">
        <v>#N/A</v>
      </c>
      <c r="AC38" s="768" t="e">
        <v>#N/A</v>
      </c>
      <c r="AD38" s="768" t="e">
        <v>#N/A</v>
      </c>
      <c r="AE38" s="768" t="e">
        <v>#N/A</v>
      </c>
      <c r="AF38" s="768" t="e">
        <v>#N/A</v>
      </c>
      <c r="AG38" s="768" t="e">
        <f t="shared" si="3"/>
        <v>#N/A</v>
      </c>
      <c r="AH38" s="768" t="str">
        <f t="shared" si="4"/>
        <v/>
      </c>
      <c r="AI38" s="769" t="e">
        <f>IF(NOT(OR(Z38=1,Z38=2)),IF(AQ38&gt;0,$AR$45*AQ38/SUMIF($AQ$9:$AQ$40,"&gt;0"),IF(AU38&gt;0,$AV$45*AU38/SUMIF($AU$9:$AU$40,"&gt;0"),IF(AS38&gt;0,$AT$45*AS38/SUMIF($AS$9:$AS$40,"&gt;0"),""))),IF(SUMIF(AJ39:$AJ$40,"=" &amp; AJ38,AI39:$AI$40)=0,"",SUMIF(AJ39:$AJ$40,"=" &amp; AJ38,AI39:$AI$40)))</f>
        <v>#N/A</v>
      </c>
      <c r="AJ38" s="770" t="e">
        <f t="shared" si="34"/>
        <v>#N/A</v>
      </c>
      <c r="AK38" s="768" t="str">
        <f t="shared" si="27"/>
        <v/>
      </c>
      <c r="AL38" s="777" t="str">
        <f t="shared" si="28"/>
        <v/>
      </c>
      <c r="AM38" s="777" t="str">
        <f t="shared" si="35"/>
        <v/>
      </c>
      <c r="AN38" s="777" t="str">
        <f>IF(ISNUMBER(AH38),IF(AND(AB38=0,ISNUMBER(AC38),ISNUMBER(AL38)),1,""),"")</f>
        <v/>
      </c>
      <c r="AO38" s="777" t="e">
        <f t="shared" si="6"/>
        <v>#N/A</v>
      </c>
      <c r="AP38" s="768" t="str">
        <f t="shared" si="7"/>
        <v/>
      </c>
      <c r="AQ38" s="771">
        <f t="shared" si="29"/>
        <v>0</v>
      </c>
      <c r="AR38" s="772" t="str">
        <f t="shared" si="8"/>
        <v/>
      </c>
      <c r="AS38" s="773">
        <f t="shared" si="30"/>
        <v>0</v>
      </c>
      <c r="AT38" s="772" t="str">
        <f t="shared" si="9"/>
        <v/>
      </c>
      <c r="AU38" s="774">
        <f t="shared" si="10"/>
        <v>0</v>
      </c>
      <c r="AV38" s="775" t="str">
        <f t="shared" si="11"/>
        <v/>
      </c>
      <c r="AW38" s="774" t="b">
        <f t="shared" si="12"/>
        <v>0</v>
      </c>
      <c r="AX38" s="776" t="b">
        <f t="shared" si="13"/>
        <v>0</v>
      </c>
      <c r="AY38" s="774" t="b">
        <f t="shared" si="14"/>
        <v>0</v>
      </c>
      <c r="AZ38" s="776" t="b">
        <f t="shared" si="15"/>
        <v>0</v>
      </c>
      <c r="BA38" s="768" t="b">
        <f t="shared" si="16"/>
        <v>0</v>
      </c>
      <c r="BB38" s="768" t="b">
        <f t="shared" si="17"/>
        <v>0</v>
      </c>
      <c r="BC38" s="774" t="b">
        <f t="shared" si="18"/>
        <v>0</v>
      </c>
      <c r="BD38" s="777" t="b">
        <f t="shared" si="31"/>
        <v>0</v>
      </c>
      <c r="BE38" s="776" t="b">
        <f t="shared" si="37"/>
        <v>0</v>
      </c>
      <c r="BF38" s="778" t="b">
        <f t="shared" si="39"/>
        <v>0</v>
      </c>
      <c r="BG38" s="779" t="str">
        <f t="shared" si="38"/>
        <v>NA</v>
      </c>
      <c r="BH38" s="779" t="str">
        <f t="shared" si="32"/>
        <v/>
      </c>
      <c r="BI38" s="779" t="str">
        <f t="shared" si="22"/>
        <v/>
      </c>
      <c r="BJ38" s="779" t="str">
        <f t="shared" si="23"/>
        <v/>
      </c>
      <c r="BK38" s="779" t="str">
        <f t="shared" si="24"/>
        <v/>
      </c>
      <c r="BL38" s="780" t="str">
        <f t="shared" si="33"/>
        <v/>
      </c>
      <c r="BM38" s="779" t="str">
        <f t="shared" si="25"/>
        <v/>
      </c>
      <c r="BN38" s="779" t="str">
        <f t="shared" si="26"/>
        <v/>
      </c>
      <c r="BO38" s="1148"/>
      <c r="BP38" s="1149"/>
      <c r="BQ38" s="1149"/>
      <c r="BR38" s="1149"/>
      <c r="BS38" s="1149"/>
      <c r="BT38" s="1149"/>
      <c r="BU38" s="1150"/>
    </row>
    <row r="39" spans="2:73 1271:1271" s="731" customFormat="1" ht="12.95" customHeight="1" x14ac:dyDescent="0.25">
      <c r="B39" s="783" t="str">
        <f>IF(ISNA(Z39),"",IF(OR(Z39=1,Z39=2),"    ",MAX($B$9:B38)+1))</f>
        <v/>
      </c>
      <c r="C39" s="1116" t="str">
        <f t="shared" ref="C39:C40" si="40">IF(ISNA(Z39),"",CONCATENATE($U39,IF(ISNUMBER(AI39),TEXT(ROUND($AI39,3)," (0.0%)"),""),IF(AU39&gt;0," Bonus","")))</f>
        <v/>
      </c>
      <c r="D39" s="1116"/>
      <c r="E39" s="1116"/>
      <c r="F39" s="1117"/>
      <c r="G39" s="763" t="str">
        <f t="shared" si="1"/>
        <v/>
      </c>
      <c r="H39" s="764" t="str">
        <f t="shared" si="2"/>
        <v/>
      </c>
      <c r="I39" s="784" t="str">
        <f t="shared" si="2"/>
        <v/>
      </c>
      <c r="J39" s="793"/>
      <c r="K39" s="794"/>
      <c r="L39" s="1134"/>
      <c r="M39" s="1135"/>
      <c r="N39" s="1135"/>
      <c r="O39" s="1135"/>
      <c r="P39" s="1135"/>
      <c r="Q39" s="1135"/>
      <c r="R39" s="1136"/>
      <c r="T39" s="727">
        <v>31</v>
      </c>
      <c r="U39" s="716" t="e">
        <v>#N/A</v>
      </c>
      <c r="V39" s="768" t="e">
        <v>#N/A</v>
      </c>
      <c r="W39" s="768" t="e">
        <v>#N/A</v>
      </c>
      <c r="X39" s="768" t="e">
        <v>#N/A</v>
      </c>
      <c r="Y39" s="768" t="e">
        <v>#N/A</v>
      </c>
      <c r="Z39" s="777" t="e">
        <v>#N/A</v>
      </c>
      <c r="AA39" s="777" t="e">
        <v>#N/A</v>
      </c>
      <c r="AB39" s="777" t="e">
        <v>#N/A</v>
      </c>
      <c r="AC39" s="768" t="e">
        <v>#N/A</v>
      </c>
      <c r="AD39" s="768" t="e">
        <v>#N/A</v>
      </c>
      <c r="AE39" s="768" t="e">
        <v>#N/A</v>
      </c>
      <c r="AF39" s="768" t="e">
        <v>#N/A</v>
      </c>
      <c r="AG39" s="768" t="e">
        <f t="shared" si="3"/>
        <v>#N/A</v>
      </c>
      <c r="AH39" s="768" t="str">
        <f t="shared" si="4"/>
        <v/>
      </c>
      <c r="AI39" s="769" t="e">
        <f>IF(NOT(OR(Z39=1,Z39=2)),IF(AQ39&gt;0,$AR$45*AQ39/SUMIF($AQ$9:$AQ$40,"&gt;0"),IF(AU39&gt;0,$AV$45*AU39/SUMIF($AU$9:$AU$40,"&gt;0"),IF(AS39&gt;0,$AT$45*AS39/SUMIF($AS$9:$AS$40,"&gt;0"),""))),IF(SUMIF(AJ40:$AJ$40,"=" &amp; AJ39,AI40:$AI$40)=0,"",SUMIF(AJ40:$AJ$40,"=" &amp; AJ39,AI40:$AI$40)))</f>
        <v>#N/A</v>
      </c>
      <c r="AJ39" s="770" t="e">
        <f t="shared" si="34"/>
        <v>#N/A</v>
      </c>
      <c r="AK39" s="768" t="str">
        <f t="shared" si="27"/>
        <v/>
      </c>
      <c r="AL39" s="777" t="str">
        <f t="shared" si="28"/>
        <v/>
      </c>
      <c r="AM39" s="777" t="str">
        <f t="shared" si="35"/>
        <v/>
      </c>
      <c r="AN39" s="777" t="str">
        <f>IF(ISNUMBER(AH39),IF(AND(AB39=0,ISNUMBER(AC39),ISNUMBER(AL39)),1,""),"")</f>
        <v/>
      </c>
      <c r="AO39" s="777" t="e">
        <f t="shared" si="6"/>
        <v>#N/A</v>
      </c>
      <c r="AP39" s="768" t="str">
        <f t="shared" si="7"/>
        <v/>
      </c>
      <c r="AQ39" s="771">
        <f t="shared" si="29"/>
        <v>0</v>
      </c>
      <c r="AR39" s="772" t="str">
        <f t="shared" si="8"/>
        <v/>
      </c>
      <c r="AS39" s="773">
        <f t="shared" si="30"/>
        <v>0</v>
      </c>
      <c r="AT39" s="772" t="str">
        <f t="shared" si="9"/>
        <v/>
      </c>
      <c r="AU39" s="774">
        <f t="shared" si="10"/>
        <v>0</v>
      </c>
      <c r="AV39" s="775" t="str">
        <f t="shared" si="11"/>
        <v/>
      </c>
      <c r="AW39" s="774" t="b">
        <f t="shared" si="12"/>
        <v>0</v>
      </c>
      <c r="AX39" s="776" t="b">
        <f t="shared" si="13"/>
        <v>0</v>
      </c>
      <c r="AY39" s="774" t="b">
        <f t="shared" si="14"/>
        <v>0</v>
      </c>
      <c r="AZ39" s="776" t="b">
        <f t="shared" si="15"/>
        <v>0</v>
      </c>
      <c r="BA39" s="768" t="b">
        <f t="shared" si="16"/>
        <v>0</v>
      </c>
      <c r="BB39" s="768" t="b">
        <f t="shared" si="17"/>
        <v>0</v>
      </c>
      <c r="BC39" s="774" t="b">
        <f t="shared" si="18"/>
        <v>0</v>
      </c>
      <c r="BD39" s="777" t="b">
        <f t="shared" si="31"/>
        <v>0</v>
      </c>
      <c r="BE39" s="776" t="b">
        <f t="shared" si="37"/>
        <v>0</v>
      </c>
      <c r="BF39" s="778" t="b">
        <f t="shared" si="39"/>
        <v>0</v>
      </c>
      <c r="BG39" s="779" t="str">
        <f t="shared" si="38"/>
        <v>NA</v>
      </c>
      <c r="BH39" s="779" t="str">
        <f t="shared" si="32"/>
        <v/>
      </c>
      <c r="BI39" s="779" t="str">
        <f t="shared" si="22"/>
        <v/>
      </c>
      <c r="BJ39" s="779" t="str">
        <f t="shared" si="23"/>
        <v/>
      </c>
      <c r="BK39" s="779" t="str">
        <f t="shared" si="24"/>
        <v/>
      </c>
      <c r="BL39" s="780" t="str">
        <f t="shared" si="33"/>
        <v/>
      </c>
      <c r="BM39" s="779" t="str">
        <f t="shared" si="25"/>
        <v/>
      </c>
      <c r="BN39" s="779" t="str">
        <f t="shared" si="26"/>
        <v/>
      </c>
      <c r="BO39" s="782" t="s">
        <v>373</v>
      </c>
      <c r="BP39" s="782"/>
      <c r="BQ39" s="782"/>
      <c r="BR39" s="782"/>
      <c r="BS39" s="782"/>
      <c r="BT39" s="782"/>
      <c r="BU39" s="782"/>
    </row>
    <row r="40" spans="2:73 1271:1271" s="731" customFormat="1" ht="12.95" customHeight="1" thickBot="1" x14ac:dyDescent="0.3">
      <c r="B40" s="783" t="str">
        <f>IF(ISNA(Z40),"",IF(OR(Z40=1,Z40=2),"    ",MAX($B$9:B39)+1))</f>
        <v/>
      </c>
      <c r="C40" s="1116" t="str">
        <f t="shared" si="40"/>
        <v/>
      </c>
      <c r="D40" s="1116"/>
      <c r="E40" s="1116"/>
      <c r="F40" s="1117"/>
      <c r="G40" s="808" t="str">
        <f t="shared" si="1"/>
        <v/>
      </c>
      <c r="H40" s="764" t="str">
        <f t="shared" si="2"/>
        <v/>
      </c>
      <c r="I40" s="809" t="str">
        <f t="shared" si="2"/>
        <v/>
      </c>
      <c r="J40" s="810"/>
      <c r="K40" s="811"/>
      <c r="L40" s="1137"/>
      <c r="M40" s="1138"/>
      <c r="N40" s="1138"/>
      <c r="O40" s="1138"/>
      <c r="P40" s="1138"/>
      <c r="Q40" s="1138"/>
      <c r="R40" s="1139"/>
      <c r="T40" s="727">
        <v>32</v>
      </c>
      <c r="U40" s="716" t="e">
        <v>#N/A</v>
      </c>
      <c r="V40" s="768" t="e">
        <v>#N/A</v>
      </c>
      <c r="W40" s="768" t="e">
        <v>#N/A</v>
      </c>
      <c r="X40" s="768" t="e">
        <v>#N/A</v>
      </c>
      <c r="Y40" s="768" t="e">
        <v>#N/A</v>
      </c>
      <c r="Z40" s="777" t="e">
        <v>#N/A</v>
      </c>
      <c r="AA40" s="777" t="e">
        <v>#N/A</v>
      </c>
      <c r="AB40" s="777" t="e">
        <v>#N/A</v>
      </c>
      <c r="AC40" s="768" t="e">
        <v>#N/A</v>
      </c>
      <c r="AD40" s="768" t="e">
        <v>#N/A</v>
      </c>
      <c r="AE40" s="768" t="e">
        <v>#N/A</v>
      </c>
      <c r="AF40" s="768" t="e">
        <v>#N/A</v>
      </c>
      <c r="AG40" s="768" t="e">
        <f t="shared" si="3"/>
        <v>#N/A</v>
      </c>
      <c r="AH40" s="768" t="str">
        <f t="shared" si="4"/>
        <v/>
      </c>
      <c r="AI40" s="769" t="e">
        <f>IF(NOT(OR(Z40=1,Z40=2)),IF(AQ40&gt;0,$AR$45*AQ40/SUMIF($AQ$9:$AQ$40,"&gt;0"),IF(AU40&gt;0,$AV$45*AU40/SUMIF($AU$9:$AU$40,"&gt;0"),IF(AS40&gt;0,$AT$45*AS40/SUMIF($AS$9:$AS$40,"&gt;0"),""))),IF(SUMIF(AJ$40:$AJ41,"=" &amp; AJ40,AI$40:$AI41)=0,"",SUMIF(AJ$40:$AJ41,"=" &amp; AJ40,AI$40:$AI41)))</f>
        <v>#N/A</v>
      </c>
      <c r="AJ40" s="770" t="e">
        <f t="shared" si="34"/>
        <v>#N/A</v>
      </c>
      <c r="AK40" s="768" t="str">
        <f t="shared" si="27"/>
        <v/>
      </c>
      <c r="AL40" s="777" t="str">
        <f t="shared" si="28"/>
        <v/>
      </c>
      <c r="AM40" s="777" t="str">
        <f t="shared" si="35"/>
        <v/>
      </c>
      <c r="AN40" s="777" t="str">
        <f>IF(ISNUMBER(AH40),IF(AND(AB40=0,ISNUMBER(AC40),ISNUMBER(AL40)),1,""),"")</f>
        <v/>
      </c>
      <c r="AO40" s="777" t="e">
        <f t="shared" si="6"/>
        <v>#N/A</v>
      </c>
      <c r="AP40" s="768" t="str">
        <f t="shared" si="7"/>
        <v/>
      </c>
      <c r="AQ40" s="771">
        <f t="shared" si="29"/>
        <v>0</v>
      </c>
      <c r="AR40" s="772" t="str">
        <f t="shared" si="8"/>
        <v/>
      </c>
      <c r="AS40" s="773">
        <f t="shared" si="30"/>
        <v>0</v>
      </c>
      <c r="AT40" s="772" t="str">
        <f t="shared" si="9"/>
        <v/>
      </c>
      <c r="AU40" s="774">
        <f t="shared" si="10"/>
        <v>0</v>
      </c>
      <c r="AV40" s="775" t="str">
        <f t="shared" si="11"/>
        <v/>
      </c>
      <c r="AW40" s="774" t="b">
        <f t="shared" si="12"/>
        <v>0</v>
      </c>
      <c r="AX40" s="776" t="b">
        <f t="shared" si="13"/>
        <v>0</v>
      </c>
      <c r="AY40" s="774" t="b">
        <f t="shared" si="14"/>
        <v>0</v>
      </c>
      <c r="AZ40" s="776" t="b">
        <f t="shared" si="15"/>
        <v>0</v>
      </c>
      <c r="BA40" s="768" t="b">
        <f t="shared" si="16"/>
        <v>0</v>
      </c>
      <c r="BB40" s="768" t="b">
        <f t="shared" si="17"/>
        <v>0</v>
      </c>
      <c r="BC40" s="774" t="b">
        <f t="shared" si="18"/>
        <v>0</v>
      </c>
      <c r="BD40" s="777" t="b">
        <f t="shared" si="31"/>
        <v>0</v>
      </c>
      <c r="BE40" s="776" t="b">
        <f t="shared" si="37"/>
        <v>0</v>
      </c>
      <c r="BF40" s="778" t="b">
        <f t="shared" si="39"/>
        <v>0</v>
      </c>
      <c r="BG40" s="779" t="str">
        <f t="shared" si="38"/>
        <v>NA</v>
      </c>
      <c r="BH40" s="779" t="str">
        <f t="shared" si="32"/>
        <v/>
      </c>
      <c r="BI40" s="779" t="str">
        <f t="shared" si="22"/>
        <v/>
      </c>
      <c r="BJ40" s="779" t="str">
        <f t="shared" si="23"/>
        <v/>
      </c>
      <c r="BK40" s="779" t="str">
        <f t="shared" si="24"/>
        <v/>
      </c>
      <c r="BL40" s="779" t="str">
        <f t="shared" si="33"/>
        <v/>
      </c>
      <c r="BM40" s="779" t="str">
        <f t="shared" si="25"/>
        <v/>
      </c>
      <c r="BN40" s="779" t="str">
        <f t="shared" si="26"/>
        <v/>
      </c>
      <c r="BO40" s="1142"/>
      <c r="BP40" s="1143"/>
      <c r="BQ40" s="1143"/>
      <c r="BR40" s="1143"/>
      <c r="BS40" s="1143"/>
      <c r="BT40" s="1143"/>
      <c r="BU40" s="1144"/>
    </row>
    <row r="41" spans="2:73 1271:1271" s="720" customFormat="1" ht="8.25" customHeight="1" x14ac:dyDescent="0.25">
      <c r="B41" s="1151" t="s">
        <v>374</v>
      </c>
      <c r="C41" s="1152"/>
      <c r="D41" s="1153"/>
      <c r="E41" s="812" t="s">
        <v>375</v>
      </c>
      <c r="F41" s="1154" t="s">
        <v>376</v>
      </c>
      <c r="G41" s="1155"/>
      <c r="H41" s="1155" t="s">
        <v>377</v>
      </c>
      <c r="I41" s="1155"/>
      <c r="J41" s="1156" t="s">
        <v>378</v>
      </c>
      <c r="K41" s="1157"/>
      <c r="L41" s="813" t="s">
        <v>379</v>
      </c>
      <c r="M41" s="1158" t="s">
        <v>380</v>
      </c>
      <c r="N41" s="1158"/>
      <c r="O41" s="1159" t="str">
        <f>IF(U45,"DO REVIEW","DO REV N/A")</f>
        <v>DO REV N/A</v>
      </c>
      <c r="P41" s="1160"/>
      <c r="Q41" s="814" t="str">
        <f>IF(U46,"ED REVIEW","ED REV N/A")</f>
        <v>ED REVIEW</v>
      </c>
      <c r="R41" s="815"/>
      <c r="S41" s="816">
        <v>0</v>
      </c>
      <c r="AI41" s="817"/>
      <c r="AJ41" s="721"/>
      <c r="AK41" s="721"/>
      <c r="AL41" s="721"/>
      <c r="AM41" s="721"/>
      <c r="AN41" s="721"/>
      <c r="AO41" s="718"/>
      <c r="AP41" s="721"/>
      <c r="AQ41" s="818"/>
      <c r="AR41" s="721"/>
      <c r="AS41" s="818"/>
      <c r="AT41" s="721"/>
      <c r="AU41" s="818"/>
      <c r="AV41" s="819"/>
      <c r="AW41" s="721"/>
      <c r="AX41" s="721"/>
      <c r="AY41" s="721"/>
      <c r="AZ41" s="721"/>
      <c r="BA41" s="721"/>
      <c r="BB41" s="721"/>
      <c r="BC41" s="721"/>
      <c r="BD41" s="721"/>
      <c r="BE41" s="721"/>
      <c r="BF41" s="721"/>
      <c r="BG41" s="721"/>
      <c r="BH41" s="718"/>
      <c r="BI41" s="718"/>
      <c r="BJ41" s="718"/>
      <c r="BK41" s="718"/>
      <c r="BL41" s="718"/>
      <c r="BM41" s="718"/>
      <c r="BN41" s="718"/>
      <c r="BO41" s="1145"/>
      <c r="BP41" s="1146"/>
      <c r="BQ41" s="1146"/>
      <c r="BR41" s="1146"/>
      <c r="BS41" s="1146"/>
      <c r="BT41" s="1146"/>
      <c r="BU41" s="1147"/>
    </row>
    <row r="42" spans="2:73 1271:1271" ht="18.75" customHeight="1" thickBot="1" x14ac:dyDescent="0.3">
      <c r="B42" s="1161" t="str">
        <f>IF(ISERROR(AR47),"",TEXT(AR46,"0.0%"))</f>
        <v>0.0%</v>
      </c>
      <c r="C42" s="1162"/>
      <c r="D42" s="1163"/>
      <c r="E42" s="820" t="str">
        <f>IF(AU42=0,"N/A",CONCATENATE(TEXT(AV46,"0.0%")," of ",TEXT(AV45,"0.0%")))</f>
        <v>N/A</v>
      </c>
      <c r="F42" s="1165" t="str">
        <f>IF((graded_aca_events+graded_amn_events)&lt;1,"---",IF(AND(AW5,AX5),"INCOMPLETE",IF(AND(NOT(AW5),AX5),"ACA INC",IF(AND(AW5,NOT(AX5)),"AMN INC","COMPLETE"))))</f>
        <v>---</v>
      </c>
      <c r="G42" s="1165"/>
      <c r="H42" s="1165" t="str">
        <f>IF(AU5,IF(OR(AY5="UNK",NOT(AN7)),"---",IF(AY5,"UNSAT",IF(AVERAGEIFS(AT9:AT40,AS9:AS40,"&gt;0")&lt;0.9,"MARG","SAT"))),"N/A")</f>
        <v>N/A</v>
      </c>
      <c r="I42" s="1165"/>
      <c r="J42" s="1166" t="str">
        <f>IF(OR(AZ5="UNK",NOT(AM7)),"---",IF(OR(AZ5,AR46&lt;0.7),"FAIL","PASS"))</f>
        <v>---</v>
      </c>
      <c r="K42" s="1167"/>
      <c r="L42" s="821"/>
      <c r="M42" s="1168"/>
      <c r="N42" s="1168"/>
      <c r="O42" s="1306" t="s">
        <v>265</v>
      </c>
      <c r="P42" s="1306"/>
      <c r="Q42" s="1306" t="s">
        <v>265</v>
      </c>
      <c r="R42" s="1307"/>
      <c r="S42" s="802"/>
      <c r="T42" s="727" t="s">
        <v>381</v>
      </c>
      <c r="U42" s="777" t="s">
        <v>382</v>
      </c>
      <c r="V42" s="822"/>
      <c r="W42" s="822"/>
      <c r="X42" s="822"/>
      <c r="Y42" s="822"/>
      <c r="Z42" s="822"/>
      <c r="AA42" s="822"/>
      <c r="AB42" s="822"/>
      <c r="AC42" s="822"/>
      <c r="AD42" s="822"/>
      <c r="AE42" s="822"/>
      <c r="AF42" s="822"/>
      <c r="AG42" s="822"/>
      <c r="AH42" s="822"/>
      <c r="AI42" s="713"/>
      <c r="AJ42" s="712"/>
      <c r="AK42" s="822"/>
      <c r="AL42" s="822"/>
      <c r="AM42" s="822">
        <f>SUM(AM9:AM40)</f>
        <v>0</v>
      </c>
      <c r="AN42" s="822">
        <f>SUM(AN9:AN40)</f>
        <v>0</v>
      </c>
      <c r="AO42" s="727"/>
      <c r="AP42" s="712"/>
      <c r="AQ42" s="823">
        <f>SUMIF(AQ9:AQ40,"&gt;0")</f>
        <v>33.333332260000006</v>
      </c>
      <c r="AR42" s="824">
        <f>IF(AQ42=0,0,SUMPRODUCT($AQ$9:$AQ$40,AR9:AR40)/SUM($AQ$9:$AQ$40))</f>
        <v>0</v>
      </c>
      <c r="AS42" s="825">
        <f>SUMIF(AS9:AS40,"&gt;0")</f>
        <v>0</v>
      </c>
      <c r="AT42" s="824">
        <f>IF(AS42=0,0,SUMPRODUCT($AS$9:$AS$40,AT9:AT40)/SUM($AS$9:$AS$40))</f>
        <v>0</v>
      </c>
      <c r="AU42" s="825">
        <f>SUM(AU10:AU40)</f>
        <v>0</v>
      </c>
      <c r="AV42" s="824">
        <f>IF(AU42=0,0,SUMPRODUCT($AU$9:$AU$40,AV9:AV40)/SUM($AU$9:$AU$40))</f>
        <v>0</v>
      </c>
      <c r="AW42" s="826"/>
      <c r="AX42" s="826"/>
      <c r="AY42" s="826"/>
      <c r="AZ42" s="826"/>
      <c r="BA42" s="826"/>
      <c r="BB42" s="826"/>
      <c r="BC42" s="716" t="s">
        <v>383</v>
      </c>
      <c r="BD42" s="716" t="s">
        <v>384</v>
      </c>
      <c r="BE42" s="716" t="s">
        <v>385</v>
      </c>
      <c r="BF42" s="716"/>
      <c r="BG42" s="718"/>
      <c r="BO42" s="1145"/>
      <c r="BP42" s="1146"/>
      <c r="BQ42" s="1146"/>
      <c r="BR42" s="1146"/>
      <c r="BS42" s="1146"/>
      <c r="BT42" s="1146"/>
      <c r="BU42" s="1147"/>
      <c r="AVW42" s="827"/>
    </row>
    <row r="43" spans="2:73 1271:1271" ht="7.5" customHeight="1" thickTop="1" x14ac:dyDescent="0.25">
      <c r="L43" s="1164" t="s">
        <v>889</v>
      </c>
      <c r="M43" s="1164"/>
      <c r="N43" s="1164"/>
      <c r="O43" s="1164"/>
      <c r="P43" s="1164"/>
      <c r="Q43" s="1164"/>
      <c r="R43" s="1164"/>
      <c r="AP43" s="822"/>
      <c r="AQ43" s="712"/>
      <c r="AR43" s="712"/>
      <c r="AT43" s="824"/>
      <c r="AU43" s="824"/>
      <c r="AV43" s="824"/>
      <c r="AW43" s="712"/>
      <c r="AX43" s="824"/>
      <c r="BE43" s="716"/>
      <c r="BF43" s="716"/>
      <c r="BO43" s="1148"/>
      <c r="BP43" s="1149"/>
      <c r="BQ43" s="1149"/>
      <c r="BR43" s="1149"/>
      <c r="BS43" s="1149"/>
      <c r="BT43" s="1149"/>
      <c r="BU43" s="1150"/>
    </row>
    <row r="44" spans="2:73 1271:1271" ht="30.75" customHeight="1" x14ac:dyDescent="0.25">
      <c r="T44" s="828" t="s">
        <v>386</v>
      </c>
      <c r="U44" s="777" t="b">
        <v>0</v>
      </c>
      <c r="AI44" s="717">
        <f ca="1">SUMIF(AJ9:$AJ$40,"=" &amp; AJ9,AI10:$AI$40)</f>
        <v>0.69999999153999959</v>
      </c>
      <c r="AK44" s="718"/>
      <c r="AL44" s="718"/>
      <c r="AM44" s="718"/>
      <c r="AN44" s="718"/>
      <c r="AO44" s="829"/>
      <c r="AQ44" s="718"/>
      <c r="AR44" s="718"/>
      <c r="AS44" s="748" t="s">
        <v>387</v>
      </c>
      <c r="AT44" s="830">
        <f>SUMIF(X9:X40,"&gt;0")/SUMIF(W9:W40,"&gt;0")</f>
        <v>0</v>
      </c>
      <c r="AU44" s="748" t="s">
        <v>388</v>
      </c>
      <c r="AV44" s="831">
        <f>SUMIF(AU9:AU40,"&gt;0")/SUMIF(AQ9:AQ40,"&gt;0")</f>
        <v>0</v>
      </c>
      <c r="AW44" s="832"/>
      <c r="AY44" s="718"/>
      <c r="AZ44" s="718"/>
      <c r="BE44" s="716" t="b">
        <f>AND(ISBLANK($K31),J31&gt;0)</f>
        <v>0</v>
      </c>
      <c r="BF44" s="716"/>
      <c r="BH44" s="716"/>
      <c r="BO44" s="718"/>
      <c r="BP44" s="718"/>
      <c r="BQ44" s="719"/>
    </row>
    <row r="45" spans="2:73 1271:1271" ht="30.75" customHeight="1" x14ac:dyDescent="0.25">
      <c r="J45" s="833"/>
      <c r="T45" s="834" t="s">
        <v>389</v>
      </c>
      <c r="U45" s="716" t="b">
        <f>IF(AND(Flight?,OR(AW5,AY5,BA5,AZ5,AR46&lt;0.7,H42="MARG")),TRUE,FALSE)</f>
        <v>0</v>
      </c>
      <c r="AK45" s="718"/>
      <c r="AL45" s="718"/>
      <c r="AM45" s="718"/>
      <c r="AN45" s="718"/>
      <c r="AO45" s="835"/>
      <c r="AP45" s="718"/>
      <c r="AQ45" s="748" t="s">
        <v>390</v>
      </c>
      <c r="AR45" s="836">
        <f>1-AT45</f>
        <v>1</v>
      </c>
      <c r="AS45" s="748" t="s">
        <v>391</v>
      </c>
      <c r="AT45" s="830">
        <f>MIN(AT44,AT7)</f>
        <v>0</v>
      </c>
      <c r="AU45" s="748" t="s">
        <v>392</v>
      </c>
      <c r="AV45" s="837">
        <f>MIN(AV44,AV7)</f>
        <v>0</v>
      </c>
      <c r="AZ45" s="718"/>
      <c r="BE45" s="716"/>
      <c r="BF45" s="716"/>
      <c r="BH45" s="716"/>
      <c r="BO45" s="718"/>
      <c r="BP45" s="718"/>
      <c r="BQ45" s="719"/>
    </row>
    <row r="46" spans="2:73 1271:1271" ht="26.25" x14ac:dyDescent="0.25">
      <c r="T46" s="834" t="s">
        <v>393</v>
      </c>
      <c r="U46" s="716" t="b">
        <f>IF(OR(AX5,AY5,AZ5,BB5,AR46&lt;0.7),TRUE,FALSE)</f>
        <v>1</v>
      </c>
      <c r="AK46" s="718"/>
      <c r="AL46" s="718"/>
      <c r="AM46" s="718"/>
      <c r="AN46" s="718"/>
      <c r="AO46" s="838"/>
      <c r="AP46" s="718"/>
      <c r="AQ46" s="748" t="s">
        <v>394</v>
      </c>
      <c r="AR46" s="717">
        <f>AR42*(1-AT45)+(AT42*AT45)</f>
        <v>0</v>
      </c>
      <c r="AU46" s="718" t="s">
        <v>324</v>
      </c>
      <c r="AV46" s="837">
        <f>AV42*AV45</f>
        <v>0</v>
      </c>
      <c r="AY46" s="718"/>
      <c r="AZ46" s="718"/>
      <c r="BE46" s="716"/>
      <c r="BF46" s="716"/>
      <c r="BH46" s="716"/>
      <c r="BO46" s="718"/>
      <c r="BP46" s="718"/>
      <c r="BQ46" s="719"/>
    </row>
    <row r="47" spans="2:73 1271:1271" ht="26.25" x14ac:dyDescent="0.25">
      <c r="T47" s="834" t="s">
        <v>395</v>
      </c>
      <c r="U47" s="716" t="b">
        <v>0</v>
      </c>
      <c r="AK47" s="718"/>
      <c r="AL47" s="718"/>
      <c r="AM47" s="718"/>
      <c r="AN47" s="718"/>
      <c r="AO47" s="838"/>
      <c r="AP47" s="718"/>
      <c r="AQ47" s="748" t="s">
        <v>396</v>
      </c>
      <c r="AR47" s="837">
        <f>MIN(1,IF(NOT(OR(AY5,AZ5)),AR46+AV46,MIN(0.69,AR46+AV46)))</f>
        <v>0</v>
      </c>
      <c r="AY47" s="718"/>
      <c r="BE47" s="716"/>
      <c r="BF47" s="716"/>
      <c r="BI47" s="716"/>
      <c r="BO47" s="718"/>
      <c r="BP47" s="718"/>
      <c r="BQ47" s="719"/>
    </row>
    <row r="48" spans="2:73 1271:1271" x14ac:dyDescent="0.25">
      <c r="T48" s="834" t="s">
        <v>397</v>
      </c>
      <c r="U48" s="716" t="b">
        <f>IF(NOT(Flight?),TRUE,NOT(OR(ISBLANK(comments),ISBLANK(hdr_class),ISBLANK(hdr_date),ISBLANK(hdr_stud),ISBLANK(hdr_instr),ISBLANK(hdr_acft),ISBLANK(hdr_time),F42="---")))</f>
        <v>1</v>
      </c>
      <c r="AK48" s="718"/>
      <c r="AL48" s="718"/>
      <c r="AM48" s="718"/>
      <c r="AN48" s="718"/>
      <c r="AO48" s="838"/>
      <c r="AP48" s="718"/>
      <c r="AQ48" s="718"/>
      <c r="AR48" s="839"/>
      <c r="AS48" s="837"/>
      <c r="AU48" s="718"/>
      <c r="AV48" s="718"/>
      <c r="AW48" s="718"/>
    </row>
    <row r="49" spans="20:56" x14ac:dyDescent="0.25">
      <c r="T49" s="834" t="s">
        <v>398</v>
      </c>
      <c r="U49" s="716" t="b">
        <f>IF(Flight?,TRUE,NOT(OR(ISBLANK(comments),ISBLANK(hdr_class),ISBLANK(hdr_date),ISBLANK(hdr_stud),ISBLANK(hdr_instr),F42="---")))</f>
        <v>0</v>
      </c>
      <c r="AK49" s="718"/>
      <c r="AL49" s="718"/>
      <c r="AM49" s="718"/>
      <c r="AN49" s="718"/>
      <c r="AO49" s="835"/>
      <c r="AP49" s="712" t="s">
        <v>399</v>
      </c>
      <c r="AQ49" s="712"/>
      <c r="AR49" s="712"/>
      <c r="AS49" s="712"/>
      <c r="AT49" s="712"/>
      <c r="AU49" s="718"/>
      <c r="AV49" s="718"/>
      <c r="AW49" s="718"/>
    </row>
    <row r="50" spans="20:56" x14ac:dyDescent="0.25">
      <c r="T50" s="834" t="s">
        <v>400</v>
      </c>
      <c r="U50" s="716" t="b">
        <f>AND(U48:U49)</f>
        <v>0</v>
      </c>
      <c r="AK50" s="718"/>
      <c r="AL50" s="718"/>
      <c r="AM50" s="718"/>
      <c r="AN50" s="718"/>
      <c r="AO50" s="835"/>
      <c r="AP50" s="712"/>
      <c r="AQ50" s="712"/>
      <c r="AR50" s="712">
        <v>0</v>
      </c>
      <c r="AS50" s="712">
        <v>1</v>
      </c>
      <c r="AT50" s="712">
        <v>2</v>
      </c>
      <c r="AU50" s="712">
        <v>3</v>
      </c>
      <c r="AV50" s="712">
        <v>4</v>
      </c>
      <c r="AW50" s="718"/>
    </row>
    <row r="51" spans="20:56" x14ac:dyDescent="0.25">
      <c r="AK51" s="718"/>
      <c r="AL51" s="718"/>
      <c r="AM51" s="718"/>
      <c r="AN51" s="718"/>
      <c r="AO51" s="835"/>
      <c r="AP51" s="712" t="s">
        <v>359</v>
      </c>
      <c r="AQ51" s="712">
        <v>1</v>
      </c>
      <c r="AR51" s="840">
        <v>0.7</v>
      </c>
      <c r="AS51" s="840">
        <v>0.9</v>
      </c>
      <c r="AT51" s="840">
        <v>0.93330000000000002</v>
      </c>
      <c r="AU51" s="840">
        <v>0.9667</v>
      </c>
      <c r="AV51" s="840">
        <v>1</v>
      </c>
      <c r="AW51" s="718"/>
    </row>
    <row r="52" spans="20:56" x14ac:dyDescent="0.25">
      <c r="AK52" s="718"/>
      <c r="AL52" s="718"/>
      <c r="AM52" s="718"/>
      <c r="AN52" s="718"/>
      <c r="AO52" s="835"/>
      <c r="AP52" s="712" t="s">
        <v>360</v>
      </c>
      <c r="AQ52" s="712">
        <v>2</v>
      </c>
      <c r="AR52" s="840">
        <v>0.7</v>
      </c>
      <c r="AS52" s="840">
        <v>0.8</v>
      </c>
      <c r="AT52" s="840">
        <v>0.9</v>
      </c>
      <c r="AU52" s="840">
        <v>0.95</v>
      </c>
      <c r="AV52" s="840">
        <v>1</v>
      </c>
      <c r="AW52" s="718"/>
    </row>
    <row r="53" spans="20:56" x14ac:dyDescent="0.25">
      <c r="AK53" s="718"/>
      <c r="AL53" s="718"/>
      <c r="AM53" s="718"/>
      <c r="AN53" s="718"/>
      <c r="AO53" s="835"/>
      <c r="AP53" s="712" t="s">
        <v>361</v>
      </c>
      <c r="AQ53" s="712">
        <v>3</v>
      </c>
      <c r="AR53" s="840">
        <v>0.7</v>
      </c>
      <c r="AS53" s="840">
        <v>0.76670000000000005</v>
      </c>
      <c r="AT53" s="840">
        <v>0.83330000000000004</v>
      </c>
      <c r="AU53" s="840">
        <v>0.9</v>
      </c>
      <c r="AV53" s="840">
        <v>1</v>
      </c>
      <c r="AW53" s="718"/>
    </row>
    <row r="54" spans="20:56" x14ac:dyDescent="0.25">
      <c r="AP54" s="841" t="s">
        <v>362</v>
      </c>
      <c r="AQ54" s="712">
        <v>11</v>
      </c>
      <c r="AR54" s="840">
        <v>0.6</v>
      </c>
      <c r="AS54" s="840">
        <v>0.9</v>
      </c>
      <c r="AT54" s="840">
        <v>0.93330000000000002</v>
      </c>
      <c r="AU54" s="840">
        <v>0.9667</v>
      </c>
      <c r="AV54" s="840">
        <v>1</v>
      </c>
      <c r="AW54" s="718"/>
    </row>
    <row r="55" spans="20:56" x14ac:dyDescent="0.25">
      <c r="AP55" s="841" t="s">
        <v>363</v>
      </c>
      <c r="AQ55" s="712">
        <v>12</v>
      </c>
      <c r="AR55" s="840">
        <v>0.6</v>
      </c>
      <c r="AS55" s="840">
        <v>0.7</v>
      </c>
      <c r="AT55" s="840">
        <v>0.9</v>
      </c>
      <c r="AU55" s="840">
        <v>0.95</v>
      </c>
      <c r="AV55" s="840">
        <v>1</v>
      </c>
      <c r="AW55" s="718"/>
    </row>
    <row r="56" spans="20:56" x14ac:dyDescent="0.25">
      <c r="AP56" s="841" t="s">
        <v>364</v>
      </c>
      <c r="AQ56" s="712">
        <v>13</v>
      </c>
      <c r="AR56" s="840">
        <v>0.6</v>
      </c>
      <c r="AS56" s="840">
        <v>0.7</v>
      </c>
      <c r="AT56" s="840">
        <v>0.8</v>
      </c>
      <c r="AU56" s="840">
        <v>0.9</v>
      </c>
      <c r="AV56" s="840">
        <v>1</v>
      </c>
      <c r="AW56" s="718"/>
    </row>
    <row r="57" spans="20:56" x14ac:dyDescent="0.25">
      <c r="AP57" s="841" t="s">
        <v>365</v>
      </c>
      <c r="AQ57" s="712">
        <v>22</v>
      </c>
      <c r="AR57" s="840">
        <v>0.3</v>
      </c>
      <c r="AS57" s="840">
        <v>0.6</v>
      </c>
      <c r="AT57" s="840">
        <v>0.9</v>
      </c>
      <c r="AU57" s="840">
        <v>0.95</v>
      </c>
      <c r="AV57" s="840">
        <v>1</v>
      </c>
      <c r="AW57" s="718"/>
    </row>
    <row r="58" spans="20:56" x14ac:dyDescent="0.25">
      <c r="AP58" s="841" t="s">
        <v>366</v>
      </c>
      <c r="AQ58" s="712">
        <v>23</v>
      </c>
      <c r="AR58" s="840">
        <v>0.3</v>
      </c>
      <c r="AS58" s="840">
        <v>0.6</v>
      </c>
      <c r="AT58" s="840">
        <v>0.7</v>
      </c>
      <c r="AU58" s="840">
        <v>0.9</v>
      </c>
      <c r="AV58" s="840">
        <v>1</v>
      </c>
      <c r="AW58" s="718"/>
    </row>
    <row r="59" spans="20:56" x14ac:dyDescent="0.25">
      <c r="AP59" s="841" t="s">
        <v>367</v>
      </c>
      <c r="AQ59" s="712">
        <v>33</v>
      </c>
      <c r="AR59" s="840">
        <v>0</v>
      </c>
      <c r="AS59" s="840">
        <v>0.3</v>
      </c>
      <c r="AT59" s="840">
        <v>0.6</v>
      </c>
      <c r="AU59" s="840">
        <v>0.9</v>
      </c>
      <c r="AV59" s="840">
        <v>1</v>
      </c>
      <c r="AW59" s="85"/>
      <c r="AX59" s="88"/>
      <c r="BC59" s="88"/>
      <c r="BD59" s="88"/>
    </row>
    <row r="60" spans="20:56" x14ac:dyDescent="0.25">
      <c r="AP60" s="718"/>
      <c r="AQ60" s="718"/>
      <c r="AR60" s="718"/>
      <c r="AS60" s="718"/>
      <c r="AT60" s="718"/>
      <c r="AU60" s="718"/>
      <c r="AV60" s="718"/>
      <c r="AW60" s="88"/>
      <c r="AX60" s="88"/>
      <c r="BC60" s="88"/>
      <c r="BD60" s="88"/>
    </row>
    <row r="61" spans="20:56" x14ac:dyDescent="0.25">
      <c r="AP61" s="88"/>
      <c r="AQ61" s="85"/>
      <c r="AR61" s="88"/>
      <c r="AS61" s="88"/>
      <c r="AT61" s="88"/>
      <c r="AU61" s="88"/>
      <c r="AV61" s="88"/>
      <c r="AW61" s="85"/>
      <c r="AX61" s="85"/>
      <c r="BC61" s="88"/>
      <c r="BD61" s="88"/>
    </row>
    <row r="62" spans="20:56" x14ac:dyDescent="0.25">
      <c r="AP62" s="200"/>
      <c r="AQ62" s="85"/>
      <c r="AR62" s="88"/>
      <c r="AS62" s="88"/>
      <c r="AT62" s="88"/>
      <c r="AU62" s="88"/>
      <c r="AV62" s="88"/>
      <c r="AW62" s="85"/>
      <c r="AX62" s="85"/>
      <c r="BC62" s="88"/>
      <c r="BD62" s="88"/>
    </row>
    <row r="63" spans="20:56" x14ac:dyDescent="0.25">
      <c r="AP63" s="85"/>
      <c r="AQ63" s="85"/>
      <c r="AR63" s="88"/>
      <c r="AS63" s="88"/>
      <c r="AT63" s="88"/>
      <c r="AU63" s="88"/>
      <c r="AV63" s="88"/>
      <c r="AW63" s="85"/>
      <c r="AX63" s="85"/>
      <c r="BC63" s="88"/>
      <c r="BD63" s="88"/>
    </row>
    <row r="64" spans="20:56" x14ac:dyDescent="0.25">
      <c r="AP64" s="85"/>
      <c r="AQ64" s="85"/>
      <c r="AR64" s="88"/>
      <c r="AS64" s="88"/>
      <c r="AT64" s="88"/>
      <c r="AU64" s="88"/>
      <c r="AV64" s="88"/>
      <c r="AW64" s="85"/>
      <c r="AX64" s="88"/>
      <c r="BC64" s="88"/>
      <c r="BD64" s="88"/>
    </row>
    <row r="65" spans="42:56" x14ac:dyDescent="0.25">
      <c r="AP65" s="85"/>
      <c r="AQ65" s="85"/>
      <c r="AR65" s="88"/>
      <c r="AS65" s="88"/>
      <c r="AT65" s="88"/>
      <c r="AU65" s="88"/>
      <c r="AV65" s="88"/>
      <c r="AW65" s="85"/>
      <c r="AX65" s="88"/>
      <c r="BC65" s="88"/>
      <c r="BD65" s="88"/>
    </row>
    <row r="66" spans="42:56" x14ac:dyDescent="0.25">
      <c r="AP66" s="85"/>
      <c r="AQ66" s="85"/>
      <c r="AR66" s="88"/>
      <c r="AS66" s="88"/>
      <c r="AT66" s="88"/>
      <c r="AU66" s="88"/>
      <c r="AV66" s="88"/>
    </row>
    <row r="67" spans="42:56" x14ac:dyDescent="0.25">
      <c r="AP67" s="85"/>
      <c r="AQ67" s="85"/>
      <c r="AR67" s="88"/>
      <c r="AS67" s="88"/>
      <c r="AT67" s="88"/>
      <c r="AU67" s="88"/>
      <c r="AV67" s="88"/>
    </row>
  </sheetData>
  <sheetProtection algorithmName="SHA-512" hashValue="TLgMJzwt/kcE0I5YxaI3i0ilS1kzfgO/Hpdli20IHUnOvb9qe0oIf7Py45jkvTOWkLCQ58Lpms7/unMwu/wTuw==" saltValue="L0Fqg3li37AEC3CYmB3OqA==" spinCount="100000" sheet="1"/>
  <mergeCells count="76">
    <mergeCell ref="C40:F40"/>
    <mergeCell ref="BO40:BU43"/>
    <mergeCell ref="B41:D41"/>
    <mergeCell ref="F41:G41"/>
    <mergeCell ref="H41:I41"/>
    <mergeCell ref="J41:K41"/>
    <mergeCell ref="M41:N41"/>
    <mergeCell ref="O41:P41"/>
    <mergeCell ref="B42:D42"/>
    <mergeCell ref="L43:R43"/>
    <mergeCell ref="F42:G42"/>
    <mergeCell ref="H42:I42"/>
    <mergeCell ref="J42:K42"/>
    <mergeCell ref="M42:N42"/>
    <mergeCell ref="O42:P42"/>
    <mergeCell ref="Q42:R42"/>
    <mergeCell ref="BO35:BU38"/>
    <mergeCell ref="C36:F36"/>
    <mergeCell ref="C37:F37"/>
    <mergeCell ref="C38:F38"/>
    <mergeCell ref="C39:F39"/>
    <mergeCell ref="BQ20:BU20"/>
    <mergeCell ref="C21:F21"/>
    <mergeCell ref="C22:F22"/>
    <mergeCell ref="BO22:BO30"/>
    <mergeCell ref="C23:F23"/>
    <mergeCell ref="C24:F24"/>
    <mergeCell ref="C25:F25"/>
    <mergeCell ref="C26:F26"/>
    <mergeCell ref="C27:F27"/>
    <mergeCell ref="C28:F28"/>
    <mergeCell ref="C29:F29"/>
    <mergeCell ref="C30:F30"/>
    <mergeCell ref="C33:F33"/>
    <mergeCell ref="C34:F34"/>
    <mergeCell ref="C35:F35"/>
    <mergeCell ref="C14:F14"/>
    <mergeCell ref="C15:F15"/>
    <mergeCell ref="C16:F16"/>
    <mergeCell ref="C17:F17"/>
    <mergeCell ref="C32:F32"/>
    <mergeCell ref="C19:F19"/>
    <mergeCell ref="C20:F20"/>
    <mergeCell ref="C31:F31"/>
    <mergeCell ref="Q6:R6"/>
    <mergeCell ref="B7:E7"/>
    <mergeCell ref="F7:G7"/>
    <mergeCell ref="H7:L7"/>
    <mergeCell ref="C18:F18"/>
    <mergeCell ref="M7:N7"/>
    <mergeCell ref="O7:P7"/>
    <mergeCell ref="Q7:R7"/>
    <mergeCell ref="B8:F8"/>
    <mergeCell ref="L8:R8"/>
    <mergeCell ref="C9:F9"/>
    <mergeCell ref="L9:R40"/>
    <mergeCell ref="C10:F10"/>
    <mergeCell ref="C11:F11"/>
    <mergeCell ref="C12:F12"/>
    <mergeCell ref="C13:F13"/>
    <mergeCell ref="B4:G4"/>
    <mergeCell ref="H4:N4"/>
    <mergeCell ref="O4:P4"/>
    <mergeCell ref="Q4:R4"/>
    <mergeCell ref="BP4:BU5"/>
    <mergeCell ref="B5:G5"/>
    <mergeCell ref="H5:N5"/>
    <mergeCell ref="O5:P5"/>
    <mergeCell ref="Q5:R5"/>
    <mergeCell ref="BH5:BK7"/>
    <mergeCell ref="BL5:BN7"/>
    <mergeCell ref="B6:E6"/>
    <mergeCell ref="F6:G6"/>
    <mergeCell ref="H6:L6"/>
    <mergeCell ref="M6:N6"/>
    <mergeCell ref="O6:P6"/>
  </mergeCells>
  <conditionalFormatting sqref="B9:F40">
    <cfRule type="expression" dxfId="28" priority="9" stopIfTrue="1">
      <formula>IF($Z9=1,TRUE,FALSE)</formula>
    </cfRule>
    <cfRule type="expression" dxfId="27" priority="10">
      <formula>IF($Z9=2,TRUE,FALSE)</formula>
    </cfRule>
  </conditionalFormatting>
  <conditionalFormatting sqref="C9:F40">
    <cfRule type="expression" dxfId="26" priority="2" stopIfTrue="1">
      <formula>IF($AF9=FALSE,TRUE,FALSE)</formula>
    </cfRule>
  </conditionalFormatting>
  <conditionalFormatting sqref="F6:G7 M6:P7">
    <cfRule type="expression" dxfId="25" priority="5" stopIfTrue="1">
      <formula>NOT($AU$5)</formula>
    </cfRule>
  </conditionalFormatting>
  <conditionalFormatting sqref="F7:G7">
    <cfRule type="cellIs" dxfId="24" priority="4" operator="equal">
      <formula>""</formula>
    </cfRule>
  </conditionalFormatting>
  <conditionalFormatting sqref="G9:K40">
    <cfRule type="expression" dxfId="23" priority="7" stopIfTrue="1">
      <formula>IF($Z9=1,TRUE,FALSE)</formula>
    </cfRule>
    <cfRule type="expression" dxfId="22" priority="8" stopIfTrue="1">
      <formula>IF($Z9=2,TRUE,FALSE)</formula>
    </cfRule>
  </conditionalFormatting>
  <conditionalFormatting sqref="H9:H40">
    <cfRule type="expression" dxfId="21" priority="11" stopIfTrue="1">
      <formula>IF($AB9=0,TRUE,FALSE)</formula>
    </cfRule>
  </conditionalFormatting>
  <conditionalFormatting sqref="H41:I42">
    <cfRule type="expression" dxfId="20" priority="3" stopIfTrue="1">
      <formula>IF($H$42="N/A",TRUE,FALSE)</formula>
    </cfRule>
  </conditionalFormatting>
  <conditionalFormatting sqref="H7:P7 O5:R5 B7 L9">
    <cfRule type="containsBlanks" dxfId="19" priority="6">
      <formula>LEN(TRIM(B5))=0</formula>
    </cfRule>
  </conditionalFormatting>
  <conditionalFormatting sqref="J9:J40">
    <cfRule type="expression" dxfId="18" priority="15">
      <formula>IF($Z9=1,FALSE,OR($BE9,$BD9))</formula>
    </cfRule>
  </conditionalFormatting>
  <conditionalFormatting sqref="J9:K40 C9:F40">
    <cfRule type="expression" dxfId="17" priority="14">
      <formula>IF($Z9=1,FALSE,OR($AW9,$AX9,$AY9,$AZ9))</formula>
    </cfRule>
  </conditionalFormatting>
  <conditionalFormatting sqref="J9:K40">
    <cfRule type="expression" dxfId="16" priority="12" stopIfTrue="1">
      <formula>IF(ISNA($Z9),TRUE,FALSE)</formula>
    </cfRule>
  </conditionalFormatting>
  <conditionalFormatting sqref="K9:K40">
    <cfRule type="expression" dxfId="15" priority="13">
      <formula>IF(OR($Z9=1,$Z9=2),FALSE,OR($BC9,$BE9,$BF9))</formula>
    </cfRule>
  </conditionalFormatting>
  <conditionalFormatting sqref="L42">
    <cfRule type="expression" dxfId="14" priority="1">
      <formula>NOT($U$50)</formula>
    </cfRule>
  </conditionalFormatting>
  <dataValidations count="6">
    <dataValidation type="list" allowBlank="1" showInputMessage="1" showErrorMessage="1" sqref="F7:G7" xr:uid="{B09CD574-F58B-4B7D-AF5D-61CE2ADA87B8}">
      <formula1>"No,Yes"</formula1>
    </dataValidation>
    <dataValidation type="list" allowBlank="1" showInputMessage="1" showErrorMessage="1" sqref="J9:J40" xr:uid="{FB9D68D1-CB28-42D0-9541-8AF10882F408}">
      <formula1>"NA,0,1,2,3,4,5,6,7,8,9,10,11,12,13,14,15"</formula1>
    </dataValidation>
    <dataValidation type="list" allowBlank="1" showInputMessage="1" showErrorMessage="1" sqref="K9:K40" xr:uid="{98F7803E-B4B8-4337-92BA-DDBFBDE975F9}">
      <formula1>"D,0,1,2,3,4"</formula1>
    </dataValidation>
    <dataValidation showInputMessage="1" showErrorMessage="1" sqref="O42:R42" xr:uid="{018DB7D4-AD1E-4DCC-B586-941831CE14E7}"/>
    <dataValidation type="decimal" allowBlank="1" showInputMessage="1" showErrorMessage="1" sqref="O7:P7" xr:uid="{372E79CC-03A6-4340-B6DB-DF5D8D28270A}">
      <formula1>0</formula1>
      <formula2>10</formula2>
    </dataValidation>
    <dataValidation type="date" allowBlank="1" showInputMessage="1" showErrorMessage="1" sqref="Q5:R5" xr:uid="{5D14B0A7-65D2-470A-9CC8-694FF2CCC2EE}">
      <formula1>41151</formula1>
      <formula2>77433</formula2>
    </dataValidation>
  </dataValidations>
  <hyperlinks>
    <hyperlink ref="BP4" location="PF!A1" display="PF phase Summary Page" xr:uid="{965310C1-198F-40F9-84B6-BE47ABC418DA}"/>
    <hyperlink ref="BP4:BU5" location="TF!A1" display="TF Summary Page" xr:uid="{C1896B1C-8BB6-4768-BC4E-FF1E7B7A092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3346" r:id="rId3" name="IP_Signature">
              <controlPr defaultSize="0" print="0" autoFill="0" autoPict="0" macro="[0]!IP_signature">
                <anchor moveWithCells="1" sizeWithCells="1">
                  <from>
                    <xdr:col>11</xdr:col>
                    <xdr:colOff>0</xdr:colOff>
                    <xdr:row>41</xdr:row>
                    <xdr:rowOff>0</xdr:rowOff>
                  </from>
                  <to>
                    <xdr:col>12</xdr:col>
                    <xdr:colOff>0</xdr:colOff>
                    <xdr:row>42</xdr:row>
                    <xdr:rowOff>0</xdr:rowOff>
                  </to>
                </anchor>
              </controlPr>
            </control>
          </mc:Choice>
        </mc:AlternateContent>
        <mc:AlternateContent xmlns:mc="http://schemas.openxmlformats.org/markup-compatibility/2006">
          <mc:Choice Requires="x14">
            <control shapeId="313347" r:id="rId4" name="CCG_Click">
              <controlPr defaultSize="0" print="0" autoFill="0" autoPict="0" macro="[0]!CCG_Click">
                <anchor moveWithCells="1" sizeWithCells="1">
                  <from>
                    <xdr:col>4</xdr:col>
                    <xdr:colOff>0</xdr:colOff>
                    <xdr:row>42</xdr:row>
                    <xdr:rowOff>38100</xdr:rowOff>
                  </from>
                  <to>
                    <xdr:col>6</xdr:col>
                    <xdr:colOff>123825</xdr:colOff>
                    <xdr:row>43</xdr:row>
                    <xdr:rowOff>190500</xdr:rowOff>
                  </to>
                </anchor>
              </controlPr>
            </control>
          </mc:Choice>
        </mc:AlternateContent>
        <mc:AlternateContent xmlns:mc="http://schemas.openxmlformats.org/markup-compatibility/2006">
          <mc:Choice Requires="x14">
            <control shapeId="313348" r:id="rId5" name="MCG_Click">
              <controlPr defaultSize="0" print="0" autoFill="0" autoPict="0" macro="[0]!MCG_Click">
                <anchor moveWithCells="1" sizeWithCells="1">
                  <from>
                    <xdr:col>6</xdr:col>
                    <xdr:colOff>190500</xdr:colOff>
                    <xdr:row>42</xdr:row>
                    <xdr:rowOff>38100</xdr:rowOff>
                  </from>
                  <to>
                    <xdr:col>11</xdr:col>
                    <xdr:colOff>66675</xdr:colOff>
                    <xdr:row>43</xdr:row>
                    <xdr:rowOff>190500</xdr:rowOff>
                  </to>
                </anchor>
              </controlPr>
            </control>
          </mc:Choice>
        </mc:AlternateContent>
        <mc:AlternateContent xmlns:mc="http://schemas.openxmlformats.org/markup-compatibility/2006">
          <mc:Choice Requires="x14">
            <control shapeId="313349" r:id="rId6" name="DCG_Click">
              <controlPr defaultSize="0" print="0" autoFill="0" autoPict="0" macro="[0]!DCG_Click">
                <anchor moveWithCells="1" sizeWithCells="1">
                  <from>
                    <xdr:col>11</xdr:col>
                    <xdr:colOff>123825</xdr:colOff>
                    <xdr:row>42</xdr:row>
                    <xdr:rowOff>38100</xdr:rowOff>
                  </from>
                  <to>
                    <xdr:col>12</xdr:col>
                    <xdr:colOff>276225</xdr:colOff>
                    <xdr:row>43</xdr:row>
                    <xdr:rowOff>190500</xdr:rowOff>
                  </to>
                </anchor>
              </controlPr>
            </control>
          </mc:Choice>
        </mc:AlternateContent>
        <mc:AlternateContent xmlns:mc="http://schemas.openxmlformats.org/markup-compatibility/2006">
          <mc:Choice Requires="x14">
            <control shapeId="313350" r:id="rId7" name="PMC_Click">
              <controlPr defaultSize="0" print="0" autoFill="0" autoPict="0" macro="[0]!PMC_Click">
                <anchor moveWithCells="1" sizeWithCells="1">
                  <from>
                    <xdr:col>12</xdr:col>
                    <xdr:colOff>342900</xdr:colOff>
                    <xdr:row>42</xdr:row>
                    <xdr:rowOff>38100</xdr:rowOff>
                  </from>
                  <to>
                    <xdr:col>17</xdr:col>
                    <xdr:colOff>257175</xdr:colOff>
                    <xdr:row>43</xdr:row>
                    <xdr:rowOff>190500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9968FF-E03D-40DD-8D18-D118242EF8B7}">
  <sheetPr codeName="Sheet40">
    <tabColor rgb="FFFFFF00"/>
    <pageSetUpPr autoPageBreaks="0"/>
  </sheetPr>
  <dimension ref="B1:BU66"/>
  <sheetViews>
    <sheetView showGridLines="0" showRowColHeaders="0" topLeftCell="A2" zoomScaleNormal="100" zoomScaleSheetLayoutView="100" workbookViewId="0">
      <selection activeCell="BP3" sqref="BP3:BU4"/>
    </sheetView>
  </sheetViews>
  <sheetFormatPr defaultColWidth="9.140625" defaultRowHeight="12.75" x14ac:dyDescent="0.2"/>
  <cols>
    <col min="1" max="1" width="1.5703125" style="204" customWidth="1"/>
    <col min="2" max="2" width="3.5703125" style="204" customWidth="1"/>
    <col min="3" max="3" width="5.5703125" style="204" customWidth="1"/>
    <col min="4" max="4" width="9.140625" style="204" customWidth="1"/>
    <col min="5" max="5" width="14" style="204" customWidth="1"/>
    <col min="6" max="6" width="7.85546875" style="204" customWidth="1"/>
    <col min="7" max="11" width="5.140625" style="204" customWidth="1"/>
    <col min="12" max="12" width="21.5703125" style="204" customWidth="1"/>
    <col min="13" max="13" width="6.5703125" style="204" customWidth="1"/>
    <col min="14" max="14" width="12.5703125" style="204" customWidth="1"/>
    <col min="15" max="15" width="7.85546875" style="204" customWidth="1"/>
    <col min="16" max="16" width="2.7109375" style="204" customWidth="1"/>
    <col min="17" max="17" width="4.85546875" style="204" customWidth="1"/>
    <col min="18" max="18" width="7.28515625" style="204" customWidth="1"/>
    <col min="19" max="19" width="1.7109375" style="204" customWidth="1"/>
    <col min="20" max="20" width="19.140625" style="335" hidden="1" customWidth="1"/>
    <col min="21" max="21" width="31.140625" style="335" hidden="1" customWidth="1"/>
    <col min="22" max="22" width="5.140625" style="335" hidden="1" customWidth="1"/>
    <col min="23" max="24" width="6.28515625" style="335" hidden="1" customWidth="1"/>
    <col min="25" max="25" width="8.42578125" style="335" hidden="1" customWidth="1"/>
    <col min="26" max="26" width="7.85546875" style="335" hidden="1" customWidth="1"/>
    <col min="27" max="27" width="10.7109375" style="335" hidden="1" customWidth="1"/>
    <col min="28" max="28" width="8" style="335" hidden="1" customWidth="1"/>
    <col min="29" max="31" width="5.140625" style="335" hidden="1" customWidth="1"/>
    <col min="32" max="34" width="5.85546875" style="335" hidden="1" customWidth="1"/>
    <col min="35" max="35" width="8.5703125" style="336" hidden="1" customWidth="1"/>
    <col min="36" max="36" width="7" style="335" hidden="1" customWidth="1"/>
    <col min="37" max="38" width="5.28515625" style="335" hidden="1" customWidth="1"/>
    <col min="39" max="40" width="7" style="335" hidden="1" customWidth="1"/>
    <col min="41" max="41" width="5.140625" style="335" hidden="1" customWidth="1"/>
    <col min="42" max="42" width="11.28515625" style="335" hidden="1" customWidth="1"/>
    <col min="43" max="43" width="6.42578125" style="335" hidden="1" customWidth="1"/>
    <col min="44" max="44" width="8.28515625" style="335" hidden="1" customWidth="1"/>
    <col min="45" max="45" width="8.85546875" style="335" hidden="1" customWidth="1"/>
    <col min="46" max="46" width="10.7109375" style="335" hidden="1" customWidth="1"/>
    <col min="47" max="47" width="8.85546875" style="335" hidden="1" customWidth="1"/>
    <col min="48" max="48" width="6.28515625" style="335" hidden="1" customWidth="1"/>
    <col min="49" max="49" width="10" style="335" hidden="1" customWidth="1"/>
    <col min="50" max="50" width="7.5703125" style="335" hidden="1" customWidth="1"/>
    <col min="51" max="51" width="7" style="335" hidden="1" customWidth="1"/>
    <col min="52" max="52" width="8.140625" style="335" hidden="1" customWidth="1"/>
    <col min="53" max="53" width="12.5703125" style="335" hidden="1" customWidth="1"/>
    <col min="54" max="54" width="7.7109375" style="335" hidden="1" customWidth="1"/>
    <col min="55" max="55" width="12.7109375" style="335" hidden="1" customWidth="1"/>
    <col min="56" max="56" width="7" style="335" hidden="1" customWidth="1"/>
    <col min="57" max="57" width="15.5703125" style="335" hidden="1" customWidth="1"/>
    <col min="58" max="58" width="9.140625" style="335" hidden="1" customWidth="1"/>
    <col min="59" max="59" width="10" style="335" hidden="1" customWidth="1"/>
    <col min="60" max="60" width="5.28515625" style="335" hidden="1" customWidth="1"/>
    <col min="61" max="61" width="4" style="335" hidden="1" customWidth="1"/>
    <col min="62" max="62" width="4.7109375" style="335" hidden="1" customWidth="1"/>
    <col min="63" max="63" width="5.5703125" style="335" hidden="1" customWidth="1"/>
    <col min="64" max="64" width="5.28515625" style="335" hidden="1" customWidth="1"/>
    <col min="65" max="65" width="4" style="335" hidden="1" customWidth="1"/>
    <col min="66" max="66" width="5.5703125" style="335" hidden="1" customWidth="1"/>
    <col min="67" max="67" width="5.140625" style="244" customWidth="1"/>
    <col min="68" max="73" width="5.140625" style="204" customWidth="1"/>
    <col min="74" max="16384" width="9.140625" style="204"/>
  </cols>
  <sheetData>
    <row r="1" spans="2:73" s="332" customFormat="1" ht="12" hidden="1" x14ac:dyDescent="0.2">
      <c r="T1" s="333"/>
      <c r="U1" s="333"/>
      <c r="V1" s="333"/>
      <c r="W1" s="333"/>
      <c r="X1" s="333"/>
      <c r="Y1" s="333"/>
      <c r="Z1" s="333"/>
      <c r="AA1" s="333"/>
      <c r="AB1" s="333"/>
      <c r="AC1" s="333"/>
      <c r="AD1" s="333"/>
      <c r="AE1" s="333"/>
      <c r="AF1" s="333"/>
      <c r="AG1" s="333"/>
      <c r="AH1" s="333"/>
      <c r="AI1" s="334"/>
      <c r="AJ1" s="333"/>
      <c r="AK1" s="333"/>
      <c r="AL1" s="333"/>
      <c r="AM1" s="333"/>
      <c r="AN1" s="333"/>
      <c r="AO1" s="333"/>
      <c r="AP1" s="333"/>
      <c r="AQ1" s="333"/>
      <c r="AR1" s="333"/>
      <c r="AS1" s="333"/>
      <c r="AT1" s="333"/>
      <c r="AU1" s="333"/>
      <c r="AV1" s="333"/>
      <c r="AW1" s="333"/>
      <c r="AX1" s="333"/>
      <c r="AY1" s="333"/>
      <c r="AZ1" s="333"/>
      <c r="BA1" s="333"/>
      <c r="BB1" s="333"/>
      <c r="BC1" s="333"/>
      <c r="BD1" s="333"/>
      <c r="BE1" s="333"/>
      <c r="BF1" s="333"/>
      <c r="BG1" s="333"/>
      <c r="BH1" s="333"/>
      <c r="BI1" s="333"/>
      <c r="BJ1" s="333"/>
      <c r="BK1" s="333"/>
      <c r="BL1" s="333"/>
      <c r="BM1" s="333"/>
      <c r="BN1" s="333"/>
    </row>
    <row r="2" spans="2:73" ht="13.5" thickBot="1" x14ac:dyDescent="0.25"/>
    <row r="3" spans="2:73" ht="13.5" customHeight="1" thickTop="1" x14ac:dyDescent="0.2">
      <c r="B3" s="1397" t="s">
        <v>267</v>
      </c>
      <c r="C3" s="1398"/>
      <c r="D3" s="1398"/>
      <c r="E3" s="1398"/>
      <c r="F3" s="1398"/>
      <c r="G3" s="1399"/>
      <c r="H3" s="1400" t="s">
        <v>630</v>
      </c>
      <c r="I3" s="1401"/>
      <c r="J3" s="1401"/>
      <c r="K3" s="1401"/>
      <c r="L3" s="1401"/>
      <c r="M3" s="1401"/>
      <c r="N3" s="1402"/>
      <c r="O3" s="1403" t="s">
        <v>269</v>
      </c>
      <c r="P3" s="1404"/>
      <c r="Q3" s="1403" t="s">
        <v>270</v>
      </c>
      <c r="R3" s="1405"/>
      <c r="S3" s="337"/>
      <c r="T3" s="338"/>
      <c r="U3" s="338"/>
      <c r="V3" s="338"/>
      <c r="W3" s="338"/>
      <c r="X3" s="338"/>
      <c r="Y3" s="338"/>
      <c r="Z3" s="338"/>
      <c r="AA3" s="338"/>
      <c r="AB3" s="338"/>
      <c r="AC3" s="338"/>
      <c r="AD3" s="338"/>
      <c r="AE3" s="338"/>
      <c r="AF3" s="338"/>
      <c r="AG3" s="338"/>
      <c r="AH3" s="338"/>
      <c r="AI3" s="339"/>
      <c r="AJ3" s="338"/>
      <c r="AK3" s="338"/>
      <c r="AL3" s="338"/>
      <c r="AM3" s="338"/>
      <c r="AN3" s="338"/>
      <c r="AO3" s="338"/>
      <c r="AP3" s="338"/>
      <c r="AQ3" s="333"/>
      <c r="AR3" s="333"/>
      <c r="AW3" s="335" t="s">
        <v>271</v>
      </c>
      <c r="AX3" s="335" t="s">
        <v>272</v>
      </c>
      <c r="AY3" s="335" t="s">
        <v>273</v>
      </c>
      <c r="AZ3" s="335" t="s">
        <v>274</v>
      </c>
      <c r="BA3" s="335" t="s">
        <v>275</v>
      </c>
      <c r="BB3" s="335" t="s">
        <v>276</v>
      </c>
      <c r="BP3" s="1032" t="s">
        <v>845</v>
      </c>
      <c r="BQ3" s="1032"/>
      <c r="BR3" s="1032"/>
      <c r="BS3" s="1032"/>
      <c r="BT3" s="1032"/>
      <c r="BU3" s="1032"/>
    </row>
    <row r="4" spans="2:73" s="234" customFormat="1" ht="15.75" customHeight="1" x14ac:dyDescent="0.2">
      <c r="B4" s="1406" t="s">
        <v>618</v>
      </c>
      <c r="C4" s="1407"/>
      <c r="D4" s="1407"/>
      <c r="E4" s="1407"/>
      <c r="F4" s="1407"/>
      <c r="G4" s="1408"/>
      <c r="H4" s="1409" t="s">
        <v>620</v>
      </c>
      <c r="I4" s="1410"/>
      <c r="J4" s="1410"/>
      <c r="K4" s="1410"/>
      <c r="L4" s="1410"/>
      <c r="M4" s="1410"/>
      <c r="N4" s="1411"/>
      <c r="O4" s="1412"/>
      <c r="P4" s="1413"/>
      <c r="Q4" s="1414"/>
      <c r="R4" s="1415"/>
      <c r="S4" s="340"/>
      <c r="T4" s="341"/>
      <c r="U4" s="341"/>
      <c r="V4" s="341"/>
      <c r="W4" s="341"/>
      <c r="X4" s="341"/>
      <c r="Y4" s="341"/>
      <c r="Z4" s="341"/>
      <c r="AA4" s="341"/>
      <c r="AB4" s="341"/>
      <c r="AC4" s="341"/>
      <c r="AD4" s="341"/>
      <c r="AE4" s="341"/>
      <c r="AF4" s="341"/>
      <c r="AG4" s="341"/>
      <c r="AH4" s="341"/>
      <c r="AI4" s="342"/>
      <c r="AJ4" s="341"/>
      <c r="AK4" s="341"/>
      <c r="AL4" s="341"/>
      <c r="AM4" s="341"/>
      <c r="AN4" s="341"/>
      <c r="AO4" s="341"/>
      <c r="AP4" s="341"/>
      <c r="AQ4" s="343"/>
      <c r="AR4" s="343"/>
      <c r="AS4" s="344"/>
      <c r="AT4" s="345" t="s">
        <v>278</v>
      </c>
      <c r="AU4" s="346" t="b">
        <v>0</v>
      </c>
      <c r="AV4" s="344">
        <v>0</v>
      </c>
      <c r="AW4" s="344" t="b">
        <f>IF(ISERR(OR(AW8:AW39)),"UNK",IF(AND(graded_aca_events&gt;=1,input_test),FALSE,OR(AW8:AW39)))</f>
        <v>0</v>
      </c>
      <c r="AX4" s="344" t="b">
        <f>IF(ISERR(OR(AX8:AX39)),"UNK",IF(AND(graded_aca_events&gt;=1,input_test),FALSE,OR(AX8:AX39)))</f>
        <v>1</v>
      </c>
      <c r="AY4" s="344" t="b">
        <f>IF(ISERR(OR(AY8:AY39)),"UNK",OR(AY8:AY39))</f>
        <v>0</v>
      </c>
      <c r="AZ4" s="344" t="b">
        <f>IF(ISERR(OR(AZ8:AZ39)),"UNK",OR(AZ8:AZ39))</f>
        <v>0</v>
      </c>
      <c r="BA4" s="344" t="b">
        <f>IF(ISERR(OR(BA8:BA39)),"UNK",OR(BA8:BA39))</f>
        <v>0</v>
      </c>
      <c r="BB4" s="344" t="b">
        <f>IF(ISERR(OR(BB8:BB39)),"UNK",OR(BB8:BB39))</f>
        <v>0</v>
      </c>
      <c r="BC4" s="347" t="b">
        <f>OR(BC8:BC39)</f>
        <v>0</v>
      </c>
      <c r="BD4" s="347" t="b">
        <f>OR(BD8:BD39)</f>
        <v>0</v>
      </c>
      <c r="BE4" s="347" t="b">
        <f>OR(BE8:BE39)</f>
        <v>0</v>
      </c>
      <c r="BF4" s="347"/>
      <c r="BG4" s="344"/>
      <c r="BH4" s="1416" t="s">
        <v>279</v>
      </c>
      <c r="BI4" s="1416"/>
      <c r="BJ4" s="1416"/>
      <c r="BK4" s="1416"/>
      <c r="BL4" s="1417" t="s">
        <v>280</v>
      </c>
      <c r="BM4" s="1417"/>
      <c r="BN4" s="1417"/>
      <c r="BO4" s="244"/>
      <c r="BP4" s="1032"/>
      <c r="BQ4" s="1032"/>
      <c r="BR4" s="1032"/>
      <c r="BS4" s="1032"/>
      <c r="BT4" s="1032"/>
      <c r="BU4" s="1032"/>
    </row>
    <row r="5" spans="2:73" s="337" customFormat="1" ht="7.5" customHeight="1" x14ac:dyDescent="0.25">
      <c r="B5" s="1418" t="s">
        <v>281</v>
      </c>
      <c r="C5" s="1419"/>
      <c r="D5" s="1419"/>
      <c r="E5" s="1420"/>
      <c r="F5" s="1421" t="s">
        <v>282</v>
      </c>
      <c r="G5" s="1420"/>
      <c r="H5" s="1421" t="s">
        <v>283</v>
      </c>
      <c r="I5" s="1419"/>
      <c r="J5" s="1419"/>
      <c r="K5" s="1419"/>
      <c r="L5" s="1420"/>
      <c r="M5" s="1422" t="s">
        <v>284</v>
      </c>
      <c r="N5" s="1423"/>
      <c r="O5" s="1424" t="s">
        <v>285</v>
      </c>
      <c r="P5" s="1425"/>
      <c r="Q5" s="1421" t="str">
        <f>IF(AU41=0,"GRADE","GRADE (inc. bonus)")</f>
        <v>GRADE</v>
      </c>
      <c r="R5" s="1426"/>
      <c r="T5" s="338"/>
      <c r="U5" s="338"/>
      <c r="V5" s="338"/>
      <c r="W5" s="338"/>
      <c r="X5" s="338"/>
      <c r="Y5" s="338"/>
      <c r="Z5" s="338"/>
      <c r="AA5" s="338"/>
      <c r="AB5" s="338"/>
      <c r="AC5" s="338"/>
      <c r="AD5" s="338"/>
      <c r="AE5" s="338"/>
      <c r="AF5" s="338"/>
      <c r="AG5" s="338"/>
      <c r="AH5" s="338"/>
      <c r="AI5" s="339"/>
      <c r="AJ5" s="338"/>
      <c r="AK5" s="338"/>
      <c r="AL5" s="338"/>
      <c r="AM5" s="338"/>
      <c r="AN5" s="338"/>
      <c r="AO5" s="338"/>
      <c r="AP5" s="338"/>
      <c r="AQ5" s="338"/>
      <c r="AR5" s="338"/>
      <c r="AS5" s="338"/>
      <c r="AT5" s="338"/>
      <c r="AU5" s="338"/>
      <c r="AV5" s="338"/>
      <c r="AW5" s="338"/>
      <c r="AX5" s="338"/>
      <c r="AY5" s="338"/>
      <c r="AZ5" s="338"/>
      <c r="BA5" s="338"/>
      <c r="BB5" s="338"/>
      <c r="BC5" s="338"/>
      <c r="BD5" s="338"/>
      <c r="BE5" s="338"/>
      <c r="BF5" s="338"/>
      <c r="BG5" s="338"/>
      <c r="BH5" s="1416"/>
      <c r="BI5" s="1416"/>
      <c r="BJ5" s="1416"/>
      <c r="BK5" s="1416"/>
      <c r="BL5" s="1417"/>
      <c r="BM5" s="1417"/>
      <c r="BN5" s="1417"/>
      <c r="BO5" s="348"/>
    </row>
    <row r="6" spans="2:73" s="234" customFormat="1" ht="15.75" customHeight="1" thickBot="1" x14ac:dyDescent="0.25">
      <c r="B6" s="1427"/>
      <c r="C6" s="1428"/>
      <c r="D6" s="1428"/>
      <c r="E6" s="1429"/>
      <c r="F6" s="1430" t="s">
        <v>457</v>
      </c>
      <c r="G6" s="1431"/>
      <c r="H6" s="1432"/>
      <c r="I6" s="1433"/>
      <c r="J6" s="1433"/>
      <c r="K6" s="1433"/>
      <c r="L6" s="1434"/>
      <c r="M6" s="1435"/>
      <c r="N6" s="1436"/>
      <c r="O6" s="1437"/>
      <c r="P6" s="1438"/>
      <c r="Q6" s="1439" t="str">
        <f>IF((graded_aca_events+graded_amn_events)&lt;1,"0",IF(ISERROR(AR46),"",IF(F41&lt;&gt;"COMPLETE","INCOMPLETE",AR46)))</f>
        <v>0</v>
      </c>
      <c r="R6" s="1440"/>
      <c r="S6" s="204"/>
      <c r="T6" s="344"/>
      <c r="U6" s="344">
        <v>2</v>
      </c>
      <c r="V6" s="344">
        <v>3</v>
      </c>
      <c r="W6" s="344">
        <v>6</v>
      </c>
      <c r="X6" s="344">
        <v>7</v>
      </c>
      <c r="Y6" s="344">
        <v>11</v>
      </c>
      <c r="Z6" s="344">
        <v>8</v>
      </c>
      <c r="AA6" s="344">
        <v>9</v>
      </c>
      <c r="AB6" s="344">
        <v>10</v>
      </c>
      <c r="AC6" s="344">
        <v>5</v>
      </c>
      <c r="AD6" s="344">
        <v>4</v>
      </c>
      <c r="AE6" s="344">
        <v>12</v>
      </c>
      <c r="AF6" s="344">
        <v>13</v>
      </c>
      <c r="AG6" s="344"/>
      <c r="AH6" s="344"/>
      <c r="AI6" s="349"/>
      <c r="AJ6" s="350"/>
      <c r="AK6" s="350"/>
      <c r="AL6" s="350"/>
      <c r="AM6" s="350" t="b">
        <f>IF(COUNT(AM8:AM39)&gt;0,TRUE,FALSE)</f>
        <v>0</v>
      </c>
      <c r="AN6" s="350" t="b">
        <f>IF(COUNT(AN8:AN39)&gt;0,TRUE,FALSE)</f>
        <v>0</v>
      </c>
      <c r="AO6" s="344"/>
      <c r="AP6" s="344"/>
      <c r="AQ6" s="343"/>
      <c r="AR6" s="343"/>
      <c r="AS6" s="344"/>
      <c r="AT6" s="106">
        <v>0.2</v>
      </c>
      <c r="AU6" s="344"/>
      <c r="AV6" s="351">
        <f>0.01*input_maxb</f>
        <v>0</v>
      </c>
      <c r="AW6" s="352" t="s">
        <v>287</v>
      </c>
      <c r="AX6" s="353"/>
      <c r="AY6" s="352" t="s">
        <v>288</v>
      </c>
      <c r="AZ6" s="353"/>
      <c r="BA6" s="354" t="s">
        <v>289</v>
      </c>
      <c r="BB6" s="354"/>
      <c r="BC6" s="352" t="s">
        <v>290</v>
      </c>
      <c r="BD6" s="354"/>
      <c r="BE6" s="355"/>
      <c r="BF6" s="356"/>
      <c r="BG6" s="344" t="s">
        <v>291</v>
      </c>
      <c r="BH6" s="1416"/>
      <c r="BI6" s="1416"/>
      <c r="BJ6" s="1416"/>
      <c r="BK6" s="1416"/>
      <c r="BL6" s="1417"/>
      <c r="BM6" s="1417"/>
      <c r="BN6" s="1417"/>
      <c r="BO6" s="244"/>
    </row>
    <row r="7" spans="2:73" ht="27" customHeight="1" thickBot="1" x14ac:dyDescent="0.25">
      <c r="B7" s="1443" t="s">
        <v>292</v>
      </c>
      <c r="C7" s="1444"/>
      <c r="D7" s="1444"/>
      <c r="E7" s="1444"/>
      <c r="F7" s="1445"/>
      <c r="G7" s="357" t="s">
        <v>293</v>
      </c>
      <c r="H7" s="358" t="s">
        <v>294</v>
      </c>
      <c r="I7" s="359" t="s">
        <v>295</v>
      </c>
      <c r="J7" s="360" t="s">
        <v>296</v>
      </c>
      <c r="K7" s="361" t="s">
        <v>297</v>
      </c>
      <c r="L7" s="1446" t="s">
        <v>298</v>
      </c>
      <c r="M7" s="1444"/>
      <c r="N7" s="1444"/>
      <c r="O7" s="1444"/>
      <c r="P7" s="1444"/>
      <c r="Q7" s="1444"/>
      <c r="R7" s="1447"/>
      <c r="T7" s="362" t="s">
        <v>299</v>
      </c>
      <c r="U7" s="362"/>
      <c r="V7" s="362" t="s">
        <v>300</v>
      </c>
      <c r="W7" s="362" t="s">
        <v>301</v>
      </c>
      <c r="X7" s="362" t="s">
        <v>302</v>
      </c>
      <c r="Y7" s="362" t="s">
        <v>303</v>
      </c>
      <c r="Z7" s="362" t="s">
        <v>304</v>
      </c>
      <c r="AA7" s="362" t="s">
        <v>305</v>
      </c>
      <c r="AB7" s="362" t="s">
        <v>306</v>
      </c>
      <c r="AC7" s="362" t="s">
        <v>307</v>
      </c>
      <c r="AD7" s="362" t="s">
        <v>308</v>
      </c>
      <c r="AE7" s="362" t="s">
        <v>309</v>
      </c>
      <c r="AF7" s="362" t="s">
        <v>310</v>
      </c>
      <c r="AG7" s="362" t="s">
        <v>311</v>
      </c>
      <c r="AH7" s="362" t="s">
        <v>312</v>
      </c>
      <c r="AI7" s="363" t="s">
        <v>313</v>
      </c>
      <c r="AJ7" s="364" t="s">
        <v>314</v>
      </c>
      <c r="AK7" s="365" t="s">
        <v>315</v>
      </c>
      <c r="AL7" s="365" t="s">
        <v>316</v>
      </c>
      <c r="AM7" s="365" t="s">
        <v>317</v>
      </c>
      <c r="AN7" s="365" t="s">
        <v>318</v>
      </c>
      <c r="AO7" s="364" t="s">
        <v>319</v>
      </c>
      <c r="AP7" s="364" t="s">
        <v>320</v>
      </c>
      <c r="AQ7" s="366" t="s">
        <v>321</v>
      </c>
      <c r="AR7" s="367" t="s">
        <v>1</v>
      </c>
      <c r="AS7" s="366" t="s">
        <v>322</v>
      </c>
      <c r="AT7" s="367" t="s">
        <v>1</v>
      </c>
      <c r="AU7" s="366" t="s">
        <v>323</v>
      </c>
      <c r="AV7" s="368" t="s">
        <v>324</v>
      </c>
      <c r="AW7" s="369" t="s">
        <v>325</v>
      </c>
      <c r="AX7" s="370" t="s">
        <v>326</v>
      </c>
      <c r="AY7" s="369" t="s">
        <v>327</v>
      </c>
      <c r="AZ7" s="370" t="s">
        <v>328</v>
      </c>
      <c r="BA7" s="371" t="s">
        <v>329</v>
      </c>
      <c r="BB7" s="371" t="s">
        <v>330</v>
      </c>
      <c r="BC7" s="372" t="s">
        <v>331</v>
      </c>
      <c r="BD7" s="373" t="s">
        <v>332</v>
      </c>
      <c r="BE7" s="374" t="s">
        <v>333</v>
      </c>
      <c r="BF7" s="375" t="s">
        <v>334</v>
      </c>
      <c r="BH7" s="335" t="s">
        <v>335</v>
      </c>
      <c r="BI7" s="335" t="s">
        <v>336</v>
      </c>
      <c r="BJ7" s="362" t="s">
        <v>337</v>
      </c>
      <c r="BK7" s="335" t="s">
        <v>338</v>
      </c>
      <c r="BL7" s="335" t="s">
        <v>335</v>
      </c>
      <c r="BM7" s="335" t="s">
        <v>336</v>
      </c>
      <c r="BN7" s="335" t="s">
        <v>338</v>
      </c>
    </row>
    <row r="8" spans="2:73" ht="12.95" customHeight="1" x14ac:dyDescent="0.2">
      <c r="B8" s="376" t="str">
        <f>IF(ISNA(Z8),"",IF(OR(Z8=1,Z8=2),"",1))</f>
        <v/>
      </c>
      <c r="C8" s="1448" t="str">
        <f t="shared" ref="C8:C36" si="0">IF(ISNA(Z8),"",CONCATENATE($U8,IF(ISNUMBER(AI8),TEXT(ROUND($AI8,3)," (0.0%)"),""),IF(AU8&gt;0," Bonus","")))</f>
        <v>Introduction (20.0%)</v>
      </c>
      <c r="D8" s="1448"/>
      <c r="E8" s="1448"/>
      <c r="F8" s="1449"/>
      <c r="G8" s="377" t="str">
        <f t="shared" ref="G8:G39" si="1">BH8</f>
        <v/>
      </c>
      <c r="H8" s="378" t="str">
        <f t="shared" ref="H8:I39" si="2">BJ8</f>
        <v/>
      </c>
      <c r="I8" s="379" t="str">
        <f t="shared" si="2"/>
        <v/>
      </c>
      <c r="J8" s="380"/>
      <c r="K8" s="381"/>
      <c r="L8" s="1452"/>
      <c r="M8" s="1453"/>
      <c r="N8" s="1453"/>
      <c r="O8" s="1453"/>
      <c r="P8" s="1453"/>
      <c r="Q8" s="1453"/>
      <c r="R8" s="1454"/>
      <c r="T8" s="335">
        <v>1</v>
      </c>
      <c r="U8" s="335" t="s">
        <v>464</v>
      </c>
      <c r="V8" s="455" t="s">
        <v>340</v>
      </c>
      <c r="W8" s="455" t="s">
        <v>340</v>
      </c>
      <c r="X8" s="455" t="s">
        <v>340</v>
      </c>
      <c r="Y8" s="455" t="s">
        <v>340</v>
      </c>
      <c r="Z8" s="455">
        <v>2</v>
      </c>
      <c r="AA8" s="455">
        <v>1</v>
      </c>
      <c r="AB8" s="455">
        <v>1</v>
      </c>
      <c r="AC8" s="455" t="s">
        <v>340</v>
      </c>
      <c r="AD8" s="455" t="s">
        <v>340</v>
      </c>
      <c r="AE8" s="455" t="s">
        <v>340</v>
      </c>
      <c r="AF8" s="455" t="s">
        <v>340</v>
      </c>
      <c r="AG8" s="455" t="str">
        <f t="shared" ref="AG8:AG39" si="3">IF(CrewSoloQual="Yes",$AC8,$AD8)</f>
        <v/>
      </c>
      <c r="AH8" s="455" t="str">
        <f t="shared" ref="AH8:AH39" si="4">IF(ISNUMBER(AC8),IF(CrewSoloQual="Yes",$AC8-1,$AD8-1),"")</f>
        <v/>
      </c>
      <c r="AI8" s="138">
        <f>IF(NOT(OR(Z8=1,Z8=2)),IF(AQ8&gt;0,$AR$44*AQ8/SUMIF($AQ$8:$AQ$39,"&gt;0"),IF(AU8&gt;0,$AV$44*AU8/SUMIF($AU$8:$AU$39,"&gt;0"),IF(AS8&gt;0,$AT$44*AS8/SUMIF($AS$8:$AS$39,"&gt;0"),""))),IF(SUMIF(AJ9:$AJ$39,"=" &amp; AJ8,AI9:$AI$39)=0,"",SUMIF(AJ9:$AJ$39,"=" &amp; AJ8,AI9:$AI$39)))</f>
        <v>0.2</v>
      </c>
      <c r="AJ8" s="139">
        <f>0</f>
        <v>0</v>
      </c>
      <c r="AK8" s="455" t="str">
        <f>BI8</f>
        <v/>
      </c>
      <c r="AL8" s="455" t="str">
        <f>IF(ISBLANK(K8),"",K8)</f>
        <v/>
      </c>
      <c r="AM8" s="455" t="str">
        <f>IF(ISNUMBER(AK8),IF(ISNUMBER(AL8),1,""),"")</f>
        <v/>
      </c>
      <c r="AN8" s="455" t="str">
        <f t="shared" ref="AN8:AN36" si="5">IF(ISNUMBER(AH8),IF(AND(AB8=0,ISNUMBER(AC8),ISNUMBER(AL8)),1,""),"")</f>
        <v/>
      </c>
      <c r="AO8" s="455" t="str">
        <f t="shared" ref="AO8:AO39" si="6">IF(AB8=0,IF(CrewSoloQual="No",BI8,BK8),"")</f>
        <v/>
      </c>
      <c r="AP8" s="455" t="str">
        <f t="shared" ref="AP8:AP39" si="7">IF(ISNA(Z8),"",IF(AND(ISNUMBER(B8),G8&gt;=1,H8&lt;&gt;"NG"),IF(K8&lt;BK8,TRUE,FALSE),IF(AND(G8&gt;=1,J8="NA"),TRUE,IF(AND(AM8=1,G8=0,AL8&lt;BI8),TRUE,""))))</f>
        <v/>
      </c>
      <c r="AQ8" s="382">
        <f>IF(ISNA(Z8),0,IF(OR(J8="NA",W8="",AB8=0),0,W8))</f>
        <v>0</v>
      </c>
      <c r="AR8" s="141" t="str">
        <f t="shared" ref="AR8:AR39" si="8">IF(ISNA(Z8),"",IF(AND(NOT(OR(Z8=1,Z8=2,AK8="NG",AB8=0)),IF(ISNUMBER(AL8),AL8&gt;=0,FALSE)),VLOOKUP((10*AD8+AC8),$AQ$50:$AV$58,2+AL8,FALSE),IF(AND(input_test=TRUE,ISNUMBER(AD8),V8&lt;&gt;0),VLOOKUP((10*AD8+AC8),$AQ$50:$AV$58,2,FALSE),"")))</f>
        <v/>
      </c>
      <c r="AS8" s="142">
        <f>IF(ISNA(Z8),0,IF(OR(J8="NA",X8="",AB8=1),0,X8))</f>
        <v>0</v>
      </c>
      <c r="AT8" s="141" t="str">
        <f t="shared" ref="AT8:AT39" si="9">IF(ISNA(Z8),"",IF(AND(NOT(OR(Z8=1,Z8=2,AK8="NG",AB8=1)),IF(ISNUMBER(AL8),AL8&gt;=0,FALSE)),VLOOKUP((10*AH8+AG8),$AQ$50:$AV$58,2+AL8,FALSE),IF(AND(input_test=TRUE,ISNUMBER(AD8),V8&lt;&gt;0),VLOOKUP((10*AH8+AG8),$AQ$50:$AV$58,2,FALSE),"")))</f>
        <v/>
      </c>
      <c r="AU8" s="383">
        <f t="shared" ref="AU8:AU39" si="10">IF(ISNA(Z8),0,IF(OR(J8="NA",Y8=""),0,Y8))</f>
        <v>0</v>
      </c>
      <c r="AV8" s="144" t="str">
        <f t="shared" ref="AV8:AV39" si="11">AR8</f>
        <v/>
      </c>
      <c r="AW8" s="383" t="b">
        <f t="shared" ref="AW8:AW39" si="12">IF(ISNA(Z8),FALSE,IF(OR(AB8=1,G8=0,Z8=1,Z8=2),FALSE,IF(OR(J8="NA",J8&gt;=G8),FALSE,TRUE)))</f>
        <v>0</v>
      </c>
      <c r="AX8" s="384" t="b">
        <f t="shared" ref="AX8:AX39" si="13">IF(ISNA(Z8),FALSE,IF(OR(AB8=0,G8=0,Z8=1,Z8=2,J8="NA"),FALSE,IF(AK8="NG",IF(NOT(ISBLANK(K8)),FALSE,TRUE),IF(J8&gt;=G8,FALSE,TRUE))))</f>
        <v>0</v>
      </c>
      <c r="AY8" s="383" t="b">
        <f t="shared" ref="AY8:AY39" si="14">IF(ISNA(Z8),FALSE,IF(OR(AB8=1,G8&lt;1,Z8=1,Z8=2,AE8=0,ISBLANK(K8)),FALSE,IF(OR(J8="NA",K8&gt;=BI8),FALSE,TRUE)))</f>
        <v>0</v>
      </c>
      <c r="AZ8" s="384" t="b">
        <f t="shared" ref="AZ8:AZ39" si="15">IF(ISNA(Z8),FALSE,IF(OR(AB8=0,G8=0,Z8=1,Z8=2,AE8=0,BI8="NG",K8="",ISBLANK(K8)),FALSE,IF(OR(J8="NA",K8&gt;=AK8),FALSE,TRUE)))</f>
        <v>0</v>
      </c>
      <c r="BA8" s="455" t="b">
        <f t="shared" ref="BA8:BA39" si="16">IF(ISNA(Z8),FALSE,IF(OR(AB8=1,G8&lt;1,Z8=1,Z8=2,AE8=0),FALSE,IF(J8="NA",TRUE,FALSE)))</f>
        <v>0</v>
      </c>
      <c r="BB8" s="455" t="b">
        <f t="shared" ref="BB8:BB39" si="17">IF(ISNA(Z8),FALSE,IF(OR(AB8=0,G8=0,Z8=1,Z8=2),FALSE,IF(J8="NA",TRUE,FALSE)))</f>
        <v>0</v>
      </c>
      <c r="BC8" s="383" t="b">
        <f t="shared" ref="BC8:BC39" si="18">IF(OR(ISNA($Z8),ISNUMBER($Z8),NOT(ISNUMBER($J8)),K8="D"),FALSE,IF(AND(NOT(ISNUMBER($K8)),J8&gt;0),TRUE,FALSE))</f>
        <v>0</v>
      </c>
      <c r="BD8" s="385" t="b">
        <f>IF(OR(ISNA($Z8),ISNUMBER($Z8),NOT(ISNUMBER(K8))),FALSE,OR(NOT(ISNUMBER(J8)),J8=0,AND(J8=0,K8&lt;&gt;0)))</f>
        <v>0</v>
      </c>
      <c r="BE8" s="384" t="b">
        <f t="shared" ref="BE8:BE21" si="19">IF(OR(ISNA($Z8),K8&lt;&gt;"D"),FALSE,IF(OR(AND(H8="NG",J8=0),AND(H8&lt;&gt;"NG",NOT(OR(J8="NA",J8=0)))),TRUE,FALSE))</f>
        <v>0</v>
      </c>
      <c r="BF8" s="386" t="b">
        <f t="shared" ref="BF8:BF30" si="20">IF(OR(ISNA($Z8),H8&lt;&gt;"NG"),FALSE,IF(AND(J8="NA",K8&lt;&gt;""),TRUE,FALSE))</f>
        <v>0</v>
      </c>
      <c r="BG8" s="455" t="b">
        <f t="shared" ref="BG8:BG21" si="21">IF(ISNA($Z8),"NA",IF(OR(AZ8,AY8,AX8,AW8,AP8,BA8,BB8),TRUE,FALSE))</f>
        <v>0</v>
      </c>
      <c r="BH8" s="387" t="str">
        <f>IF(ISNA($Z8),"",IF(OR($Z8=1,$Z8=2),"",$V8))</f>
        <v/>
      </c>
      <c r="BI8" s="455" t="str">
        <f t="shared" ref="BI8:BI39" si="22">IF(ISNA($Z8),"",IF(OR($Z8=1,$Z8=2,$G8=""),"",IF(AB8=0,AH8,$AD8)))</f>
        <v/>
      </c>
      <c r="BJ8" s="455" t="str">
        <f t="shared" ref="BJ8:BJ39" si="23">IF(ISNA(AE8),"",IF(OR(Z8=1,Z8=2),"",IF(OR(AE8=0,AD8="NG"),TEXT(BI8,"0"),CONCATENATE(TEXT(BI8,"0"),"*"))))</f>
        <v/>
      </c>
      <c r="BK8" s="455" t="str">
        <f t="shared" ref="BK8:BK39" si="24">IF(ISNA($Z8),"",IF(OR($Z8=1,$Z8=2,$G8=""),"",IF(AB8=0,AG8,$AC8)))</f>
        <v/>
      </c>
      <c r="BL8" s="387" t="str">
        <f>IF(ISBLANK(BH8),"",IF(BH8=0,"",BH8))</f>
        <v/>
      </c>
      <c r="BM8" s="455" t="str">
        <f t="shared" ref="BM8:BM39" si="25">IF($BH8=0,"",IF($BI8="NG","D",$BI8))</f>
        <v/>
      </c>
      <c r="BN8" s="455" t="str">
        <f t="shared" ref="BN8:BN39" si="26">IF(ISNA(U8),"",IF($BH8=0,"",IF($BI8="NG","D",BK8)))</f>
        <v/>
      </c>
      <c r="BO8" s="388" t="s">
        <v>341</v>
      </c>
      <c r="BP8" s="389"/>
    </row>
    <row r="9" spans="2:73" s="234" customFormat="1" ht="12.95" customHeight="1" x14ac:dyDescent="0.2">
      <c r="B9" s="390">
        <f>IF(ISNA(Z9),"",IF(OR(Z9=1,Z9=2),"    ",MAX($B$8:B8)+1))</f>
        <v>1</v>
      </c>
      <c r="C9" s="1441" t="str">
        <f t="shared" si="0"/>
        <v xml:space="preserve">      - Test Item Description (10.0%)</v>
      </c>
      <c r="D9" s="1441"/>
      <c r="E9" s="1441"/>
      <c r="F9" s="1442"/>
      <c r="G9" s="377">
        <f t="shared" si="1"/>
        <v>1</v>
      </c>
      <c r="H9" s="378" t="str">
        <f t="shared" si="2"/>
        <v>2</v>
      </c>
      <c r="I9" s="391">
        <f t="shared" si="2"/>
        <v>3</v>
      </c>
      <c r="J9" s="392"/>
      <c r="K9" s="393"/>
      <c r="L9" s="1455"/>
      <c r="M9" s="1456"/>
      <c r="N9" s="1456"/>
      <c r="O9" s="1456"/>
      <c r="P9" s="1456"/>
      <c r="Q9" s="1456"/>
      <c r="R9" s="1457"/>
      <c r="T9" s="344">
        <v>2</v>
      </c>
      <c r="U9" s="335" t="s">
        <v>619</v>
      </c>
      <c r="V9" s="455">
        <v>1</v>
      </c>
      <c r="W9" s="455">
        <v>1</v>
      </c>
      <c r="X9" s="455" t="s">
        <v>340</v>
      </c>
      <c r="Y9" s="455" t="s">
        <v>340</v>
      </c>
      <c r="Z9" s="385" t="s">
        <v>340</v>
      </c>
      <c r="AA9" s="385">
        <v>2</v>
      </c>
      <c r="AB9" s="385">
        <v>1</v>
      </c>
      <c r="AC9" s="455">
        <v>3</v>
      </c>
      <c r="AD9" s="455">
        <v>2</v>
      </c>
      <c r="AE9" s="455">
        <v>0</v>
      </c>
      <c r="AF9" s="455" t="b">
        <v>1</v>
      </c>
      <c r="AG9" s="455">
        <f t="shared" si="3"/>
        <v>2</v>
      </c>
      <c r="AH9" s="455">
        <f t="shared" si="4"/>
        <v>1</v>
      </c>
      <c r="AI9" s="138">
        <f>IF(NOT(OR(Z9=1,Z9=2)),IF(AQ9&gt;0,$AR$44*AQ9/SUMIF($AQ$8:$AQ$39,"&gt;0"),IF(AU9&gt;0,$AV$44*AU9/SUMIF($AU$8:$AU$39,"&gt;0"),IF(AS9&gt;0,$AT$44*AS9/SUMIF($AS$8:$AS$39,"&gt;0"),""))),IF(SUMIF(AJ10:$AJ$39,"=" &amp; AJ9,AI10:$AI$39)=0,"",SUMIF(AJ10:$AJ$39,"=" &amp; AJ9,AI10:$AI$39)))</f>
        <v>0.1</v>
      </c>
      <c r="AJ9" s="139">
        <f>IF(OR(Z9=1,Z9=2,AA9&lt;AA8),AJ8+1,AJ8)</f>
        <v>0</v>
      </c>
      <c r="AK9" s="455">
        <f t="shared" ref="AK9:AK39" si="27">BI9</f>
        <v>2</v>
      </c>
      <c r="AL9" s="385" t="str">
        <f t="shared" ref="AL9:AL39" si="28">IF(ISBLANK(K9),"",K9)</f>
        <v/>
      </c>
      <c r="AM9" s="385" t="str">
        <f>IF(ISNUMBER(AK9),IF(ISNUMBER(AL9),1,""),"")</f>
        <v/>
      </c>
      <c r="AN9" s="385" t="str">
        <f t="shared" si="5"/>
        <v/>
      </c>
      <c r="AO9" s="385" t="str">
        <f t="shared" si="6"/>
        <v/>
      </c>
      <c r="AP9" s="455" t="b">
        <f>IF(ISNA(Z9),"",IF(AND(ISNUMBER(B9),G9&gt;=1,H9&lt;&gt;"NG"),IF(K9&lt;BK9,TRUE,FALSE),IF(AND(G9&gt;=1,J9="NA"),TRUE,IF(AND(AM9=1,G9=0,AL9&lt;BI9),TRUE,""))))</f>
        <v>1</v>
      </c>
      <c r="AQ9" s="382">
        <f t="shared" ref="AQ9:AQ39" si="29">IF(ISNA(Z9),0,IF(OR(J9="NA",W9="",AB9=0),0,W9))</f>
        <v>1</v>
      </c>
      <c r="AR9" s="141" t="str">
        <f>IF(ISNA(Z9),"",IF(AND(NOT(OR(Z9=1,Z9=2,AK9="NG",AB9=0)),IF(ISNUMBER(AL9),AL9&gt;=0,FALSE)),VLOOKUP((10*AD9+AC9),$AQ$50:$AV$58,2+AL9,FALSE),IF(AND(input_test=TRUE,ISNUMBER(AD9),V9&lt;&gt;0),VLOOKUP((10*AD9+AC9),$AQ$50:$AV$58,2,FALSE),"")))</f>
        <v/>
      </c>
      <c r="AS9" s="142">
        <f t="shared" ref="AS9:AS39" si="30">IF(ISNA(Z9),0,IF(OR(J9="NA",X9="",AB9=1),0,X9))</f>
        <v>0</v>
      </c>
      <c r="AT9" s="141" t="str">
        <f>IF(ISNA(Z9),"",IF(AND(NOT(OR(Z9=1,Z9=2,AK9="NG",AB9=1)),IF(ISNUMBER(AL9),AL9&gt;=0,FALSE)),VLOOKUP((10*AH9+AG9),$AQ$50:$AV$58,2+AL9,FALSE),IF(AND(input_test=TRUE,ISNUMBER(AD9),V9&lt;&gt;0),VLOOKUP((10*AH9+AG9),$AQ$50:$AV$58,2,FALSE),"")))</f>
        <v/>
      </c>
      <c r="AU9" s="383">
        <f t="shared" si="10"/>
        <v>0</v>
      </c>
      <c r="AV9" s="144" t="str">
        <f t="shared" si="11"/>
        <v/>
      </c>
      <c r="AW9" s="383" t="b">
        <f t="shared" si="12"/>
        <v>0</v>
      </c>
      <c r="AX9" s="384" t="b">
        <f t="shared" si="13"/>
        <v>1</v>
      </c>
      <c r="AY9" s="383" t="b">
        <f t="shared" si="14"/>
        <v>0</v>
      </c>
      <c r="AZ9" s="384" t="b">
        <f t="shared" si="15"/>
        <v>0</v>
      </c>
      <c r="BA9" s="455" t="b">
        <f t="shared" si="16"/>
        <v>0</v>
      </c>
      <c r="BB9" s="455" t="b">
        <f t="shared" si="17"/>
        <v>0</v>
      </c>
      <c r="BC9" s="383" t="b">
        <f t="shared" si="18"/>
        <v>0</v>
      </c>
      <c r="BD9" s="385" t="b">
        <f t="shared" ref="BD9:BD39" si="31">IF(OR(ISNA($Z9),ISNUMBER($Z9),NOT(ISNUMBER(K9))),FALSE,OR(NOT(ISNUMBER(J9)),J9=0,AND(J9=0,K9&lt;&gt;0)))</f>
        <v>0</v>
      </c>
      <c r="BE9" s="384" t="b">
        <f t="shared" si="19"/>
        <v>0</v>
      </c>
      <c r="BF9" s="386" t="b">
        <f t="shared" si="20"/>
        <v>0</v>
      </c>
      <c r="BG9" s="455" t="b">
        <f t="shared" si="21"/>
        <v>1</v>
      </c>
      <c r="BH9" s="455">
        <f t="shared" ref="BH9:BH39" si="32">IF(ISNA($Z9),"",IF(OR($Z9=1,$Z9=2),"",$V9))</f>
        <v>1</v>
      </c>
      <c r="BI9" s="455">
        <f t="shared" si="22"/>
        <v>2</v>
      </c>
      <c r="BJ9" s="455" t="str">
        <f t="shared" si="23"/>
        <v>2</v>
      </c>
      <c r="BK9" s="455">
        <f t="shared" si="24"/>
        <v>3</v>
      </c>
      <c r="BL9" s="387">
        <f t="shared" ref="BL9:BL39" si="33">IF(ISBLANK(BH9),"",IF(BH9=0,"",BH9))</f>
        <v>1</v>
      </c>
      <c r="BM9" s="455">
        <f t="shared" si="25"/>
        <v>2</v>
      </c>
      <c r="BN9" s="455">
        <f t="shared" si="26"/>
        <v>3</v>
      </c>
      <c r="BO9" s="394" t="s">
        <v>343</v>
      </c>
      <c r="BP9" s="395" t="s">
        <v>265</v>
      </c>
    </row>
    <row r="10" spans="2:73" s="234" customFormat="1" ht="12.95" customHeight="1" x14ac:dyDescent="0.2">
      <c r="B10" s="390">
        <f>IF(ISNA(Z10),"",IF(OR(Z10=1,Z10=2),"    ",MAX($B$8:B9)+1))</f>
        <v>2</v>
      </c>
      <c r="C10" s="1441" t="str">
        <f t="shared" si="0"/>
        <v xml:space="preserve">      - Evaluation Scenario &amp; Reqs (10.0%)</v>
      </c>
      <c r="D10" s="1441"/>
      <c r="E10" s="1441"/>
      <c r="F10" s="1442"/>
      <c r="G10" s="377">
        <f t="shared" si="1"/>
        <v>1</v>
      </c>
      <c r="H10" s="378" t="str">
        <f t="shared" si="2"/>
        <v>2</v>
      </c>
      <c r="I10" s="391">
        <f t="shared" si="2"/>
        <v>3</v>
      </c>
      <c r="J10" s="396"/>
      <c r="K10" s="393"/>
      <c r="L10" s="1455"/>
      <c r="M10" s="1456"/>
      <c r="N10" s="1456"/>
      <c r="O10" s="1456"/>
      <c r="P10" s="1456"/>
      <c r="Q10" s="1456"/>
      <c r="R10" s="1457"/>
      <c r="T10" s="344">
        <v>3</v>
      </c>
      <c r="U10" s="335" t="s">
        <v>631</v>
      </c>
      <c r="V10" s="455">
        <v>1</v>
      </c>
      <c r="W10" s="455">
        <v>1</v>
      </c>
      <c r="X10" s="455" t="s">
        <v>340</v>
      </c>
      <c r="Y10" s="455" t="s">
        <v>340</v>
      </c>
      <c r="Z10" s="385" t="s">
        <v>340</v>
      </c>
      <c r="AA10" s="385">
        <v>2</v>
      </c>
      <c r="AB10" s="385">
        <v>1</v>
      </c>
      <c r="AC10" s="455">
        <v>3</v>
      </c>
      <c r="AD10" s="455">
        <v>2</v>
      </c>
      <c r="AE10" s="455">
        <v>0</v>
      </c>
      <c r="AF10" s="455" t="b">
        <v>1</v>
      </c>
      <c r="AG10" s="455">
        <f t="shared" si="3"/>
        <v>2</v>
      </c>
      <c r="AH10" s="455">
        <f t="shared" si="4"/>
        <v>1</v>
      </c>
      <c r="AI10" s="138">
        <f>IF(NOT(OR(Z10=1,Z10=2)),IF(AQ10&gt;0,$AR$44*AQ10/SUMIF($AQ$8:$AQ$39,"&gt;0"),IF(AU10&gt;0,$AV$44*AU10/SUMIF($AU$8:$AU$39,"&gt;0"),IF(AS10&gt;0,$AT$44*AS10/SUMIF($AS$8:$AS$39,"&gt;0"),""))),IF(SUMIF(AJ11:$AJ$39,"=" &amp; AJ10,AI11:$AI$39)=0,"",SUMIF(AJ11:$AJ$39,"=" &amp; AJ10,AI11:$AI$39)))</f>
        <v>0.1</v>
      </c>
      <c r="AJ10" s="139">
        <f t="shared" ref="AJ10:AJ39" si="34">IF(OR(Z10=1,Z10=2,AA10&lt;AA9),AJ9+1,AJ9)</f>
        <v>0</v>
      </c>
      <c r="AK10" s="455">
        <f t="shared" si="27"/>
        <v>2</v>
      </c>
      <c r="AL10" s="385" t="str">
        <f t="shared" si="28"/>
        <v/>
      </c>
      <c r="AM10" s="385" t="str">
        <f t="shared" ref="AM10:AM39" si="35">IF(ISNUMBER(AK10),IF(ISNUMBER(AL10),1,""),"")</f>
        <v/>
      </c>
      <c r="AN10" s="385" t="str">
        <f t="shared" si="5"/>
        <v/>
      </c>
      <c r="AO10" s="385" t="str">
        <f t="shared" si="6"/>
        <v/>
      </c>
      <c r="AP10" s="455" t="b">
        <f t="shared" si="7"/>
        <v>1</v>
      </c>
      <c r="AQ10" s="382">
        <f t="shared" si="29"/>
        <v>1</v>
      </c>
      <c r="AR10" s="141" t="str">
        <f t="shared" si="8"/>
        <v/>
      </c>
      <c r="AS10" s="142">
        <f t="shared" si="30"/>
        <v>0</v>
      </c>
      <c r="AT10" s="141" t="str">
        <f t="shared" si="9"/>
        <v/>
      </c>
      <c r="AU10" s="383">
        <f t="shared" si="10"/>
        <v>0</v>
      </c>
      <c r="AV10" s="144" t="str">
        <f t="shared" si="11"/>
        <v/>
      </c>
      <c r="AW10" s="383" t="b">
        <f t="shared" si="12"/>
        <v>0</v>
      </c>
      <c r="AX10" s="384" t="b">
        <f t="shared" si="13"/>
        <v>1</v>
      </c>
      <c r="AY10" s="383" t="b">
        <f t="shared" si="14"/>
        <v>0</v>
      </c>
      <c r="AZ10" s="384" t="b">
        <f t="shared" si="15"/>
        <v>0</v>
      </c>
      <c r="BA10" s="455" t="b">
        <f t="shared" si="16"/>
        <v>0</v>
      </c>
      <c r="BB10" s="455" t="b">
        <f t="shared" si="17"/>
        <v>0</v>
      </c>
      <c r="BC10" s="383" t="b">
        <f t="shared" si="18"/>
        <v>0</v>
      </c>
      <c r="BD10" s="385" t="b">
        <f t="shared" si="31"/>
        <v>0</v>
      </c>
      <c r="BE10" s="384" t="b">
        <f t="shared" si="19"/>
        <v>0</v>
      </c>
      <c r="BF10" s="386" t="b">
        <f t="shared" si="20"/>
        <v>0</v>
      </c>
      <c r="BG10" s="455" t="b">
        <f t="shared" si="21"/>
        <v>1</v>
      </c>
      <c r="BH10" s="455">
        <f t="shared" si="32"/>
        <v>1</v>
      </c>
      <c r="BI10" s="455">
        <f t="shared" si="22"/>
        <v>2</v>
      </c>
      <c r="BJ10" s="455" t="str">
        <f t="shared" si="23"/>
        <v>2</v>
      </c>
      <c r="BK10" s="455">
        <f t="shared" si="24"/>
        <v>3</v>
      </c>
      <c r="BL10" s="387">
        <f t="shared" si="33"/>
        <v>1</v>
      </c>
      <c r="BM10" s="455">
        <f t="shared" si="25"/>
        <v>2</v>
      </c>
      <c r="BN10" s="455">
        <f t="shared" si="26"/>
        <v>3</v>
      </c>
      <c r="BO10" s="394">
        <v>0</v>
      </c>
      <c r="BP10" s="395" t="s">
        <v>465</v>
      </c>
    </row>
    <row r="11" spans="2:73" s="234" customFormat="1" ht="12.95" customHeight="1" x14ac:dyDescent="0.2">
      <c r="B11" s="390" t="str">
        <f>IF(ISNA(Z11),"",IF(OR(Z11=1,Z11=2),"    ",MAX($B$8:B10)+1))</f>
        <v xml:space="preserve">    </v>
      </c>
      <c r="C11" s="1441" t="str">
        <f t="shared" si="0"/>
        <v>Test Planning (50.0%)</v>
      </c>
      <c r="D11" s="1441"/>
      <c r="E11" s="1441"/>
      <c r="F11" s="1442"/>
      <c r="G11" s="377" t="str">
        <f t="shared" si="1"/>
        <v/>
      </c>
      <c r="H11" s="378" t="str">
        <f t="shared" si="2"/>
        <v/>
      </c>
      <c r="I11" s="391" t="str">
        <f t="shared" si="2"/>
        <v/>
      </c>
      <c r="J11" s="397"/>
      <c r="K11" s="398"/>
      <c r="L11" s="1455"/>
      <c r="M11" s="1456"/>
      <c r="N11" s="1456"/>
      <c r="O11" s="1456"/>
      <c r="P11" s="1456"/>
      <c r="Q11" s="1456"/>
      <c r="R11" s="1457"/>
      <c r="T11" s="344">
        <v>4</v>
      </c>
      <c r="U11" s="335" t="s">
        <v>632</v>
      </c>
      <c r="V11" s="455" t="s">
        <v>340</v>
      </c>
      <c r="W11" s="455" t="s">
        <v>340</v>
      </c>
      <c r="X11" s="455" t="s">
        <v>340</v>
      </c>
      <c r="Y11" s="455" t="s">
        <v>340</v>
      </c>
      <c r="Z11" s="385">
        <v>2</v>
      </c>
      <c r="AA11" s="385">
        <v>1</v>
      </c>
      <c r="AB11" s="385">
        <v>1</v>
      </c>
      <c r="AC11" s="455" t="s">
        <v>340</v>
      </c>
      <c r="AD11" s="455" t="s">
        <v>340</v>
      </c>
      <c r="AE11" s="455" t="s">
        <v>340</v>
      </c>
      <c r="AF11" s="455" t="s">
        <v>340</v>
      </c>
      <c r="AG11" s="455" t="str">
        <f t="shared" si="3"/>
        <v/>
      </c>
      <c r="AH11" s="455" t="str">
        <f t="shared" si="4"/>
        <v/>
      </c>
      <c r="AI11" s="138">
        <f>IF(NOT(OR(Z11=1,Z11=2)),IF(AQ11&gt;0,$AR$44*AQ11/SUMIF($AQ$8:$AQ$39,"&gt;0"),IF(AU11&gt;0,$AV$44*AU11/SUMIF($AU$8:$AU$39,"&gt;0"),IF(AS11&gt;0,$AT$44*AS11/SUMIF($AS$8:$AS$39,"&gt;0"),""))),IF(SUMIF(AJ12:$AJ$39,"=" &amp; AJ11,AI12:$AI$39)=0,"",SUMIF(AJ12:$AJ$39,"=" &amp; AJ11,AI12:$AI$39)))</f>
        <v>0.5</v>
      </c>
      <c r="AJ11" s="139">
        <f t="shared" si="34"/>
        <v>1</v>
      </c>
      <c r="AK11" s="455" t="str">
        <f t="shared" si="27"/>
        <v/>
      </c>
      <c r="AL11" s="385" t="str">
        <f t="shared" si="28"/>
        <v/>
      </c>
      <c r="AM11" s="385" t="str">
        <f t="shared" si="35"/>
        <v/>
      </c>
      <c r="AN11" s="385" t="str">
        <f t="shared" si="5"/>
        <v/>
      </c>
      <c r="AO11" s="385" t="str">
        <f t="shared" si="6"/>
        <v/>
      </c>
      <c r="AP11" s="455" t="str">
        <f t="shared" si="7"/>
        <v/>
      </c>
      <c r="AQ11" s="382">
        <f t="shared" si="29"/>
        <v>0</v>
      </c>
      <c r="AR11" s="141" t="str">
        <f t="shared" si="8"/>
        <v/>
      </c>
      <c r="AS11" s="142">
        <f t="shared" si="30"/>
        <v>0</v>
      </c>
      <c r="AT11" s="141" t="str">
        <f t="shared" si="9"/>
        <v/>
      </c>
      <c r="AU11" s="383">
        <f t="shared" si="10"/>
        <v>0</v>
      </c>
      <c r="AV11" s="144" t="str">
        <f t="shared" si="11"/>
        <v/>
      </c>
      <c r="AW11" s="383" t="b">
        <f t="shared" si="12"/>
        <v>0</v>
      </c>
      <c r="AX11" s="384" t="b">
        <f t="shared" si="13"/>
        <v>0</v>
      </c>
      <c r="AY11" s="383" t="b">
        <f t="shared" si="14"/>
        <v>0</v>
      </c>
      <c r="AZ11" s="384" t="b">
        <f t="shared" si="15"/>
        <v>0</v>
      </c>
      <c r="BA11" s="455" t="b">
        <f t="shared" si="16"/>
        <v>0</v>
      </c>
      <c r="BB11" s="455" t="b">
        <f t="shared" si="17"/>
        <v>0</v>
      </c>
      <c r="BC11" s="383" t="b">
        <f t="shared" si="18"/>
        <v>0</v>
      </c>
      <c r="BD11" s="385" t="b">
        <f t="shared" si="31"/>
        <v>0</v>
      </c>
      <c r="BE11" s="384" t="b">
        <f t="shared" si="19"/>
        <v>0</v>
      </c>
      <c r="BF11" s="386" t="b">
        <f t="shared" si="20"/>
        <v>0</v>
      </c>
      <c r="BG11" s="455" t="b">
        <f t="shared" si="21"/>
        <v>0</v>
      </c>
      <c r="BH11" s="455" t="str">
        <f t="shared" si="32"/>
        <v/>
      </c>
      <c r="BI11" s="455" t="str">
        <f t="shared" si="22"/>
        <v/>
      </c>
      <c r="BJ11" s="455" t="str">
        <f t="shared" si="23"/>
        <v/>
      </c>
      <c r="BK11" s="455" t="str">
        <f t="shared" si="24"/>
        <v/>
      </c>
      <c r="BL11" s="387" t="str">
        <f t="shared" si="33"/>
        <v/>
      </c>
      <c r="BM11" s="455" t="str">
        <f t="shared" si="25"/>
        <v/>
      </c>
      <c r="BN11" s="455" t="str">
        <f t="shared" si="26"/>
        <v/>
      </c>
      <c r="BO11" s="394">
        <v>1</v>
      </c>
      <c r="BP11" s="395" t="s">
        <v>467</v>
      </c>
    </row>
    <row r="12" spans="2:73" s="234" customFormat="1" ht="12.95" customHeight="1" x14ac:dyDescent="0.2">
      <c r="B12" s="390">
        <f>IF(ISNA(Z12),"",IF(OR(Z12=1,Z12=2),"    ",MAX($B$8:B11)+1))</f>
        <v>3</v>
      </c>
      <c r="C12" s="1441" t="str">
        <f t="shared" si="0"/>
        <v xml:space="preserve">      - Specific Test Objectives (10.0%)</v>
      </c>
      <c r="D12" s="1441"/>
      <c r="E12" s="1441"/>
      <c r="F12" s="1442"/>
      <c r="G12" s="377">
        <f t="shared" si="1"/>
        <v>1</v>
      </c>
      <c r="H12" s="378" t="str">
        <f t="shared" si="2"/>
        <v>2*</v>
      </c>
      <c r="I12" s="391">
        <f t="shared" si="2"/>
        <v>3</v>
      </c>
      <c r="J12" s="396"/>
      <c r="K12" s="393"/>
      <c r="L12" s="1455"/>
      <c r="M12" s="1456"/>
      <c r="N12" s="1456"/>
      <c r="O12" s="1456"/>
      <c r="P12" s="1456"/>
      <c r="Q12" s="1456"/>
      <c r="R12" s="1457"/>
      <c r="T12" s="344">
        <v>5</v>
      </c>
      <c r="U12" s="335" t="s">
        <v>633</v>
      </c>
      <c r="V12" s="455">
        <v>1</v>
      </c>
      <c r="W12" s="455">
        <v>1</v>
      </c>
      <c r="X12" s="455" t="s">
        <v>340</v>
      </c>
      <c r="Y12" s="455" t="s">
        <v>340</v>
      </c>
      <c r="Z12" s="385" t="s">
        <v>340</v>
      </c>
      <c r="AA12" s="385">
        <v>2</v>
      </c>
      <c r="AB12" s="385">
        <v>1</v>
      </c>
      <c r="AC12" s="455">
        <v>3</v>
      </c>
      <c r="AD12" s="455">
        <v>2</v>
      </c>
      <c r="AE12" s="455">
        <v>1</v>
      </c>
      <c r="AF12" s="455" t="b">
        <v>1</v>
      </c>
      <c r="AG12" s="455">
        <f t="shared" si="3"/>
        <v>2</v>
      </c>
      <c r="AH12" s="455">
        <f t="shared" si="4"/>
        <v>1</v>
      </c>
      <c r="AI12" s="138">
        <f>IF(NOT(OR(Z12=1,Z12=2)),IF(AQ12&gt;0,$AR$44*AQ12/SUMIF($AQ$8:$AQ$39,"&gt;0"),IF(AU12&gt;0,$AV$44*AU12/SUMIF($AU$8:$AU$39,"&gt;0"),IF(AS12&gt;0,$AT$44*AS12/SUMIF($AS$8:$AS$39,"&gt;0"),""))),IF(SUMIF(AJ13:$AJ$39,"=" &amp; AJ12,AI13:$AI$39)=0,"",SUMIF(AJ13:$AJ$39,"=" &amp; AJ12,AI13:$AI$39)))</f>
        <v>0.1</v>
      </c>
      <c r="AJ12" s="139">
        <f t="shared" si="34"/>
        <v>1</v>
      </c>
      <c r="AK12" s="455">
        <f t="shared" si="27"/>
        <v>2</v>
      </c>
      <c r="AL12" s="385" t="str">
        <f t="shared" si="28"/>
        <v/>
      </c>
      <c r="AM12" s="385" t="str">
        <f t="shared" si="35"/>
        <v/>
      </c>
      <c r="AN12" s="385" t="str">
        <f t="shared" si="5"/>
        <v/>
      </c>
      <c r="AO12" s="385" t="str">
        <f t="shared" si="6"/>
        <v/>
      </c>
      <c r="AP12" s="455" t="b">
        <f t="shared" si="7"/>
        <v>1</v>
      </c>
      <c r="AQ12" s="382">
        <f t="shared" si="29"/>
        <v>1</v>
      </c>
      <c r="AR12" s="141" t="str">
        <f t="shared" si="8"/>
        <v/>
      </c>
      <c r="AS12" s="142">
        <f t="shared" si="30"/>
        <v>0</v>
      </c>
      <c r="AT12" s="141" t="str">
        <f t="shared" si="9"/>
        <v/>
      </c>
      <c r="AU12" s="383">
        <f t="shared" si="10"/>
        <v>0</v>
      </c>
      <c r="AV12" s="144" t="str">
        <f t="shared" si="11"/>
        <v/>
      </c>
      <c r="AW12" s="383" t="b">
        <f t="shared" si="12"/>
        <v>0</v>
      </c>
      <c r="AX12" s="384" t="b">
        <f t="shared" si="13"/>
        <v>1</v>
      </c>
      <c r="AY12" s="383" t="b">
        <f t="shared" si="14"/>
        <v>0</v>
      </c>
      <c r="AZ12" s="384" t="b">
        <f t="shared" si="15"/>
        <v>0</v>
      </c>
      <c r="BA12" s="455" t="b">
        <f t="shared" si="16"/>
        <v>0</v>
      </c>
      <c r="BB12" s="455" t="b">
        <f t="shared" si="17"/>
        <v>0</v>
      </c>
      <c r="BC12" s="383" t="b">
        <f t="shared" si="18"/>
        <v>0</v>
      </c>
      <c r="BD12" s="385" t="b">
        <f t="shared" si="31"/>
        <v>0</v>
      </c>
      <c r="BE12" s="384" t="b">
        <f t="shared" si="19"/>
        <v>0</v>
      </c>
      <c r="BF12" s="386" t="b">
        <f t="shared" si="20"/>
        <v>0</v>
      </c>
      <c r="BG12" s="455" t="b">
        <f t="shared" si="21"/>
        <v>1</v>
      </c>
      <c r="BH12" s="455">
        <f t="shared" si="32"/>
        <v>1</v>
      </c>
      <c r="BI12" s="455">
        <f t="shared" si="22"/>
        <v>2</v>
      </c>
      <c r="BJ12" s="455" t="str">
        <f t="shared" si="23"/>
        <v>2*</v>
      </c>
      <c r="BK12" s="455">
        <f t="shared" si="24"/>
        <v>3</v>
      </c>
      <c r="BL12" s="387">
        <f t="shared" si="33"/>
        <v>1</v>
      </c>
      <c r="BM12" s="455">
        <f t="shared" si="25"/>
        <v>2</v>
      </c>
      <c r="BN12" s="455">
        <f t="shared" si="26"/>
        <v>3</v>
      </c>
      <c r="BO12" s="394">
        <v>2</v>
      </c>
      <c r="BP12" s="395" t="s">
        <v>350</v>
      </c>
    </row>
    <row r="13" spans="2:73" s="234" customFormat="1" ht="12.95" customHeight="1" x14ac:dyDescent="0.2">
      <c r="B13" s="390">
        <f>IF(ISNA(Z13),"",IF(OR(Z13=1,Z13=2),"    ",MAX($B$8:B12)+1))</f>
        <v>4</v>
      </c>
      <c r="C13" s="1441" t="str">
        <f t="shared" si="0"/>
        <v xml:space="preserve">      - Evaluation Elements (10.0%)</v>
      </c>
      <c r="D13" s="1441"/>
      <c r="E13" s="1441"/>
      <c r="F13" s="1442"/>
      <c r="G13" s="377">
        <f t="shared" si="1"/>
        <v>1</v>
      </c>
      <c r="H13" s="378" t="str">
        <f t="shared" si="2"/>
        <v>2</v>
      </c>
      <c r="I13" s="391">
        <f t="shared" si="2"/>
        <v>3</v>
      </c>
      <c r="J13" s="396"/>
      <c r="K13" s="393"/>
      <c r="L13" s="1455"/>
      <c r="M13" s="1456"/>
      <c r="N13" s="1456"/>
      <c r="O13" s="1456"/>
      <c r="P13" s="1456"/>
      <c r="Q13" s="1456"/>
      <c r="R13" s="1457"/>
      <c r="T13" s="344">
        <v>6</v>
      </c>
      <c r="U13" s="335" t="s">
        <v>634</v>
      </c>
      <c r="V13" s="455">
        <v>1</v>
      </c>
      <c r="W13" s="455">
        <v>1</v>
      </c>
      <c r="X13" s="455" t="s">
        <v>340</v>
      </c>
      <c r="Y13" s="455" t="s">
        <v>340</v>
      </c>
      <c r="Z13" s="385" t="s">
        <v>340</v>
      </c>
      <c r="AA13" s="385">
        <v>2</v>
      </c>
      <c r="AB13" s="385">
        <v>1</v>
      </c>
      <c r="AC13" s="455">
        <v>3</v>
      </c>
      <c r="AD13" s="455">
        <v>2</v>
      </c>
      <c r="AE13" s="455">
        <v>0</v>
      </c>
      <c r="AF13" s="455" t="b">
        <v>1</v>
      </c>
      <c r="AG13" s="455">
        <f t="shared" si="3"/>
        <v>2</v>
      </c>
      <c r="AH13" s="455">
        <f t="shared" si="4"/>
        <v>1</v>
      </c>
      <c r="AI13" s="138">
        <f>IF(NOT(OR(Z13=1,Z13=2)),IF(AQ13&gt;0,$AR$44*AQ13/SUMIF($AQ$8:$AQ$39,"&gt;0"),IF(AU13&gt;0,$AV$44*AU13/SUMIF($AU$8:$AU$39,"&gt;0"),IF(AS13&gt;0,$AT$44*AS13/SUMIF($AS$8:$AS$39,"&gt;0"),""))),IF(SUMIF(AJ14:$AJ$39,"=" &amp; AJ13,AI14:$AI$39)=0,"",SUMIF(AJ14:$AJ$39,"=" &amp; AJ13,AI14:$AI$39)))</f>
        <v>0.1</v>
      </c>
      <c r="AJ13" s="139">
        <f t="shared" si="34"/>
        <v>1</v>
      </c>
      <c r="AK13" s="455">
        <f t="shared" si="27"/>
        <v>2</v>
      </c>
      <c r="AL13" s="385" t="str">
        <f t="shared" si="28"/>
        <v/>
      </c>
      <c r="AM13" s="385" t="str">
        <f t="shared" si="35"/>
        <v/>
      </c>
      <c r="AN13" s="385" t="str">
        <f t="shared" si="5"/>
        <v/>
      </c>
      <c r="AO13" s="385" t="str">
        <f t="shared" si="6"/>
        <v/>
      </c>
      <c r="AP13" s="455" t="b">
        <f t="shared" si="7"/>
        <v>1</v>
      </c>
      <c r="AQ13" s="382">
        <f t="shared" si="29"/>
        <v>1</v>
      </c>
      <c r="AR13" s="141" t="str">
        <f t="shared" si="8"/>
        <v/>
      </c>
      <c r="AS13" s="142">
        <f t="shared" si="30"/>
        <v>0</v>
      </c>
      <c r="AT13" s="141" t="str">
        <f t="shared" si="9"/>
        <v/>
      </c>
      <c r="AU13" s="383">
        <f t="shared" si="10"/>
        <v>0</v>
      </c>
      <c r="AV13" s="144" t="str">
        <f t="shared" si="11"/>
        <v/>
      </c>
      <c r="AW13" s="383" t="b">
        <f t="shared" si="12"/>
        <v>0</v>
      </c>
      <c r="AX13" s="384" t="b">
        <f t="shared" si="13"/>
        <v>1</v>
      </c>
      <c r="AY13" s="383" t="b">
        <f t="shared" si="14"/>
        <v>0</v>
      </c>
      <c r="AZ13" s="384" t="b">
        <f t="shared" si="15"/>
        <v>0</v>
      </c>
      <c r="BA13" s="455" t="b">
        <f t="shared" si="16"/>
        <v>0</v>
      </c>
      <c r="BB13" s="455" t="b">
        <f t="shared" si="17"/>
        <v>0</v>
      </c>
      <c r="BC13" s="383" t="b">
        <f t="shared" si="18"/>
        <v>0</v>
      </c>
      <c r="BD13" s="385" t="b">
        <f t="shared" si="31"/>
        <v>0</v>
      </c>
      <c r="BE13" s="384" t="b">
        <f t="shared" si="19"/>
        <v>0</v>
      </c>
      <c r="BF13" s="386" t="b">
        <f t="shared" si="20"/>
        <v>0</v>
      </c>
      <c r="BG13" s="455" t="b">
        <f t="shared" si="21"/>
        <v>1</v>
      </c>
      <c r="BH13" s="455">
        <f t="shared" si="32"/>
        <v>1</v>
      </c>
      <c r="BI13" s="455">
        <f t="shared" si="22"/>
        <v>2</v>
      </c>
      <c r="BJ13" s="455" t="str">
        <f t="shared" si="23"/>
        <v>2</v>
      </c>
      <c r="BK13" s="455">
        <f t="shared" si="24"/>
        <v>3</v>
      </c>
      <c r="BL13" s="387">
        <f t="shared" si="33"/>
        <v>1</v>
      </c>
      <c r="BM13" s="455">
        <f t="shared" si="25"/>
        <v>2</v>
      </c>
      <c r="BN13" s="455">
        <f t="shared" si="26"/>
        <v>3</v>
      </c>
      <c r="BO13" s="394">
        <v>3</v>
      </c>
      <c r="BP13" s="395" t="s">
        <v>352</v>
      </c>
    </row>
    <row r="14" spans="2:73" s="234" customFormat="1" ht="12.95" customHeight="1" x14ac:dyDescent="0.2">
      <c r="B14" s="390">
        <f>IF(ISNA(Z14),"",IF(OR(Z14=1,Z14=2),"    ",MAX($B$8:B13)+1))</f>
        <v>5</v>
      </c>
      <c r="C14" s="1441" t="str">
        <f t="shared" si="0"/>
        <v xml:space="preserve">      - Description (10.0%)</v>
      </c>
      <c r="D14" s="1441"/>
      <c r="E14" s="1441"/>
      <c r="F14" s="1442"/>
      <c r="G14" s="377">
        <f t="shared" si="1"/>
        <v>1</v>
      </c>
      <c r="H14" s="378" t="str">
        <f t="shared" si="2"/>
        <v>2</v>
      </c>
      <c r="I14" s="391">
        <f t="shared" si="2"/>
        <v>3</v>
      </c>
      <c r="J14" s="396"/>
      <c r="K14" s="393"/>
      <c r="L14" s="1455"/>
      <c r="M14" s="1456"/>
      <c r="N14" s="1456"/>
      <c r="O14" s="1456"/>
      <c r="P14" s="1456"/>
      <c r="Q14" s="1456"/>
      <c r="R14" s="1457"/>
      <c r="T14" s="344">
        <v>7</v>
      </c>
      <c r="U14" s="335" t="s">
        <v>635</v>
      </c>
      <c r="V14" s="455">
        <v>1</v>
      </c>
      <c r="W14" s="455">
        <v>1</v>
      </c>
      <c r="X14" s="455" t="s">
        <v>340</v>
      </c>
      <c r="Y14" s="455" t="s">
        <v>340</v>
      </c>
      <c r="Z14" s="385" t="s">
        <v>340</v>
      </c>
      <c r="AA14" s="385">
        <v>2</v>
      </c>
      <c r="AB14" s="385">
        <v>1</v>
      </c>
      <c r="AC14" s="455">
        <v>3</v>
      </c>
      <c r="AD14" s="455">
        <v>2</v>
      </c>
      <c r="AE14" s="455">
        <v>0</v>
      </c>
      <c r="AF14" s="455" t="b">
        <v>1</v>
      </c>
      <c r="AG14" s="455">
        <f t="shared" si="3"/>
        <v>2</v>
      </c>
      <c r="AH14" s="455">
        <f t="shared" si="4"/>
        <v>1</v>
      </c>
      <c r="AI14" s="138">
        <f>IF(NOT(OR(Z14=1,Z14=2)),IF(AQ14&gt;0,$AR$44*AQ14/SUMIF($AQ$8:$AQ$39,"&gt;0"),IF(AU14&gt;0,$AV$44*AU14/SUMIF($AU$8:$AU$39,"&gt;0"),IF(AS14&gt;0,$AT$44*AS14/SUMIF($AS$8:$AS$39,"&gt;0"),""))),IF(SUMIF(AJ15:$AJ$39,"=" &amp; AJ14,AI15:$AI$39)=0,"",SUMIF(AJ15:$AJ$39,"=" &amp; AJ14,AI15:$AI$39)))</f>
        <v>0.1</v>
      </c>
      <c r="AJ14" s="139">
        <f t="shared" si="34"/>
        <v>1</v>
      </c>
      <c r="AK14" s="455">
        <f t="shared" si="27"/>
        <v>2</v>
      </c>
      <c r="AL14" s="385" t="str">
        <f t="shared" si="28"/>
        <v/>
      </c>
      <c r="AM14" s="385" t="str">
        <f t="shared" si="35"/>
        <v/>
      </c>
      <c r="AN14" s="385" t="str">
        <f t="shared" si="5"/>
        <v/>
      </c>
      <c r="AO14" s="385" t="str">
        <f t="shared" si="6"/>
        <v/>
      </c>
      <c r="AP14" s="455" t="b">
        <f t="shared" si="7"/>
        <v>1</v>
      </c>
      <c r="AQ14" s="382">
        <f t="shared" si="29"/>
        <v>1</v>
      </c>
      <c r="AR14" s="141" t="str">
        <f t="shared" si="8"/>
        <v/>
      </c>
      <c r="AS14" s="142">
        <f t="shared" si="30"/>
        <v>0</v>
      </c>
      <c r="AT14" s="141" t="str">
        <f t="shared" si="9"/>
        <v/>
      </c>
      <c r="AU14" s="383">
        <f t="shared" si="10"/>
        <v>0</v>
      </c>
      <c r="AV14" s="144" t="str">
        <f t="shared" si="11"/>
        <v/>
      </c>
      <c r="AW14" s="383" t="b">
        <f t="shared" si="12"/>
        <v>0</v>
      </c>
      <c r="AX14" s="384" t="b">
        <f t="shared" si="13"/>
        <v>1</v>
      </c>
      <c r="AY14" s="383" t="b">
        <f t="shared" si="14"/>
        <v>0</v>
      </c>
      <c r="AZ14" s="384" t="b">
        <f t="shared" si="15"/>
        <v>0</v>
      </c>
      <c r="BA14" s="455" t="b">
        <f t="shared" si="16"/>
        <v>0</v>
      </c>
      <c r="BB14" s="455" t="b">
        <f t="shared" si="17"/>
        <v>0</v>
      </c>
      <c r="BC14" s="383" t="b">
        <f t="shared" si="18"/>
        <v>0</v>
      </c>
      <c r="BD14" s="385" t="b">
        <f t="shared" si="31"/>
        <v>0</v>
      </c>
      <c r="BE14" s="384" t="b">
        <f t="shared" si="19"/>
        <v>0</v>
      </c>
      <c r="BF14" s="386" t="b">
        <f t="shared" si="20"/>
        <v>0</v>
      </c>
      <c r="BG14" s="455" t="b">
        <f t="shared" si="21"/>
        <v>1</v>
      </c>
      <c r="BH14" s="455">
        <f t="shared" si="32"/>
        <v>1</v>
      </c>
      <c r="BI14" s="455">
        <f t="shared" si="22"/>
        <v>2</v>
      </c>
      <c r="BJ14" s="455" t="str">
        <f t="shared" si="23"/>
        <v>2</v>
      </c>
      <c r="BK14" s="455">
        <f t="shared" si="24"/>
        <v>3</v>
      </c>
      <c r="BL14" s="387">
        <f t="shared" si="33"/>
        <v>1</v>
      </c>
      <c r="BM14" s="455">
        <f t="shared" si="25"/>
        <v>2</v>
      </c>
      <c r="BN14" s="455">
        <f t="shared" si="26"/>
        <v>3</v>
      </c>
      <c r="BO14" s="394">
        <v>4</v>
      </c>
      <c r="BP14" s="395" t="s">
        <v>354</v>
      </c>
    </row>
    <row r="15" spans="2:73" s="234" customFormat="1" ht="12.95" customHeight="1" x14ac:dyDescent="0.2">
      <c r="B15" s="390">
        <f>IF(ISNA(Z15),"",IF(OR(Z15=1,Z15=2),"    ",MAX($B$8:B14)+1))</f>
        <v>6</v>
      </c>
      <c r="C15" s="1441" t="str">
        <f t="shared" si="0"/>
        <v xml:space="preserve">      - Test Methodology (10.0%)</v>
      </c>
      <c r="D15" s="1441"/>
      <c r="E15" s="1441"/>
      <c r="F15" s="1442"/>
      <c r="G15" s="377">
        <f t="shared" si="1"/>
        <v>1</v>
      </c>
      <c r="H15" s="378" t="str">
        <f t="shared" si="2"/>
        <v>2</v>
      </c>
      <c r="I15" s="391">
        <f t="shared" si="2"/>
        <v>3</v>
      </c>
      <c r="J15" s="396"/>
      <c r="K15" s="393"/>
      <c r="L15" s="1455"/>
      <c r="M15" s="1456"/>
      <c r="N15" s="1456"/>
      <c r="O15" s="1456"/>
      <c r="P15" s="1456"/>
      <c r="Q15" s="1456"/>
      <c r="R15" s="1457"/>
      <c r="T15" s="344">
        <v>8</v>
      </c>
      <c r="U15" s="335" t="s">
        <v>636</v>
      </c>
      <c r="V15" s="455">
        <v>1</v>
      </c>
      <c r="W15" s="455">
        <v>1</v>
      </c>
      <c r="X15" s="455" t="s">
        <v>340</v>
      </c>
      <c r="Y15" s="455" t="s">
        <v>340</v>
      </c>
      <c r="Z15" s="385" t="s">
        <v>340</v>
      </c>
      <c r="AA15" s="385">
        <v>2</v>
      </c>
      <c r="AB15" s="385">
        <v>1</v>
      </c>
      <c r="AC15" s="455">
        <v>3</v>
      </c>
      <c r="AD15" s="455">
        <v>2</v>
      </c>
      <c r="AE15" s="455">
        <v>0</v>
      </c>
      <c r="AF15" s="455" t="b">
        <v>1</v>
      </c>
      <c r="AG15" s="455">
        <f t="shared" si="3"/>
        <v>2</v>
      </c>
      <c r="AH15" s="455">
        <f t="shared" si="4"/>
        <v>1</v>
      </c>
      <c r="AI15" s="138">
        <f>IF(NOT(OR(Z15=1,Z15=2)),IF(AQ15&gt;0,$AR$44*AQ15/SUMIF($AQ$8:$AQ$39,"&gt;0"),IF(AU15&gt;0,$AV$44*AU15/SUMIF($AU$8:$AU$39,"&gt;0"),IF(AS15&gt;0,$AT$44*AS15/SUMIF($AS$8:$AS$39,"&gt;0"),""))),IF(SUMIF(AJ16:$AJ$39,"=" &amp; AJ15,AI16:$AI$39)=0,"",SUMIF(AJ16:$AJ$39,"=" &amp; AJ15,AI16:$AI$39)))</f>
        <v>0.1</v>
      </c>
      <c r="AJ15" s="139">
        <f t="shared" si="34"/>
        <v>1</v>
      </c>
      <c r="AK15" s="455">
        <f t="shared" si="27"/>
        <v>2</v>
      </c>
      <c r="AL15" s="385" t="str">
        <f t="shared" si="28"/>
        <v/>
      </c>
      <c r="AM15" s="385" t="str">
        <f t="shared" si="35"/>
        <v/>
      </c>
      <c r="AN15" s="385" t="str">
        <f t="shared" si="5"/>
        <v/>
      </c>
      <c r="AO15" s="385" t="str">
        <f t="shared" si="6"/>
        <v/>
      </c>
      <c r="AP15" s="455" t="b">
        <f t="shared" si="7"/>
        <v>1</v>
      </c>
      <c r="AQ15" s="382">
        <f t="shared" si="29"/>
        <v>1</v>
      </c>
      <c r="AR15" s="141" t="str">
        <f t="shared" si="8"/>
        <v/>
      </c>
      <c r="AS15" s="142">
        <f t="shared" si="30"/>
        <v>0</v>
      </c>
      <c r="AT15" s="141" t="str">
        <f t="shared" si="9"/>
        <v/>
      </c>
      <c r="AU15" s="383">
        <f t="shared" si="10"/>
        <v>0</v>
      </c>
      <c r="AV15" s="144" t="str">
        <f t="shared" si="11"/>
        <v/>
      </c>
      <c r="AW15" s="383" t="b">
        <f t="shared" si="12"/>
        <v>0</v>
      </c>
      <c r="AX15" s="384" t="b">
        <f t="shared" si="13"/>
        <v>1</v>
      </c>
      <c r="AY15" s="383" t="b">
        <f t="shared" si="14"/>
        <v>0</v>
      </c>
      <c r="AZ15" s="384" t="b">
        <f t="shared" si="15"/>
        <v>0</v>
      </c>
      <c r="BA15" s="455" t="b">
        <f t="shared" si="16"/>
        <v>0</v>
      </c>
      <c r="BB15" s="455" t="b">
        <f t="shared" si="17"/>
        <v>0</v>
      </c>
      <c r="BC15" s="383" t="b">
        <f t="shared" si="18"/>
        <v>0</v>
      </c>
      <c r="BD15" s="385" t="b">
        <f t="shared" si="31"/>
        <v>0</v>
      </c>
      <c r="BE15" s="384" t="b">
        <f t="shared" si="19"/>
        <v>0</v>
      </c>
      <c r="BF15" s="386" t="b">
        <f t="shared" si="20"/>
        <v>0</v>
      </c>
      <c r="BG15" s="455" t="b">
        <f t="shared" si="21"/>
        <v>1</v>
      </c>
      <c r="BH15" s="455">
        <f t="shared" si="32"/>
        <v>1</v>
      </c>
      <c r="BI15" s="455">
        <f t="shared" si="22"/>
        <v>2</v>
      </c>
      <c r="BJ15" s="455" t="str">
        <f t="shared" si="23"/>
        <v>2</v>
      </c>
      <c r="BK15" s="455">
        <f t="shared" si="24"/>
        <v>3</v>
      </c>
      <c r="BL15" s="387">
        <f t="shared" si="33"/>
        <v>1</v>
      </c>
      <c r="BM15" s="455">
        <f t="shared" si="25"/>
        <v>2</v>
      </c>
      <c r="BN15" s="455">
        <f t="shared" si="26"/>
        <v>3</v>
      </c>
      <c r="BO15" s="244"/>
    </row>
    <row r="16" spans="2:73" s="234" customFormat="1" ht="12.95" customHeight="1" x14ac:dyDescent="0.2">
      <c r="B16" s="390">
        <f>IF(ISNA(Z16),"",IF(OR(Z16=1,Z16=2),"    ",MAX($B$8:B15)+1))</f>
        <v>7</v>
      </c>
      <c r="C16" s="1441" t="str">
        <f t="shared" si="0"/>
        <v xml:space="preserve">      - Evaluation Criteria (10.0%)</v>
      </c>
      <c r="D16" s="1441"/>
      <c r="E16" s="1441"/>
      <c r="F16" s="1442"/>
      <c r="G16" s="377">
        <f t="shared" si="1"/>
        <v>1</v>
      </c>
      <c r="H16" s="378" t="str">
        <f t="shared" si="2"/>
        <v>2</v>
      </c>
      <c r="I16" s="391">
        <f t="shared" si="2"/>
        <v>3</v>
      </c>
      <c r="J16" s="396"/>
      <c r="K16" s="393"/>
      <c r="L16" s="1455"/>
      <c r="M16" s="1456"/>
      <c r="N16" s="1456"/>
      <c r="O16" s="1456"/>
      <c r="P16" s="1456"/>
      <c r="Q16" s="1456"/>
      <c r="R16" s="1457"/>
      <c r="T16" s="344">
        <v>9</v>
      </c>
      <c r="U16" s="335" t="s">
        <v>637</v>
      </c>
      <c r="V16" s="455">
        <v>1</v>
      </c>
      <c r="W16" s="455">
        <v>1</v>
      </c>
      <c r="X16" s="455" t="s">
        <v>340</v>
      </c>
      <c r="Y16" s="455" t="s">
        <v>340</v>
      </c>
      <c r="Z16" s="385" t="s">
        <v>340</v>
      </c>
      <c r="AA16" s="385">
        <v>2</v>
      </c>
      <c r="AB16" s="385">
        <v>1</v>
      </c>
      <c r="AC16" s="455">
        <v>3</v>
      </c>
      <c r="AD16" s="455">
        <v>2</v>
      </c>
      <c r="AE16" s="455">
        <v>0</v>
      </c>
      <c r="AF16" s="455" t="b">
        <v>1</v>
      </c>
      <c r="AG16" s="455">
        <f t="shared" si="3"/>
        <v>2</v>
      </c>
      <c r="AH16" s="455">
        <f t="shared" si="4"/>
        <v>1</v>
      </c>
      <c r="AI16" s="138">
        <f>IF(NOT(OR(Z16=1,Z16=2)),IF(AQ16&gt;0,$AR$44*AQ16/SUMIF($AQ$8:$AQ$39,"&gt;0"),IF(AU16&gt;0,$AV$44*AU16/SUMIF($AU$8:$AU$39,"&gt;0"),IF(AS16&gt;0,$AT$44*AS16/SUMIF($AS$8:$AS$39,"&gt;0"),""))),IF(SUMIF(AJ17:$AJ$39,"=" &amp; AJ16,AI17:$AI$39)=0,"",SUMIF(AJ17:$AJ$39,"=" &amp; AJ16,AI17:$AI$39)))</f>
        <v>0.1</v>
      </c>
      <c r="AJ16" s="139">
        <f t="shared" si="34"/>
        <v>1</v>
      </c>
      <c r="AK16" s="455">
        <f t="shared" si="27"/>
        <v>2</v>
      </c>
      <c r="AL16" s="385" t="str">
        <f t="shared" si="28"/>
        <v/>
      </c>
      <c r="AM16" s="385" t="str">
        <f t="shared" si="35"/>
        <v/>
      </c>
      <c r="AN16" s="385" t="str">
        <f t="shared" si="5"/>
        <v/>
      </c>
      <c r="AO16" s="385" t="str">
        <f t="shared" si="6"/>
        <v/>
      </c>
      <c r="AP16" s="455" t="b">
        <f t="shared" si="7"/>
        <v>1</v>
      </c>
      <c r="AQ16" s="382">
        <f t="shared" si="29"/>
        <v>1</v>
      </c>
      <c r="AR16" s="141" t="str">
        <f t="shared" si="8"/>
        <v/>
      </c>
      <c r="AS16" s="142">
        <f t="shared" si="30"/>
        <v>0</v>
      </c>
      <c r="AT16" s="141" t="str">
        <f t="shared" si="9"/>
        <v/>
      </c>
      <c r="AU16" s="383">
        <f t="shared" si="10"/>
        <v>0</v>
      </c>
      <c r="AV16" s="144" t="str">
        <f t="shared" si="11"/>
        <v/>
      </c>
      <c r="AW16" s="383" t="b">
        <f t="shared" si="12"/>
        <v>0</v>
      </c>
      <c r="AX16" s="384" t="b">
        <f t="shared" si="13"/>
        <v>1</v>
      </c>
      <c r="AY16" s="383" t="b">
        <f t="shared" si="14"/>
        <v>0</v>
      </c>
      <c r="AZ16" s="384" t="b">
        <f t="shared" si="15"/>
        <v>0</v>
      </c>
      <c r="BA16" s="455" t="b">
        <f t="shared" si="16"/>
        <v>0</v>
      </c>
      <c r="BB16" s="455" t="b">
        <f t="shared" si="17"/>
        <v>0</v>
      </c>
      <c r="BC16" s="383" t="b">
        <f t="shared" si="18"/>
        <v>0</v>
      </c>
      <c r="BD16" s="385" t="b">
        <f t="shared" si="31"/>
        <v>0</v>
      </c>
      <c r="BE16" s="384" t="b">
        <f t="shared" si="19"/>
        <v>0</v>
      </c>
      <c r="BF16" s="386" t="b">
        <f t="shared" si="20"/>
        <v>0</v>
      </c>
      <c r="BG16" s="455" t="b">
        <f t="shared" si="21"/>
        <v>1</v>
      </c>
      <c r="BH16" s="455">
        <f t="shared" si="32"/>
        <v>1</v>
      </c>
      <c r="BI16" s="455">
        <f t="shared" si="22"/>
        <v>2</v>
      </c>
      <c r="BJ16" s="455" t="str">
        <f t="shared" si="23"/>
        <v>2</v>
      </c>
      <c r="BK16" s="455">
        <f t="shared" si="24"/>
        <v>3</v>
      </c>
      <c r="BL16" s="387">
        <f t="shared" si="33"/>
        <v>1</v>
      </c>
      <c r="BM16" s="455">
        <f t="shared" si="25"/>
        <v>2</v>
      </c>
      <c r="BN16" s="455">
        <f t="shared" si="26"/>
        <v>3</v>
      </c>
      <c r="BO16" s="394"/>
      <c r="BP16" s="399"/>
    </row>
    <row r="17" spans="2:73" s="234" customFormat="1" ht="12.95" customHeight="1" x14ac:dyDescent="0.2">
      <c r="B17" s="390" t="str">
        <f>IF(ISNA(Z17),"",IF(OR(Z17=1,Z17=2),"    ",MAX($B$8:B16)+1))</f>
        <v xml:space="preserve">    </v>
      </c>
      <c r="C17" s="1441" t="str">
        <f t="shared" si="0"/>
        <v>Test Cards (10.0%)</v>
      </c>
      <c r="D17" s="1441"/>
      <c r="E17" s="1441"/>
      <c r="F17" s="1442"/>
      <c r="G17" s="377" t="str">
        <f t="shared" si="1"/>
        <v/>
      </c>
      <c r="H17" s="378" t="str">
        <f t="shared" si="2"/>
        <v/>
      </c>
      <c r="I17" s="391" t="str">
        <f t="shared" si="2"/>
        <v/>
      </c>
      <c r="J17" s="397"/>
      <c r="K17" s="398"/>
      <c r="L17" s="1455"/>
      <c r="M17" s="1456"/>
      <c r="N17" s="1456"/>
      <c r="O17" s="1456"/>
      <c r="P17" s="1456"/>
      <c r="Q17" s="1456"/>
      <c r="R17" s="1457"/>
      <c r="T17" s="344">
        <v>10</v>
      </c>
      <c r="U17" s="335" t="s">
        <v>638</v>
      </c>
      <c r="V17" s="455" t="s">
        <v>340</v>
      </c>
      <c r="W17" s="455" t="s">
        <v>340</v>
      </c>
      <c r="X17" s="455" t="s">
        <v>340</v>
      </c>
      <c r="Y17" s="455" t="s">
        <v>340</v>
      </c>
      <c r="Z17" s="385">
        <v>2</v>
      </c>
      <c r="AA17" s="385">
        <v>1</v>
      </c>
      <c r="AB17" s="385">
        <v>1</v>
      </c>
      <c r="AC17" s="455" t="s">
        <v>340</v>
      </c>
      <c r="AD17" s="455" t="s">
        <v>340</v>
      </c>
      <c r="AE17" s="455" t="s">
        <v>340</v>
      </c>
      <c r="AF17" s="455" t="s">
        <v>340</v>
      </c>
      <c r="AG17" s="455" t="str">
        <f t="shared" si="3"/>
        <v/>
      </c>
      <c r="AH17" s="455" t="str">
        <f t="shared" si="4"/>
        <v/>
      </c>
      <c r="AI17" s="138">
        <f>IF(NOT(OR(Z17=1,Z17=2)),IF(AQ17&gt;0,$AR$44*AQ17/SUMIF($AQ$8:$AQ$39,"&gt;0"),IF(AU17&gt;0,$AV$44*AU17/SUMIF($AU$8:$AU$39,"&gt;0"),IF(AS17&gt;0,$AT$44*AS17/SUMIF($AS$8:$AS$39,"&gt;0"),""))),IF(SUMIF(AJ18:$AJ$39,"=" &amp; AJ17,AI18:$AI$39)=0,"",SUMIF(AJ18:$AJ$39,"=" &amp; AJ17,AI18:$AI$39)))</f>
        <v>0.1</v>
      </c>
      <c r="AJ17" s="139">
        <f t="shared" si="34"/>
        <v>2</v>
      </c>
      <c r="AK17" s="455" t="str">
        <f t="shared" si="27"/>
        <v/>
      </c>
      <c r="AL17" s="385" t="str">
        <f t="shared" si="28"/>
        <v/>
      </c>
      <c r="AM17" s="385" t="str">
        <f t="shared" si="35"/>
        <v/>
      </c>
      <c r="AN17" s="385" t="str">
        <f t="shared" si="5"/>
        <v/>
      </c>
      <c r="AO17" s="385" t="str">
        <f t="shared" si="6"/>
        <v/>
      </c>
      <c r="AP17" s="455" t="str">
        <f t="shared" si="7"/>
        <v/>
      </c>
      <c r="AQ17" s="382">
        <f t="shared" si="29"/>
        <v>0</v>
      </c>
      <c r="AR17" s="141" t="str">
        <f t="shared" si="8"/>
        <v/>
      </c>
      <c r="AS17" s="142">
        <f t="shared" si="30"/>
        <v>0</v>
      </c>
      <c r="AT17" s="141" t="str">
        <f t="shared" si="9"/>
        <v/>
      </c>
      <c r="AU17" s="383">
        <f t="shared" si="10"/>
        <v>0</v>
      </c>
      <c r="AV17" s="144" t="str">
        <f t="shared" si="11"/>
        <v/>
      </c>
      <c r="AW17" s="383" t="b">
        <f t="shared" si="12"/>
        <v>0</v>
      </c>
      <c r="AX17" s="384" t="b">
        <f t="shared" si="13"/>
        <v>0</v>
      </c>
      <c r="AY17" s="383" t="b">
        <f t="shared" si="14"/>
        <v>0</v>
      </c>
      <c r="AZ17" s="384" t="b">
        <f t="shared" si="15"/>
        <v>0</v>
      </c>
      <c r="BA17" s="455" t="b">
        <f t="shared" si="16"/>
        <v>0</v>
      </c>
      <c r="BB17" s="455" t="b">
        <f t="shared" si="17"/>
        <v>0</v>
      </c>
      <c r="BC17" s="383" t="b">
        <f t="shared" si="18"/>
        <v>0</v>
      </c>
      <c r="BD17" s="385" t="b">
        <f t="shared" si="31"/>
        <v>0</v>
      </c>
      <c r="BE17" s="384" t="b">
        <f t="shared" si="19"/>
        <v>0</v>
      </c>
      <c r="BF17" s="386" t="b">
        <f t="shared" si="20"/>
        <v>0</v>
      </c>
      <c r="BG17" s="455" t="b">
        <f t="shared" si="21"/>
        <v>0</v>
      </c>
      <c r="BH17" s="455" t="str">
        <f t="shared" si="32"/>
        <v/>
      </c>
      <c r="BI17" s="455" t="str">
        <f t="shared" si="22"/>
        <v/>
      </c>
      <c r="BJ17" s="455" t="str">
        <f t="shared" si="23"/>
        <v/>
      </c>
      <c r="BK17" s="455" t="str">
        <f t="shared" si="24"/>
        <v/>
      </c>
      <c r="BL17" s="387" t="str">
        <f t="shared" si="33"/>
        <v/>
      </c>
      <c r="BM17" s="455" t="str">
        <f t="shared" si="25"/>
        <v/>
      </c>
      <c r="BN17" s="455" t="str">
        <f t="shared" si="26"/>
        <v/>
      </c>
      <c r="BO17" s="244"/>
    </row>
    <row r="18" spans="2:73" s="234" customFormat="1" ht="12.95" customHeight="1" x14ac:dyDescent="0.2">
      <c r="B18" s="390">
        <f>IF(ISNA(Z18),"",IF(OR(Z18=1,Z18=2),"    ",MAX($B$8:B17)+1))</f>
        <v>8</v>
      </c>
      <c r="C18" s="1441" t="str">
        <f t="shared" si="0"/>
        <v xml:space="preserve">      - Test Cards (10.0%)</v>
      </c>
      <c r="D18" s="1441"/>
      <c r="E18" s="1441"/>
      <c r="F18" s="1442"/>
      <c r="G18" s="377">
        <f t="shared" si="1"/>
        <v>1</v>
      </c>
      <c r="H18" s="378" t="str">
        <f t="shared" si="2"/>
        <v>2</v>
      </c>
      <c r="I18" s="391">
        <f t="shared" si="2"/>
        <v>3</v>
      </c>
      <c r="J18" s="396"/>
      <c r="K18" s="393"/>
      <c r="L18" s="1455"/>
      <c r="M18" s="1456"/>
      <c r="N18" s="1456"/>
      <c r="O18" s="1456"/>
      <c r="P18" s="1456"/>
      <c r="Q18" s="1456"/>
      <c r="R18" s="1457"/>
      <c r="T18" s="344">
        <v>11</v>
      </c>
      <c r="U18" s="335" t="s">
        <v>639</v>
      </c>
      <c r="V18" s="455">
        <v>1</v>
      </c>
      <c r="W18" s="455">
        <v>1</v>
      </c>
      <c r="X18" s="455" t="s">
        <v>340</v>
      </c>
      <c r="Y18" s="455" t="s">
        <v>340</v>
      </c>
      <c r="Z18" s="385" t="s">
        <v>340</v>
      </c>
      <c r="AA18" s="385">
        <v>2</v>
      </c>
      <c r="AB18" s="385">
        <v>1</v>
      </c>
      <c r="AC18" s="455">
        <v>3</v>
      </c>
      <c r="AD18" s="455">
        <v>2</v>
      </c>
      <c r="AE18" s="455">
        <v>0</v>
      </c>
      <c r="AF18" s="455" t="b">
        <v>1</v>
      </c>
      <c r="AG18" s="455">
        <f t="shared" si="3"/>
        <v>2</v>
      </c>
      <c r="AH18" s="455">
        <f t="shared" si="4"/>
        <v>1</v>
      </c>
      <c r="AI18" s="138">
        <f>IF(NOT(OR(Z18=1,Z18=2)),IF(AQ18&gt;0,$AR$44*AQ18/SUMIF($AQ$8:$AQ$39,"&gt;0"),IF(AU18&gt;0,$AV$44*AU18/SUMIF($AU$8:$AU$39,"&gt;0"),IF(AS18&gt;0,$AT$44*AS18/SUMIF($AS$8:$AS$39,"&gt;0"),""))),IF(SUMIF(AJ19:$AJ$39,"=" &amp; AJ18,AI19:$AI$39)=0,"",SUMIF(AJ19:$AJ$39,"=" &amp; AJ18,AI19:$AI$39)))</f>
        <v>0.1</v>
      </c>
      <c r="AJ18" s="139">
        <f t="shared" si="34"/>
        <v>2</v>
      </c>
      <c r="AK18" s="455">
        <f t="shared" si="27"/>
        <v>2</v>
      </c>
      <c r="AL18" s="385" t="str">
        <f t="shared" si="28"/>
        <v/>
      </c>
      <c r="AM18" s="385" t="str">
        <f t="shared" si="35"/>
        <v/>
      </c>
      <c r="AN18" s="385" t="str">
        <f t="shared" si="5"/>
        <v/>
      </c>
      <c r="AO18" s="385" t="str">
        <f t="shared" si="6"/>
        <v/>
      </c>
      <c r="AP18" s="455" t="b">
        <f t="shared" si="7"/>
        <v>1</v>
      </c>
      <c r="AQ18" s="382">
        <f t="shared" si="29"/>
        <v>1</v>
      </c>
      <c r="AR18" s="141" t="str">
        <f t="shared" si="8"/>
        <v/>
      </c>
      <c r="AS18" s="142">
        <f t="shared" si="30"/>
        <v>0</v>
      </c>
      <c r="AT18" s="141" t="str">
        <f t="shared" si="9"/>
        <v/>
      </c>
      <c r="AU18" s="383">
        <f t="shared" si="10"/>
        <v>0</v>
      </c>
      <c r="AV18" s="144" t="str">
        <f t="shared" si="11"/>
        <v/>
      </c>
      <c r="AW18" s="383" t="b">
        <f t="shared" si="12"/>
        <v>0</v>
      </c>
      <c r="AX18" s="384" t="b">
        <f t="shared" si="13"/>
        <v>1</v>
      </c>
      <c r="AY18" s="383" t="b">
        <f t="shared" si="14"/>
        <v>0</v>
      </c>
      <c r="AZ18" s="384" t="b">
        <f t="shared" si="15"/>
        <v>0</v>
      </c>
      <c r="BA18" s="455" t="b">
        <f t="shared" si="16"/>
        <v>0</v>
      </c>
      <c r="BB18" s="455" t="b">
        <f t="shared" si="17"/>
        <v>0</v>
      </c>
      <c r="BC18" s="383" t="b">
        <f t="shared" si="18"/>
        <v>0</v>
      </c>
      <c r="BD18" s="385" t="b">
        <f t="shared" si="31"/>
        <v>0</v>
      </c>
      <c r="BE18" s="384" t="b">
        <f t="shared" si="19"/>
        <v>0</v>
      </c>
      <c r="BF18" s="386" t="b">
        <f t="shared" si="20"/>
        <v>0</v>
      </c>
      <c r="BG18" s="455" t="b">
        <f t="shared" si="21"/>
        <v>1</v>
      </c>
      <c r="BH18" s="455">
        <f t="shared" si="32"/>
        <v>1</v>
      </c>
      <c r="BI18" s="455">
        <f t="shared" si="22"/>
        <v>2</v>
      </c>
      <c r="BJ18" s="455" t="str">
        <f t="shared" si="23"/>
        <v>2</v>
      </c>
      <c r="BK18" s="455">
        <f t="shared" si="24"/>
        <v>3</v>
      </c>
      <c r="BL18" s="387">
        <f t="shared" si="33"/>
        <v>1</v>
      </c>
      <c r="BM18" s="455">
        <f t="shared" si="25"/>
        <v>2</v>
      </c>
      <c r="BN18" s="455">
        <f t="shared" si="26"/>
        <v>3</v>
      </c>
      <c r="BO18" s="218"/>
      <c r="BP18" s="399" t="s">
        <v>355</v>
      </c>
      <c r="BQ18" s="400"/>
      <c r="BR18" s="400"/>
      <c r="BS18" s="400"/>
      <c r="BT18" s="400"/>
      <c r="BU18" s="400"/>
    </row>
    <row r="19" spans="2:73" s="234" customFormat="1" ht="12.95" customHeight="1" x14ac:dyDescent="0.2">
      <c r="B19" s="390" t="str">
        <f>IF(ISNA(Z19),"",IF(OR(Z19=1,Z19=2),"    ",MAX($B$8:B18)+1))</f>
        <v xml:space="preserve">    </v>
      </c>
      <c r="C19" s="1441" t="str">
        <f t="shared" si="0"/>
        <v>Overall (20.0%)</v>
      </c>
      <c r="D19" s="1441"/>
      <c r="E19" s="1441"/>
      <c r="F19" s="1442"/>
      <c r="G19" s="377" t="str">
        <f t="shared" si="1"/>
        <v/>
      </c>
      <c r="H19" s="378" t="str">
        <f t="shared" si="2"/>
        <v/>
      </c>
      <c r="I19" s="391" t="str">
        <f t="shared" si="2"/>
        <v/>
      </c>
      <c r="J19" s="397"/>
      <c r="K19" s="398"/>
      <c r="L19" s="1455"/>
      <c r="M19" s="1456"/>
      <c r="N19" s="1456"/>
      <c r="O19" s="1456"/>
      <c r="P19" s="1456"/>
      <c r="Q19" s="1456"/>
      <c r="R19" s="1457"/>
      <c r="T19" s="344">
        <v>12</v>
      </c>
      <c r="U19" s="335" t="s">
        <v>469</v>
      </c>
      <c r="V19" s="455" t="s">
        <v>340</v>
      </c>
      <c r="W19" s="455" t="s">
        <v>340</v>
      </c>
      <c r="X19" s="455" t="s">
        <v>340</v>
      </c>
      <c r="Y19" s="455" t="s">
        <v>340</v>
      </c>
      <c r="Z19" s="385">
        <v>2</v>
      </c>
      <c r="AA19" s="385">
        <v>1</v>
      </c>
      <c r="AB19" s="385">
        <v>1</v>
      </c>
      <c r="AC19" s="455" t="s">
        <v>340</v>
      </c>
      <c r="AD19" s="455" t="s">
        <v>340</v>
      </c>
      <c r="AE19" s="455" t="s">
        <v>340</v>
      </c>
      <c r="AF19" s="455" t="s">
        <v>340</v>
      </c>
      <c r="AG19" s="455" t="str">
        <f t="shared" si="3"/>
        <v/>
      </c>
      <c r="AH19" s="455" t="str">
        <f t="shared" si="4"/>
        <v/>
      </c>
      <c r="AI19" s="138">
        <f>IF(NOT(OR(Z19=1,Z19=2)),IF(AQ19&gt;0,$AR$44*AQ19/SUMIF($AQ$8:$AQ$39,"&gt;0"),IF(AU19&gt;0,$AV$44*AU19/SUMIF($AU$8:$AU$39,"&gt;0"),IF(AS19&gt;0,$AT$44*AS19/SUMIF($AS$8:$AS$39,"&gt;0"),""))),IF(SUMIF(AJ20:$AJ$39,"=" &amp; AJ19,AI20:$AI$39)=0,"",SUMIF(AJ20:$AJ$39,"=" &amp; AJ19,AI20:$AI$39)))</f>
        <v>0.2</v>
      </c>
      <c r="AJ19" s="139">
        <f t="shared" si="34"/>
        <v>3</v>
      </c>
      <c r="AK19" s="455" t="str">
        <f t="shared" si="27"/>
        <v/>
      </c>
      <c r="AL19" s="385" t="str">
        <f t="shared" si="28"/>
        <v/>
      </c>
      <c r="AM19" s="385" t="str">
        <f t="shared" si="35"/>
        <v/>
      </c>
      <c r="AN19" s="385" t="str">
        <f t="shared" si="5"/>
        <v/>
      </c>
      <c r="AO19" s="385" t="str">
        <f t="shared" si="6"/>
        <v/>
      </c>
      <c r="AP19" s="455" t="str">
        <f t="shared" si="7"/>
        <v/>
      </c>
      <c r="AQ19" s="382">
        <f t="shared" si="29"/>
        <v>0</v>
      </c>
      <c r="AR19" s="141" t="str">
        <f t="shared" si="8"/>
        <v/>
      </c>
      <c r="AS19" s="142">
        <f t="shared" si="30"/>
        <v>0</v>
      </c>
      <c r="AT19" s="141" t="str">
        <f t="shared" si="9"/>
        <v/>
      </c>
      <c r="AU19" s="383">
        <f t="shared" si="10"/>
        <v>0</v>
      </c>
      <c r="AV19" s="144" t="str">
        <f t="shared" si="11"/>
        <v/>
      </c>
      <c r="AW19" s="383" t="b">
        <f t="shared" si="12"/>
        <v>0</v>
      </c>
      <c r="AX19" s="384" t="b">
        <f t="shared" si="13"/>
        <v>0</v>
      </c>
      <c r="AY19" s="383" t="b">
        <f t="shared" si="14"/>
        <v>0</v>
      </c>
      <c r="AZ19" s="384" t="b">
        <f t="shared" si="15"/>
        <v>0</v>
      </c>
      <c r="BA19" s="455" t="b">
        <f t="shared" si="16"/>
        <v>0</v>
      </c>
      <c r="BB19" s="455" t="b">
        <f t="shared" si="17"/>
        <v>0</v>
      </c>
      <c r="BC19" s="383" t="b">
        <f t="shared" si="18"/>
        <v>0</v>
      </c>
      <c r="BD19" s="385" t="b">
        <f t="shared" si="31"/>
        <v>0</v>
      </c>
      <c r="BE19" s="384" t="b">
        <f t="shared" si="19"/>
        <v>0</v>
      </c>
      <c r="BF19" s="386" t="b">
        <f t="shared" si="20"/>
        <v>0</v>
      </c>
      <c r="BG19" s="455" t="b">
        <f t="shared" si="21"/>
        <v>0</v>
      </c>
      <c r="BH19" s="455" t="str">
        <f t="shared" si="32"/>
        <v/>
      </c>
      <c r="BI19" s="455" t="str">
        <f t="shared" si="22"/>
        <v/>
      </c>
      <c r="BJ19" s="455" t="str">
        <f t="shared" si="23"/>
        <v/>
      </c>
      <c r="BK19" s="455" t="str">
        <f t="shared" si="24"/>
        <v/>
      </c>
      <c r="BL19" s="387" t="str">
        <f t="shared" si="33"/>
        <v/>
      </c>
      <c r="BM19" s="455" t="str">
        <f t="shared" si="25"/>
        <v/>
      </c>
      <c r="BN19" s="455" t="str">
        <f t="shared" si="26"/>
        <v/>
      </c>
      <c r="BO19" s="218"/>
      <c r="BP19" s="389"/>
      <c r="BQ19" s="1450" t="s">
        <v>356</v>
      </c>
      <c r="BR19" s="1450"/>
      <c r="BS19" s="1450"/>
      <c r="BT19" s="1450"/>
      <c r="BU19" s="1450"/>
    </row>
    <row r="20" spans="2:73" s="234" customFormat="1" ht="12.95" customHeight="1" x14ac:dyDescent="0.2">
      <c r="B20" s="390">
        <f>IF(ISNA(Z20),"",IF(OR(Z20=1,Z20=2),"    ",MAX($B$8:B19)+1))</f>
        <v>9</v>
      </c>
      <c r="C20" s="1441" t="str">
        <f t="shared" si="0"/>
        <v xml:space="preserve">      - Grammar (10.0%)</v>
      </c>
      <c r="D20" s="1441"/>
      <c r="E20" s="1441"/>
      <c r="F20" s="1442"/>
      <c r="G20" s="377">
        <f t="shared" si="1"/>
        <v>1</v>
      </c>
      <c r="H20" s="378" t="str">
        <f t="shared" si="2"/>
        <v>2*</v>
      </c>
      <c r="I20" s="391">
        <f t="shared" si="2"/>
        <v>3</v>
      </c>
      <c r="J20" s="396"/>
      <c r="K20" s="393"/>
      <c r="L20" s="1455"/>
      <c r="M20" s="1456"/>
      <c r="N20" s="1456"/>
      <c r="O20" s="1456"/>
      <c r="P20" s="1456"/>
      <c r="Q20" s="1456"/>
      <c r="R20" s="1457"/>
      <c r="T20" s="344">
        <v>13</v>
      </c>
      <c r="U20" s="335" t="s">
        <v>602</v>
      </c>
      <c r="V20" s="455">
        <v>1</v>
      </c>
      <c r="W20" s="455">
        <v>1</v>
      </c>
      <c r="X20" s="455" t="s">
        <v>340</v>
      </c>
      <c r="Y20" s="455" t="s">
        <v>340</v>
      </c>
      <c r="Z20" s="385" t="s">
        <v>340</v>
      </c>
      <c r="AA20" s="385">
        <v>2</v>
      </c>
      <c r="AB20" s="385">
        <v>1</v>
      </c>
      <c r="AC20" s="455">
        <v>3</v>
      </c>
      <c r="AD20" s="455">
        <v>2</v>
      </c>
      <c r="AE20" s="455">
        <v>1</v>
      </c>
      <c r="AF20" s="455" t="b">
        <v>1</v>
      </c>
      <c r="AG20" s="455">
        <f t="shared" si="3"/>
        <v>2</v>
      </c>
      <c r="AH20" s="455">
        <f t="shared" si="4"/>
        <v>1</v>
      </c>
      <c r="AI20" s="138">
        <f>IF(NOT(OR(Z20=1,Z20=2)),IF(AQ20&gt;0,$AR$44*AQ20/SUMIF($AQ$8:$AQ$39,"&gt;0"),IF(AU20&gt;0,$AV$44*AU20/SUMIF($AU$8:$AU$39,"&gt;0"),IF(AS20&gt;0,$AT$44*AS20/SUMIF($AS$8:$AS$39,"&gt;0"),""))),IF(SUMIF(AJ21:$AJ$39,"=" &amp; AJ20,AI21:$AI$39)=0,"",SUMIF(AJ21:$AJ$39,"=" &amp; AJ20,AI21:$AI$39)))</f>
        <v>0.1</v>
      </c>
      <c r="AJ20" s="139">
        <f t="shared" si="34"/>
        <v>3</v>
      </c>
      <c r="AK20" s="455">
        <f t="shared" si="27"/>
        <v>2</v>
      </c>
      <c r="AL20" s="385" t="str">
        <f t="shared" si="28"/>
        <v/>
      </c>
      <c r="AM20" s="385" t="str">
        <f t="shared" si="35"/>
        <v/>
      </c>
      <c r="AN20" s="385" t="str">
        <f t="shared" si="5"/>
        <v/>
      </c>
      <c r="AO20" s="385" t="str">
        <f t="shared" si="6"/>
        <v/>
      </c>
      <c r="AP20" s="455" t="b">
        <f t="shared" si="7"/>
        <v>1</v>
      </c>
      <c r="AQ20" s="382">
        <f t="shared" si="29"/>
        <v>1</v>
      </c>
      <c r="AR20" s="141" t="str">
        <f t="shared" si="8"/>
        <v/>
      </c>
      <c r="AS20" s="142">
        <f t="shared" si="30"/>
        <v>0</v>
      </c>
      <c r="AT20" s="141" t="str">
        <f t="shared" si="9"/>
        <v/>
      </c>
      <c r="AU20" s="383">
        <f t="shared" si="10"/>
        <v>0</v>
      </c>
      <c r="AV20" s="144" t="str">
        <f t="shared" si="11"/>
        <v/>
      </c>
      <c r="AW20" s="383" t="b">
        <f t="shared" si="12"/>
        <v>0</v>
      </c>
      <c r="AX20" s="384" t="b">
        <f t="shared" si="13"/>
        <v>1</v>
      </c>
      <c r="AY20" s="383" t="b">
        <f t="shared" si="14"/>
        <v>0</v>
      </c>
      <c r="AZ20" s="384" t="b">
        <f t="shared" si="15"/>
        <v>0</v>
      </c>
      <c r="BA20" s="455" t="b">
        <f t="shared" si="16"/>
        <v>0</v>
      </c>
      <c r="BB20" s="455" t="b">
        <f t="shared" si="17"/>
        <v>0</v>
      </c>
      <c r="BC20" s="383" t="b">
        <f t="shared" si="18"/>
        <v>0</v>
      </c>
      <c r="BD20" s="385" t="b">
        <f t="shared" si="31"/>
        <v>0</v>
      </c>
      <c r="BE20" s="384" t="b">
        <f t="shared" si="19"/>
        <v>0</v>
      </c>
      <c r="BF20" s="386" t="b">
        <f t="shared" si="20"/>
        <v>0</v>
      </c>
      <c r="BG20" s="455" t="b">
        <f t="shared" si="21"/>
        <v>1</v>
      </c>
      <c r="BH20" s="455">
        <f t="shared" si="32"/>
        <v>1</v>
      </c>
      <c r="BI20" s="455">
        <f t="shared" si="22"/>
        <v>2</v>
      </c>
      <c r="BJ20" s="455" t="str">
        <f t="shared" si="23"/>
        <v>2*</v>
      </c>
      <c r="BK20" s="455">
        <f t="shared" si="24"/>
        <v>3</v>
      </c>
      <c r="BL20" s="387">
        <f t="shared" si="33"/>
        <v>1</v>
      </c>
      <c r="BM20" s="455">
        <f t="shared" si="25"/>
        <v>2</v>
      </c>
      <c r="BN20" s="455">
        <f t="shared" si="26"/>
        <v>3</v>
      </c>
      <c r="BO20" s="218"/>
      <c r="BP20" s="218"/>
      <c r="BQ20" s="218">
        <v>0</v>
      </c>
      <c r="BR20" s="218">
        <v>1</v>
      </c>
      <c r="BS20" s="218">
        <v>2</v>
      </c>
      <c r="BT20" s="218">
        <v>3</v>
      </c>
      <c r="BU20" s="218">
        <v>4</v>
      </c>
    </row>
    <row r="21" spans="2:73" s="234" customFormat="1" ht="12.95" customHeight="1" x14ac:dyDescent="0.2">
      <c r="B21" s="390">
        <f>IF(ISNA(Z21),"",IF(OR(Z21=1,Z21=2),"    ",MAX($B$8:B20)+1))</f>
        <v>10</v>
      </c>
      <c r="C21" s="1441" t="str">
        <f t="shared" si="0"/>
        <v xml:space="preserve">      - Mechanics (10.0%)</v>
      </c>
      <c r="D21" s="1441"/>
      <c r="E21" s="1441"/>
      <c r="F21" s="1442"/>
      <c r="G21" s="377">
        <f t="shared" si="1"/>
        <v>1</v>
      </c>
      <c r="H21" s="378" t="str">
        <f t="shared" si="2"/>
        <v>2*</v>
      </c>
      <c r="I21" s="391">
        <f t="shared" si="2"/>
        <v>3</v>
      </c>
      <c r="J21" s="396"/>
      <c r="K21" s="393"/>
      <c r="L21" s="1455"/>
      <c r="M21" s="1456"/>
      <c r="N21" s="1456"/>
      <c r="O21" s="1456"/>
      <c r="P21" s="1456"/>
      <c r="Q21" s="1456"/>
      <c r="R21" s="1457"/>
      <c r="T21" s="344">
        <v>14</v>
      </c>
      <c r="U21" s="335" t="s">
        <v>603</v>
      </c>
      <c r="V21" s="455">
        <v>1</v>
      </c>
      <c r="W21" s="455">
        <v>1</v>
      </c>
      <c r="X21" s="455" t="s">
        <v>340</v>
      </c>
      <c r="Y21" s="455" t="s">
        <v>340</v>
      </c>
      <c r="Z21" s="385" t="s">
        <v>340</v>
      </c>
      <c r="AA21" s="385">
        <v>2</v>
      </c>
      <c r="AB21" s="385">
        <v>1</v>
      </c>
      <c r="AC21" s="455">
        <v>3</v>
      </c>
      <c r="AD21" s="455">
        <v>2</v>
      </c>
      <c r="AE21" s="455">
        <v>1</v>
      </c>
      <c r="AF21" s="455" t="b">
        <v>1</v>
      </c>
      <c r="AG21" s="455">
        <f t="shared" si="3"/>
        <v>2</v>
      </c>
      <c r="AH21" s="455">
        <f t="shared" si="4"/>
        <v>1</v>
      </c>
      <c r="AI21" s="138">
        <f>IF(NOT(OR(Z21=1,Z21=2)),IF(AQ21&gt;0,$AR$44*AQ21/SUMIF($AQ$8:$AQ$39,"&gt;0"),IF(AU21&gt;0,$AV$44*AU21/SUMIF($AU$8:$AU$39,"&gt;0"),IF(AS21&gt;0,$AT$44*AS21/SUMIF($AS$8:$AS$39,"&gt;0"),""))),IF(SUMIF(AJ22:$AJ$39,"=" &amp; AJ21,AI22:$AI$39)=0,"",SUMIF(AJ22:$AJ$39,"=" &amp; AJ21,AI22:$AI$39)))</f>
        <v>0.1</v>
      </c>
      <c r="AJ21" s="139">
        <f t="shared" si="34"/>
        <v>3</v>
      </c>
      <c r="AK21" s="455">
        <f t="shared" si="27"/>
        <v>2</v>
      </c>
      <c r="AL21" s="385" t="str">
        <f t="shared" si="28"/>
        <v/>
      </c>
      <c r="AM21" s="385" t="str">
        <f t="shared" si="35"/>
        <v/>
      </c>
      <c r="AN21" s="385" t="str">
        <f t="shared" si="5"/>
        <v/>
      </c>
      <c r="AO21" s="385" t="str">
        <f t="shared" si="6"/>
        <v/>
      </c>
      <c r="AP21" s="455" t="b">
        <f t="shared" si="7"/>
        <v>1</v>
      </c>
      <c r="AQ21" s="382">
        <f t="shared" si="29"/>
        <v>1</v>
      </c>
      <c r="AR21" s="141" t="str">
        <f t="shared" si="8"/>
        <v/>
      </c>
      <c r="AS21" s="142">
        <f t="shared" si="30"/>
        <v>0</v>
      </c>
      <c r="AT21" s="141" t="str">
        <f t="shared" si="9"/>
        <v/>
      </c>
      <c r="AU21" s="383">
        <f t="shared" si="10"/>
        <v>0</v>
      </c>
      <c r="AV21" s="144" t="str">
        <f t="shared" si="11"/>
        <v/>
      </c>
      <c r="AW21" s="383" t="b">
        <f t="shared" si="12"/>
        <v>0</v>
      </c>
      <c r="AX21" s="384" t="b">
        <f t="shared" si="13"/>
        <v>1</v>
      </c>
      <c r="AY21" s="383" t="b">
        <f t="shared" si="14"/>
        <v>0</v>
      </c>
      <c r="AZ21" s="384" t="b">
        <f t="shared" si="15"/>
        <v>0</v>
      </c>
      <c r="BA21" s="455" t="b">
        <f t="shared" si="16"/>
        <v>0</v>
      </c>
      <c r="BB21" s="455" t="b">
        <f t="shared" si="17"/>
        <v>0</v>
      </c>
      <c r="BC21" s="383" t="b">
        <f t="shared" si="18"/>
        <v>0</v>
      </c>
      <c r="BD21" s="385" t="b">
        <f t="shared" si="31"/>
        <v>0</v>
      </c>
      <c r="BE21" s="384" t="b">
        <f t="shared" si="19"/>
        <v>0</v>
      </c>
      <c r="BF21" s="386" t="b">
        <f t="shared" si="20"/>
        <v>0</v>
      </c>
      <c r="BG21" s="455" t="b">
        <f t="shared" si="21"/>
        <v>1</v>
      </c>
      <c r="BH21" s="455">
        <f t="shared" si="32"/>
        <v>1</v>
      </c>
      <c r="BI21" s="455">
        <f t="shared" si="22"/>
        <v>2</v>
      </c>
      <c r="BJ21" s="455" t="str">
        <f t="shared" si="23"/>
        <v>2*</v>
      </c>
      <c r="BK21" s="455">
        <f t="shared" si="24"/>
        <v>3</v>
      </c>
      <c r="BL21" s="387">
        <f t="shared" si="33"/>
        <v>1</v>
      </c>
      <c r="BM21" s="455">
        <f t="shared" si="25"/>
        <v>2</v>
      </c>
      <c r="BN21" s="455">
        <f t="shared" si="26"/>
        <v>3</v>
      </c>
      <c r="BO21" s="1451" t="s">
        <v>358</v>
      </c>
      <c r="BP21" s="218" t="s">
        <v>359</v>
      </c>
      <c r="BQ21" s="162">
        <f t="shared" ref="BQ21:BU29" si="36">AR50</f>
        <v>0.7</v>
      </c>
      <c r="BR21" s="163">
        <f t="shared" si="36"/>
        <v>0.9</v>
      </c>
      <c r="BS21" s="163">
        <f t="shared" si="36"/>
        <v>0.93330000000000002</v>
      </c>
      <c r="BT21" s="163">
        <f t="shared" si="36"/>
        <v>0.9667</v>
      </c>
      <c r="BU21" s="164">
        <f t="shared" si="36"/>
        <v>1</v>
      </c>
    </row>
    <row r="22" spans="2:73" s="234" customFormat="1" ht="12.95" customHeight="1" x14ac:dyDescent="0.2">
      <c r="B22" s="390" t="str">
        <f>IF(ISNA(Z22),"",IF(OR(Z22=1,Z22=2),"    ",MAX($B$8:B21)+1))</f>
        <v/>
      </c>
      <c r="C22" s="1441" t="str">
        <f t="shared" si="0"/>
        <v/>
      </c>
      <c r="D22" s="1441"/>
      <c r="E22" s="1441"/>
      <c r="F22" s="1442"/>
      <c r="G22" s="377" t="str">
        <f t="shared" si="1"/>
        <v/>
      </c>
      <c r="H22" s="378" t="str">
        <f t="shared" si="2"/>
        <v/>
      </c>
      <c r="I22" s="391" t="str">
        <f t="shared" si="2"/>
        <v/>
      </c>
      <c r="J22" s="397"/>
      <c r="K22" s="398"/>
      <c r="L22" s="1455"/>
      <c r="M22" s="1456"/>
      <c r="N22" s="1456"/>
      <c r="O22" s="1456"/>
      <c r="P22" s="1456"/>
      <c r="Q22" s="1456"/>
      <c r="R22" s="1457"/>
      <c r="T22" s="344">
        <v>15</v>
      </c>
      <c r="U22" s="335" t="e">
        <v>#N/A</v>
      </c>
      <c r="V22" s="455" t="e">
        <v>#N/A</v>
      </c>
      <c r="W22" s="455" t="e">
        <v>#N/A</v>
      </c>
      <c r="X22" s="455" t="e">
        <v>#N/A</v>
      </c>
      <c r="Y22" s="455" t="e">
        <v>#N/A</v>
      </c>
      <c r="Z22" s="385" t="e">
        <v>#N/A</v>
      </c>
      <c r="AA22" s="385" t="e">
        <v>#N/A</v>
      </c>
      <c r="AB22" s="385" t="e">
        <v>#N/A</v>
      </c>
      <c r="AC22" s="455" t="e">
        <v>#N/A</v>
      </c>
      <c r="AD22" s="455" t="e">
        <v>#N/A</v>
      </c>
      <c r="AE22" s="455" t="e">
        <v>#N/A</v>
      </c>
      <c r="AF22" s="455" t="e">
        <v>#N/A</v>
      </c>
      <c r="AG22" s="455" t="e">
        <f t="shared" si="3"/>
        <v>#N/A</v>
      </c>
      <c r="AH22" s="455" t="str">
        <f t="shared" si="4"/>
        <v/>
      </c>
      <c r="AI22" s="138" t="e">
        <f>IF(NOT(OR(Z22=1,Z22=2)),IF(AQ22&gt;0,$AR$44*AQ22/SUMIF($AQ$8:$AQ$39,"&gt;0"),IF(AU22&gt;0,$AV$44*AU22/SUMIF($AU$8:$AU$39,"&gt;0"),IF(AS22&gt;0,$AT$44*AS22/SUMIF($AS$8:$AS$39,"&gt;0"),""))),IF(SUMIF(AJ23:$AJ$39,"=" &amp; AJ22,AI23:$AI$39)=0,"",SUMIF(AJ23:$AJ$39,"=" &amp; AJ22,AI23:$AI$39)))</f>
        <v>#N/A</v>
      </c>
      <c r="AJ22" s="139" t="e">
        <f t="shared" si="34"/>
        <v>#N/A</v>
      </c>
      <c r="AK22" s="455" t="str">
        <f t="shared" si="27"/>
        <v/>
      </c>
      <c r="AL22" s="385" t="str">
        <f t="shared" si="28"/>
        <v/>
      </c>
      <c r="AM22" s="385" t="str">
        <f t="shared" si="35"/>
        <v/>
      </c>
      <c r="AN22" s="385" t="str">
        <f t="shared" si="5"/>
        <v/>
      </c>
      <c r="AO22" s="385" t="e">
        <f t="shared" si="6"/>
        <v>#N/A</v>
      </c>
      <c r="AP22" s="455" t="str">
        <f t="shared" si="7"/>
        <v/>
      </c>
      <c r="AQ22" s="382">
        <f t="shared" si="29"/>
        <v>0</v>
      </c>
      <c r="AR22" s="141" t="str">
        <f t="shared" si="8"/>
        <v/>
      </c>
      <c r="AS22" s="142">
        <f t="shared" si="30"/>
        <v>0</v>
      </c>
      <c r="AT22" s="141" t="str">
        <f t="shared" si="9"/>
        <v/>
      </c>
      <c r="AU22" s="383">
        <f t="shared" si="10"/>
        <v>0</v>
      </c>
      <c r="AV22" s="144" t="str">
        <f t="shared" si="11"/>
        <v/>
      </c>
      <c r="AW22" s="383" t="b">
        <f t="shared" si="12"/>
        <v>0</v>
      </c>
      <c r="AX22" s="384" t="b">
        <f t="shared" si="13"/>
        <v>0</v>
      </c>
      <c r="AY22" s="383" t="b">
        <f t="shared" si="14"/>
        <v>0</v>
      </c>
      <c r="AZ22" s="384" t="b">
        <f t="shared" si="15"/>
        <v>0</v>
      </c>
      <c r="BA22" s="455" t="b">
        <f t="shared" si="16"/>
        <v>0</v>
      </c>
      <c r="BB22" s="455" t="b">
        <f t="shared" si="17"/>
        <v>0</v>
      </c>
      <c r="BC22" s="383" t="b">
        <f t="shared" si="18"/>
        <v>0</v>
      </c>
      <c r="BD22" s="385" t="b">
        <f t="shared" si="31"/>
        <v>0</v>
      </c>
      <c r="BE22" s="384" t="b">
        <f>IF(OR(ISNA($Z22),K22&lt;&gt;"D"),FALSE,IF(OR(AND(H22="NG",J22=0),AND(H22&lt;&gt;"NG",NOT(OR(J22="NA",J22=0)))),TRUE,FALSE))</f>
        <v>0</v>
      </c>
      <c r="BF22" s="386" t="b">
        <f t="shared" si="20"/>
        <v>0</v>
      </c>
      <c r="BG22" s="455" t="str">
        <f>IF(ISNA($Z22),"NA",IF(OR(AZ22,AY22,AX22,AW22,AP22,BA22,BB22),TRUE,FALSE))</f>
        <v>NA</v>
      </c>
      <c r="BH22" s="455" t="str">
        <f t="shared" si="32"/>
        <v/>
      </c>
      <c r="BI22" s="455" t="str">
        <f t="shared" si="22"/>
        <v/>
      </c>
      <c r="BJ22" s="455" t="str">
        <f t="shared" si="23"/>
        <v/>
      </c>
      <c r="BK22" s="455" t="str">
        <f t="shared" si="24"/>
        <v/>
      </c>
      <c r="BL22" s="387" t="str">
        <f t="shared" si="33"/>
        <v/>
      </c>
      <c r="BM22" s="455" t="str">
        <f t="shared" si="25"/>
        <v/>
      </c>
      <c r="BN22" s="455" t="str">
        <f t="shared" si="26"/>
        <v/>
      </c>
      <c r="BO22" s="1451"/>
      <c r="BP22" s="218" t="s">
        <v>360</v>
      </c>
      <c r="BQ22" s="165">
        <f t="shared" si="36"/>
        <v>0.7</v>
      </c>
      <c r="BR22" s="166">
        <f t="shared" si="36"/>
        <v>0.8</v>
      </c>
      <c r="BS22" s="166">
        <f t="shared" si="36"/>
        <v>0.9</v>
      </c>
      <c r="BT22" s="166">
        <f t="shared" si="36"/>
        <v>0.95</v>
      </c>
      <c r="BU22" s="167">
        <f t="shared" si="36"/>
        <v>1</v>
      </c>
    </row>
    <row r="23" spans="2:73" s="234" customFormat="1" ht="12.95" customHeight="1" x14ac:dyDescent="0.2">
      <c r="B23" s="390" t="str">
        <f>IF(ISNA(Z23),"",IF(OR(Z23=1,Z23=2),"    ",MAX($B$8:B22)+1))</f>
        <v/>
      </c>
      <c r="C23" s="1441" t="str">
        <f t="shared" si="0"/>
        <v/>
      </c>
      <c r="D23" s="1441"/>
      <c r="E23" s="1441"/>
      <c r="F23" s="1442"/>
      <c r="G23" s="377" t="str">
        <f t="shared" si="1"/>
        <v/>
      </c>
      <c r="H23" s="378" t="str">
        <f t="shared" si="2"/>
        <v/>
      </c>
      <c r="I23" s="391" t="str">
        <f t="shared" si="2"/>
        <v/>
      </c>
      <c r="J23" s="397"/>
      <c r="K23" s="398"/>
      <c r="L23" s="1455"/>
      <c r="M23" s="1456"/>
      <c r="N23" s="1456"/>
      <c r="O23" s="1456"/>
      <c r="P23" s="1456"/>
      <c r="Q23" s="1456"/>
      <c r="R23" s="1457"/>
      <c r="T23" s="344">
        <v>16</v>
      </c>
      <c r="U23" s="335" t="e">
        <v>#N/A</v>
      </c>
      <c r="V23" s="455" t="e">
        <v>#N/A</v>
      </c>
      <c r="W23" s="455" t="e">
        <v>#N/A</v>
      </c>
      <c r="X23" s="455" t="e">
        <v>#N/A</v>
      </c>
      <c r="Y23" s="455" t="e">
        <v>#N/A</v>
      </c>
      <c r="Z23" s="385" t="e">
        <v>#N/A</v>
      </c>
      <c r="AA23" s="385" t="e">
        <v>#N/A</v>
      </c>
      <c r="AB23" s="385" t="e">
        <v>#N/A</v>
      </c>
      <c r="AC23" s="455" t="e">
        <v>#N/A</v>
      </c>
      <c r="AD23" s="455" t="e">
        <v>#N/A</v>
      </c>
      <c r="AE23" s="455" t="e">
        <v>#N/A</v>
      </c>
      <c r="AF23" s="455" t="e">
        <v>#N/A</v>
      </c>
      <c r="AG23" s="455" t="e">
        <f t="shared" si="3"/>
        <v>#N/A</v>
      </c>
      <c r="AH23" s="455" t="str">
        <f t="shared" si="4"/>
        <v/>
      </c>
      <c r="AI23" s="138" t="e">
        <f>IF(NOT(OR(Z23=1,Z23=2)),IF(AQ23&gt;0,$AR$44*AQ23/SUMIF($AQ$8:$AQ$39,"&gt;0"),IF(AU23&gt;0,$AV$44*AU23/SUMIF($AU$8:$AU$39,"&gt;0"),IF(AS23&gt;0,$AT$44*AS23/SUMIF($AS$8:$AS$39,"&gt;0"),""))),IF(SUMIF(AJ24:$AJ$39,"=" &amp; AJ23,AI24:$AI$39)=0,"",SUMIF(AJ24:$AJ$39,"=" &amp; AJ23,AI24:$AI$39)))</f>
        <v>#N/A</v>
      </c>
      <c r="AJ23" s="139" t="e">
        <f t="shared" si="34"/>
        <v>#N/A</v>
      </c>
      <c r="AK23" s="455" t="str">
        <f t="shared" si="27"/>
        <v/>
      </c>
      <c r="AL23" s="385" t="str">
        <f t="shared" si="28"/>
        <v/>
      </c>
      <c r="AM23" s="385" t="str">
        <f t="shared" si="35"/>
        <v/>
      </c>
      <c r="AN23" s="385" t="str">
        <f t="shared" si="5"/>
        <v/>
      </c>
      <c r="AO23" s="385" t="e">
        <f t="shared" si="6"/>
        <v>#N/A</v>
      </c>
      <c r="AP23" s="455" t="str">
        <f t="shared" si="7"/>
        <v/>
      </c>
      <c r="AQ23" s="382">
        <f t="shared" si="29"/>
        <v>0</v>
      </c>
      <c r="AR23" s="141" t="str">
        <f t="shared" si="8"/>
        <v/>
      </c>
      <c r="AS23" s="142">
        <f t="shared" si="30"/>
        <v>0</v>
      </c>
      <c r="AT23" s="141" t="str">
        <f t="shared" si="9"/>
        <v/>
      </c>
      <c r="AU23" s="383">
        <f t="shared" si="10"/>
        <v>0</v>
      </c>
      <c r="AV23" s="144" t="str">
        <f t="shared" si="11"/>
        <v/>
      </c>
      <c r="AW23" s="383" t="b">
        <f t="shared" si="12"/>
        <v>0</v>
      </c>
      <c r="AX23" s="384" t="b">
        <f t="shared" si="13"/>
        <v>0</v>
      </c>
      <c r="AY23" s="383" t="b">
        <f t="shared" si="14"/>
        <v>0</v>
      </c>
      <c r="AZ23" s="384" t="b">
        <f t="shared" si="15"/>
        <v>0</v>
      </c>
      <c r="BA23" s="455" t="b">
        <f t="shared" si="16"/>
        <v>0</v>
      </c>
      <c r="BB23" s="455" t="b">
        <f t="shared" si="17"/>
        <v>0</v>
      </c>
      <c r="BC23" s="383" t="b">
        <f t="shared" si="18"/>
        <v>0</v>
      </c>
      <c r="BD23" s="385" t="b">
        <f t="shared" si="31"/>
        <v>0</v>
      </c>
      <c r="BE23" s="384" t="b">
        <f t="shared" ref="BE23:BE39" si="37">IF(OR(ISNA($Z23),K23&lt;&gt;"D"),FALSE,IF(OR(AND(H23="NG",J23=0),AND(H23&lt;&gt;"NG",NOT(OR(J23="NA",J23=0)))),TRUE,FALSE))</f>
        <v>0</v>
      </c>
      <c r="BF23" s="386" t="b">
        <f t="shared" si="20"/>
        <v>0</v>
      </c>
      <c r="BG23" s="455" t="str">
        <f t="shared" ref="BG23:BG39" si="38">IF(ISNA($Z23),"NA",IF(OR(AZ23,AY23,AX23,AW23,AP23,BA23,BB23),TRUE,FALSE))</f>
        <v>NA</v>
      </c>
      <c r="BH23" s="455" t="str">
        <f t="shared" si="32"/>
        <v/>
      </c>
      <c r="BI23" s="455" t="str">
        <f t="shared" si="22"/>
        <v/>
      </c>
      <c r="BJ23" s="455" t="str">
        <f t="shared" si="23"/>
        <v/>
      </c>
      <c r="BK23" s="455" t="str">
        <f t="shared" si="24"/>
        <v/>
      </c>
      <c r="BL23" s="387" t="str">
        <f t="shared" si="33"/>
        <v/>
      </c>
      <c r="BM23" s="455" t="str">
        <f t="shared" si="25"/>
        <v/>
      </c>
      <c r="BN23" s="455" t="str">
        <f t="shared" si="26"/>
        <v/>
      </c>
      <c r="BO23" s="1451"/>
      <c r="BP23" s="218" t="s">
        <v>361</v>
      </c>
      <c r="BQ23" s="165">
        <f t="shared" si="36"/>
        <v>0.7</v>
      </c>
      <c r="BR23" s="166">
        <f t="shared" si="36"/>
        <v>0.76670000000000005</v>
      </c>
      <c r="BS23" s="166">
        <f t="shared" si="36"/>
        <v>0.83330000000000004</v>
      </c>
      <c r="BT23" s="166">
        <f t="shared" si="36"/>
        <v>0.9</v>
      </c>
      <c r="BU23" s="167">
        <f t="shared" si="36"/>
        <v>1</v>
      </c>
    </row>
    <row r="24" spans="2:73" s="234" customFormat="1" ht="12.95" customHeight="1" x14ac:dyDescent="0.2">
      <c r="B24" s="390" t="str">
        <f>IF(ISNA(Z24),"",IF(OR(Z24=1,Z24=2),"    ",MAX($B$8:B23)+1))</f>
        <v/>
      </c>
      <c r="C24" s="1441" t="str">
        <f t="shared" si="0"/>
        <v/>
      </c>
      <c r="D24" s="1441"/>
      <c r="E24" s="1441"/>
      <c r="F24" s="1442"/>
      <c r="G24" s="377" t="str">
        <f t="shared" si="1"/>
        <v/>
      </c>
      <c r="H24" s="378" t="str">
        <f t="shared" si="2"/>
        <v/>
      </c>
      <c r="I24" s="391" t="str">
        <f t="shared" si="2"/>
        <v/>
      </c>
      <c r="J24" s="397"/>
      <c r="K24" s="398"/>
      <c r="L24" s="1455"/>
      <c r="M24" s="1456"/>
      <c r="N24" s="1456"/>
      <c r="O24" s="1456"/>
      <c r="P24" s="1456"/>
      <c r="Q24" s="1456"/>
      <c r="R24" s="1457"/>
      <c r="T24" s="344">
        <v>17</v>
      </c>
      <c r="U24" s="335" t="e">
        <v>#N/A</v>
      </c>
      <c r="V24" s="455" t="e">
        <v>#N/A</v>
      </c>
      <c r="W24" s="455" t="e">
        <v>#N/A</v>
      </c>
      <c r="X24" s="455" t="e">
        <v>#N/A</v>
      </c>
      <c r="Y24" s="455" t="e">
        <v>#N/A</v>
      </c>
      <c r="Z24" s="385" t="e">
        <v>#N/A</v>
      </c>
      <c r="AA24" s="385" t="e">
        <v>#N/A</v>
      </c>
      <c r="AB24" s="385" t="e">
        <v>#N/A</v>
      </c>
      <c r="AC24" s="455" t="e">
        <v>#N/A</v>
      </c>
      <c r="AD24" s="455" t="e">
        <v>#N/A</v>
      </c>
      <c r="AE24" s="455" t="e">
        <v>#N/A</v>
      </c>
      <c r="AF24" s="455" t="e">
        <v>#N/A</v>
      </c>
      <c r="AG24" s="455" t="e">
        <f t="shared" si="3"/>
        <v>#N/A</v>
      </c>
      <c r="AH24" s="455" t="str">
        <f t="shared" si="4"/>
        <v/>
      </c>
      <c r="AI24" s="138" t="e">
        <f>IF(NOT(OR(Z24=1,Z24=2)),IF(AQ24&gt;0,$AR$44*AQ24/SUMIF($AQ$8:$AQ$39,"&gt;0"),IF(AU24&gt;0,$AV$44*AU24/SUMIF($AU$8:$AU$39,"&gt;0"),IF(AS24&gt;0,$AT$44*AS24/SUMIF($AS$8:$AS$39,"&gt;0"),""))),IF(SUMIF(AJ25:$AJ$39,"=" &amp; AJ24,AI25:$AI$39)=0,"",SUMIF(AJ25:$AJ$39,"=" &amp; AJ24,AI25:$AI$39)))</f>
        <v>#N/A</v>
      </c>
      <c r="AJ24" s="139" t="e">
        <f t="shared" si="34"/>
        <v>#N/A</v>
      </c>
      <c r="AK24" s="455" t="str">
        <f t="shared" si="27"/>
        <v/>
      </c>
      <c r="AL24" s="385" t="str">
        <f t="shared" si="28"/>
        <v/>
      </c>
      <c r="AM24" s="385" t="str">
        <f t="shared" si="35"/>
        <v/>
      </c>
      <c r="AN24" s="385" t="str">
        <f t="shared" si="5"/>
        <v/>
      </c>
      <c r="AO24" s="385" t="e">
        <f t="shared" si="6"/>
        <v>#N/A</v>
      </c>
      <c r="AP24" s="455" t="str">
        <f t="shared" si="7"/>
        <v/>
      </c>
      <c r="AQ24" s="382">
        <f t="shared" si="29"/>
        <v>0</v>
      </c>
      <c r="AR24" s="141" t="str">
        <f t="shared" si="8"/>
        <v/>
      </c>
      <c r="AS24" s="142">
        <f t="shared" si="30"/>
        <v>0</v>
      </c>
      <c r="AT24" s="141" t="str">
        <f t="shared" si="9"/>
        <v/>
      </c>
      <c r="AU24" s="383">
        <f t="shared" si="10"/>
        <v>0</v>
      </c>
      <c r="AV24" s="144" t="str">
        <f t="shared" si="11"/>
        <v/>
      </c>
      <c r="AW24" s="383" t="b">
        <f t="shared" si="12"/>
        <v>0</v>
      </c>
      <c r="AX24" s="384" t="b">
        <f t="shared" si="13"/>
        <v>0</v>
      </c>
      <c r="AY24" s="383" t="b">
        <f t="shared" si="14"/>
        <v>0</v>
      </c>
      <c r="AZ24" s="384" t="b">
        <f t="shared" si="15"/>
        <v>0</v>
      </c>
      <c r="BA24" s="455" t="b">
        <f t="shared" si="16"/>
        <v>0</v>
      </c>
      <c r="BB24" s="455" t="b">
        <f t="shared" si="17"/>
        <v>0</v>
      </c>
      <c r="BC24" s="383" t="b">
        <f t="shared" si="18"/>
        <v>0</v>
      </c>
      <c r="BD24" s="385" t="b">
        <f t="shared" si="31"/>
        <v>0</v>
      </c>
      <c r="BE24" s="384" t="b">
        <f t="shared" si="37"/>
        <v>0</v>
      </c>
      <c r="BF24" s="386" t="b">
        <f t="shared" si="20"/>
        <v>0</v>
      </c>
      <c r="BG24" s="455" t="str">
        <f t="shared" si="38"/>
        <v>NA</v>
      </c>
      <c r="BH24" s="455" t="str">
        <f t="shared" si="32"/>
        <v/>
      </c>
      <c r="BI24" s="455" t="str">
        <f t="shared" si="22"/>
        <v/>
      </c>
      <c r="BJ24" s="455" t="str">
        <f t="shared" si="23"/>
        <v/>
      </c>
      <c r="BK24" s="455" t="str">
        <f t="shared" si="24"/>
        <v/>
      </c>
      <c r="BL24" s="387" t="str">
        <f t="shared" si="33"/>
        <v/>
      </c>
      <c r="BM24" s="455" t="str">
        <f t="shared" si="25"/>
        <v/>
      </c>
      <c r="BN24" s="455" t="str">
        <f t="shared" si="26"/>
        <v/>
      </c>
      <c r="BO24" s="1451"/>
      <c r="BP24" s="218" t="s">
        <v>362</v>
      </c>
      <c r="BQ24" s="165">
        <f t="shared" si="36"/>
        <v>0.6</v>
      </c>
      <c r="BR24" s="166">
        <f t="shared" si="36"/>
        <v>0.9</v>
      </c>
      <c r="BS24" s="166">
        <f t="shared" si="36"/>
        <v>0.93330000000000002</v>
      </c>
      <c r="BT24" s="166">
        <f t="shared" si="36"/>
        <v>0.9667</v>
      </c>
      <c r="BU24" s="167">
        <f t="shared" si="36"/>
        <v>1</v>
      </c>
    </row>
    <row r="25" spans="2:73" s="234" customFormat="1" ht="12.95" customHeight="1" x14ac:dyDescent="0.2">
      <c r="B25" s="390" t="str">
        <f>IF(ISNA(Z25),"",IF(OR(Z25=1,Z25=2),"    ",MAX($B$8:B24)+1))</f>
        <v/>
      </c>
      <c r="C25" s="1441" t="str">
        <f t="shared" si="0"/>
        <v/>
      </c>
      <c r="D25" s="1441"/>
      <c r="E25" s="1441"/>
      <c r="F25" s="1442"/>
      <c r="G25" s="377" t="str">
        <f t="shared" si="1"/>
        <v/>
      </c>
      <c r="H25" s="378" t="str">
        <f t="shared" si="2"/>
        <v/>
      </c>
      <c r="I25" s="391" t="str">
        <f t="shared" si="2"/>
        <v/>
      </c>
      <c r="J25" s="397"/>
      <c r="K25" s="398"/>
      <c r="L25" s="1455"/>
      <c r="M25" s="1456"/>
      <c r="N25" s="1456"/>
      <c r="O25" s="1456"/>
      <c r="P25" s="1456"/>
      <c r="Q25" s="1456"/>
      <c r="R25" s="1457"/>
      <c r="T25" s="344">
        <v>18</v>
      </c>
      <c r="U25" s="335" t="e">
        <v>#N/A</v>
      </c>
      <c r="V25" s="455" t="e">
        <v>#N/A</v>
      </c>
      <c r="W25" s="455" t="e">
        <v>#N/A</v>
      </c>
      <c r="X25" s="455" t="e">
        <v>#N/A</v>
      </c>
      <c r="Y25" s="455" t="e">
        <v>#N/A</v>
      </c>
      <c r="Z25" s="385" t="e">
        <v>#N/A</v>
      </c>
      <c r="AA25" s="385" t="e">
        <v>#N/A</v>
      </c>
      <c r="AB25" s="385" t="e">
        <v>#N/A</v>
      </c>
      <c r="AC25" s="455" t="e">
        <v>#N/A</v>
      </c>
      <c r="AD25" s="455" t="e">
        <v>#N/A</v>
      </c>
      <c r="AE25" s="455" t="e">
        <v>#N/A</v>
      </c>
      <c r="AF25" s="455" t="e">
        <v>#N/A</v>
      </c>
      <c r="AG25" s="455" t="e">
        <f t="shared" si="3"/>
        <v>#N/A</v>
      </c>
      <c r="AH25" s="455" t="str">
        <f t="shared" si="4"/>
        <v/>
      </c>
      <c r="AI25" s="138" t="e">
        <f>IF(NOT(OR(Z25=1,Z25=2)),IF(AQ25&gt;0,$AR$44*AQ25/SUMIF($AQ$8:$AQ$39,"&gt;0"),IF(AU25&gt;0,$AV$44*AU25/SUMIF($AU$8:$AU$39,"&gt;0"),IF(AS25&gt;0,$AT$44*AS25/SUMIF($AS$8:$AS$39,"&gt;0"),""))),IF(SUMIF(AJ26:$AJ$39,"=" &amp; AJ25,AI26:$AI$39)=0,"",SUMIF(AJ26:$AJ$39,"=" &amp; AJ25,AI26:$AI$39)))</f>
        <v>#N/A</v>
      </c>
      <c r="AJ25" s="139" t="e">
        <f t="shared" si="34"/>
        <v>#N/A</v>
      </c>
      <c r="AK25" s="455" t="str">
        <f t="shared" si="27"/>
        <v/>
      </c>
      <c r="AL25" s="385" t="str">
        <f t="shared" si="28"/>
        <v/>
      </c>
      <c r="AM25" s="385" t="str">
        <f t="shared" si="35"/>
        <v/>
      </c>
      <c r="AN25" s="385" t="str">
        <f t="shared" si="5"/>
        <v/>
      </c>
      <c r="AO25" s="385" t="e">
        <f t="shared" si="6"/>
        <v>#N/A</v>
      </c>
      <c r="AP25" s="455" t="str">
        <f t="shared" si="7"/>
        <v/>
      </c>
      <c r="AQ25" s="382">
        <f t="shared" si="29"/>
        <v>0</v>
      </c>
      <c r="AR25" s="141" t="str">
        <f t="shared" si="8"/>
        <v/>
      </c>
      <c r="AS25" s="142">
        <f t="shared" si="30"/>
        <v>0</v>
      </c>
      <c r="AT25" s="141" t="str">
        <f t="shared" si="9"/>
        <v/>
      </c>
      <c r="AU25" s="383">
        <f t="shared" si="10"/>
        <v>0</v>
      </c>
      <c r="AV25" s="144" t="str">
        <f t="shared" si="11"/>
        <v/>
      </c>
      <c r="AW25" s="383" t="b">
        <f t="shared" si="12"/>
        <v>0</v>
      </c>
      <c r="AX25" s="384" t="b">
        <f t="shared" si="13"/>
        <v>0</v>
      </c>
      <c r="AY25" s="383" t="b">
        <f t="shared" si="14"/>
        <v>0</v>
      </c>
      <c r="AZ25" s="384" t="b">
        <f t="shared" si="15"/>
        <v>0</v>
      </c>
      <c r="BA25" s="455" t="b">
        <f t="shared" si="16"/>
        <v>0</v>
      </c>
      <c r="BB25" s="455" t="b">
        <f t="shared" si="17"/>
        <v>0</v>
      </c>
      <c r="BC25" s="383" t="b">
        <f t="shared" si="18"/>
        <v>0</v>
      </c>
      <c r="BD25" s="385" t="b">
        <f t="shared" si="31"/>
        <v>0</v>
      </c>
      <c r="BE25" s="384" t="b">
        <f t="shared" si="37"/>
        <v>0</v>
      </c>
      <c r="BF25" s="386" t="b">
        <f t="shared" si="20"/>
        <v>0</v>
      </c>
      <c r="BG25" s="455" t="str">
        <f t="shared" si="38"/>
        <v>NA</v>
      </c>
      <c r="BH25" s="455" t="str">
        <f t="shared" si="32"/>
        <v/>
      </c>
      <c r="BI25" s="455" t="str">
        <f t="shared" si="22"/>
        <v/>
      </c>
      <c r="BJ25" s="455" t="str">
        <f t="shared" si="23"/>
        <v/>
      </c>
      <c r="BK25" s="455" t="str">
        <f t="shared" si="24"/>
        <v/>
      </c>
      <c r="BL25" s="387" t="str">
        <f t="shared" si="33"/>
        <v/>
      </c>
      <c r="BM25" s="455" t="str">
        <f t="shared" si="25"/>
        <v/>
      </c>
      <c r="BN25" s="455" t="str">
        <f t="shared" si="26"/>
        <v/>
      </c>
      <c r="BO25" s="1451"/>
      <c r="BP25" s="218" t="s">
        <v>363</v>
      </c>
      <c r="BQ25" s="165">
        <f t="shared" si="36"/>
        <v>0.6</v>
      </c>
      <c r="BR25" s="166">
        <f t="shared" si="36"/>
        <v>0.7</v>
      </c>
      <c r="BS25" s="166">
        <f t="shared" si="36"/>
        <v>0.9</v>
      </c>
      <c r="BT25" s="166">
        <f t="shared" si="36"/>
        <v>0.95</v>
      </c>
      <c r="BU25" s="167">
        <f t="shared" si="36"/>
        <v>1</v>
      </c>
    </row>
    <row r="26" spans="2:73" s="234" customFormat="1" ht="12.95" customHeight="1" x14ac:dyDescent="0.2">
      <c r="B26" s="390" t="str">
        <f>IF(ISNA(Z26),"",IF(OR(Z26=1,Z26=2),"    ",MAX($B$8:B25)+1))</f>
        <v/>
      </c>
      <c r="C26" s="1441" t="str">
        <f t="shared" si="0"/>
        <v/>
      </c>
      <c r="D26" s="1441"/>
      <c r="E26" s="1441"/>
      <c r="F26" s="1442"/>
      <c r="G26" s="377" t="str">
        <f t="shared" si="1"/>
        <v/>
      </c>
      <c r="H26" s="378" t="str">
        <f t="shared" si="2"/>
        <v/>
      </c>
      <c r="I26" s="391" t="str">
        <f t="shared" si="2"/>
        <v/>
      </c>
      <c r="J26" s="397"/>
      <c r="K26" s="398"/>
      <c r="L26" s="1455"/>
      <c r="M26" s="1456"/>
      <c r="N26" s="1456"/>
      <c r="O26" s="1456"/>
      <c r="P26" s="1456"/>
      <c r="Q26" s="1456"/>
      <c r="R26" s="1457"/>
      <c r="T26" s="344">
        <v>19</v>
      </c>
      <c r="U26" s="335" t="e">
        <v>#N/A</v>
      </c>
      <c r="V26" s="455" t="e">
        <v>#N/A</v>
      </c>
      <c r="W26" s="455" t="e">
        <v>#N/A</v>
      </c>
      <c r="X26" s="455" t="e">
        <v>#N/A</v>
      </c>
      <c r="Y26" s="455" t="e">
        <v>#N/A</v>
      </c>
      <c r="Z26" s="385" t="e">
        <v>#N/A</v>
      </c>
      <c r="AA26" s="385" t="e">
        <v>#N/A</v>
      </c>
      <c r="AB26" s="385" t="e">
        <v>#N/A</v>
      </c>
      <c r="AC26" s="455" t="e">
        <v>#N/A</v>
      </c>
      <c r="AD26" s="455" t="e">
        <v>#N/A</v>
      </c>
      <c r="AE26" s="455" t="e">
        <v>#N/A</v>
      </c>
      <c r="AF26" s="455" t="e">
        <v>#N/A</v>
      </c>
      <c r="AG26" s="455" t="e">
        <f t="shared" si="3"/>
        <v>#N/A</v>
      </c>
      <c r="AH26" s="455" t="str">
        <f t="shared" si="4"/>
        <v/>
      </c>
      <c r="AI26" s="138" t="e">
        <f>IF(NOT(OR(Z26=1,Z26=2)),IF(AQ26&gt;0,$AR$44*AQ26/SUMIF($AQ$8:$AQ$39,"&gt;0"),IF(AU26&gt;0,$AV$44*AU26/SUMIF($AU$8:$AU$39,"&gt;0"),IF(AS26&gt;0,$AT$44*AS26/SUMIF($AS$8:$AS$39,"&gt;0"),""))),IF(SUMIF(AJ27:$AJ$39,"=" &amp; AJ26,AI27:$AI$39)=0,"",SUMIF(AJ27:$AJ$39,"=" &amp; AJ26,AI27:$AI$39)))</f>
        <v>#N/A</v>
      </c>
      <c r="AJ26" s="139" t="e">
        <f t="shared" si="34"/>
        <v>#N/A</v>
      </c>
      <c r="AK26" s="455" t="str">
        <f t="shared" si="27"/>
        <v/>
      </c>
      <c r="AL26" s="385" t="str">
        <f t="shared" si="28"/>
        <v/>
      </c>
      <c r="AM26" s="385" t="str">
        <f t="shared" si="35"/>
        <v/>
      </c>
      <c r="AN26" s="385" t="str">
        <f t="shared" si="5"/>
        <v/>
      </c>
      <c r="AO26" s="385" t="e">
        <f t="shared" si="6"/>
        <v>#N/A</v>
      </c>
      <c r="AP26" s="455" t="str">
        <f t="shared" si="7"/>
        <v/>
      </c>
      <c r="AQ26" s="382">
        <f t="shared" si="29"/>
        <v>0</v>
      </c>
      <c r="AR26" s="141" t="str">
        <f t="shared" si="8"/>
        <v/>
      </c>
      <c r="AS26" s="142">
        <f t="shared" si="30"/>
        <v>0</v>
      </c>
      <c r="AT26" s="141" t="str">
        <f t="shared" si="9"/>
        <v/>
      </c>
      <c r="AU26" s="383">
        <f t="shared" si="10"/>
        <v>0</v>
      </c>
      <c r="AV26" s="144" t="str">
        <f t="shared" si="11"/>
        <v/>
      </c>
      <c r="AW26" s="383" t="b">
        <f t="shared" si="12"/>
        <v>0</v>
      </c>
      <c r="AX26" s="384" t="b">
        <f t="shared" si="13"/>
        <v>0</v>
      </c>
      <c r="AY26" s="383" t="b">
        <f t="shared" si="14"/>
        <v>0</v>
      </c>
      <c r="AZ26" s="384" t="b">
        <f t="shared" si="15"/>
        <v>0</v>
      </c>
      <c r="BA26" s="455" t="b">
        <f t="shared" si="16"/>
        <v>0</v>
      </c>
      <c r="BB26" s="455" t="b">
        <f t="shared" si="17"/>
        <v>0</v>
      </c>
      <c r="BC26" s="383" t="b">
        <f t="shared" si="18"/>
        <v>0</v>
      </c>
      <c r="BD26" s="385" t="b">
        <f t="shared" si="31"/>
        <v>0</v>
      </c>
      <c r="BE26" s="384" t="b">
        <f t="shared" si="37"/>
        <v>0</v>
      </c>
      <c r="BF26" s="386" t="b">
        <f t="shared" si="20"/>
        <v>0</v>
      </c>
      <c r="BG26" s="455" t="str">
        <f t="shared" si="38"/>
        <v>NA</v>
      </c>
      <c r="BH26" s="455" t="str">
        <f t="shared" si="32"/>
        <v/>
      </c>
      <c r="BI26" s="455" t="str">
        <f t="shared" si="22"/>
        <v/>
      </c>
      <c r="BJ26" s="455" t="str">
        <f t="shared" si="23"/>
        <v/>
      </c>
      <c r="BK26" s="455" t="str">
        <f t="shared" si="24"/>
        <v/>
      </c>
      <c r="BL26" s="387" t="str">
        <f t="shared" si="33"/>
        <v/>
      </c>
      <c r="BM26" s="455" t="str">
        <f t="shared" si="25"/>
        <v/>
      </c>
      <c r="BN26" s="455" t="str">
        <f t="shared" si="26"/>
        <v/>
      </c>
      <c r="BO26" s="1451"/>
      <c r="BP26" s="218" t="s">
        <v>364</v>
      </c>
      <c r="BQ26" s="165">
        <f t="shared" si="36"/>
        <v>0.6</v>
      </c>
      <c r="BR26" s="166">
        <f t="shared" si="36"/>
        <v>0.7</v>
      </c>
      <c r="BS26" s="166">
        <f t="shared" si="36"/>
        <v>0.8</v>
      </c>
      <c r="BT26" s="166">
        <f t="shared" si="36"/>
        <v>0.9</v>
      </c>
      <c r="BU26" s="167">
        <f t="shared" si="36"/>
        <v>1</v>
      </c>
    </row>
    <row r="27" spans="2:73" s="234" customFormat="1" ht="12.95" customHeight="1" x14ac:dyDescent="0.2">
      <c r="B27" s="390" t="str">
        <f>IF(ISNA(Z27),"",IF(OR(Z27=1,Z27=2),"    ",MAX($B$8:B26)+1))</f>
        <v/>
      </c>
      <c r="C27" s="1441" t="str">
        <f t="shared" si="0"/>
        <v/>
      </c>
      <c r="D27" s="1441"/>
      <c r="E27" s="1441"/>
      <c r="F27" s="1442"/>
      <c r="G27" s="377" t="str">
        <f t="shared" si="1"/>
        <v/>
      </c>
      <c r="H27" s="378" t="str">
        <f t="shared" si="2"/>
        <v/>
      </c>
      <c r="I27" s="391" t="str">
        <f t="shared" si="2"/>
        <v/>
      </c>
      <c r="J27" s="397"/>
      <c r="K27" s="398"/>
      <c r="L27" s="1455"/>
      <c r="M27" s="1456"/>
      <c r="N27" s="1456"/>
      <c r="O27" s="1456"/>
      <c r="P27" s="1456"/>
      <c r="Q27" s="1456"/>
      <c r="R27" s="1457"/>
      <c r="T27" s="344">
        <v>20</v>
      </c>
      <c r="U27" s="335" t="e">
        <v>#N/A</v>
      </c>
      <c r="V27" s="455" t="e">
        <v>#N/A</v>
      </c>
      <c r="W27" s="455" t="e">
        <v>#N/A</v>
      </c>
      <c r="X27" s="455" t="e">
        <v>#N/A</v>
      </c>
      <c r="Y27" s="455" t="e">
        <v>#N/A</v>
      </c>
      <c r="Z27" s="385" t="e">
        <v>#N/A</v>
      </c>
      <c r="AA27" s="385" t="e">
        <v>#N/A</v>
      </c>
      <c r="AB27" s="385" t="e">
        <v>#N/A</v>
      </c>
      <c r="AC27" s="455" t="e">
        <v>#N/A</v>
      </c>
      <c r="AD27" s="455" t="e">
        <v>#N/A</v>
      </c>
      <c r="AE27" s="455" t="e">
        <v>#N/A</v>
      </c>
      <c r="AF27" s="455" t="e">
        <v>#N/A</v>
      </c>
      <c r="AG27" s="455" t="e">
        <f t="shared" si="3"/>
        <v>#N/A</v>
      </c>
      <c r="AH27" s="455" t="str">
        <f t="shared" si="4"/>
        <v/>
      </c>
      <c r="AI27" s="138" t="e">
        <f>IF(NOT(OR(Z27=1,Z27=2)),IF(AQ27&gt;0,$AR$44*AQ27/SUMIF($AQ$8:$AQ$39,"&gt;0"),IF(AU27&gt;0,$AV$44*AU27/SUMIF($AU$8:$AU$39,"&gt;0"),IF(AS27&gt;0,$AT$44*AS27/SUMIF($AS$8:$AS$39,"&gt;0"),""))),IF(SUMIF(AJ28:$AJ$39,"=" &amp; AJ27,AI28:$AI$39)=0,"",SUMIF(AJ28:$AJ$39,"=" &amp; AJ27,AI28:$AI$39)))</f>
        <v>#N/A</v>
      </c>
      <c r="AJ27" s="139" t="e">
        <f t="shared" si="34"/>
        <v>#N/A</v>
      </c>
      <c r="AK27" s="455" t="str">
        <f t="shared" si="27"/>
        <v/>
      </c>
      <c r="AL27" s="385" t="str">
        <f t="shared" si="28"/>
        <v/>
      </c>
      <c r="AM27" s="385" t="str">
        <f t="shared" si="35"/>
        <v/>
      </c>
      <c r="AN27" s="385" t="str">
        <f t="shared" si="5"/>
        <v/>
      </c>
      <c r="AO27" s="385" t="e">
        <f t="shared" si="6"/>
        <v>#N/A</v>
      </c>
      <c r="AP27" s="455" t="str">
        <f t="shared" si="7"/>
        <v/>
      </c>
      <c r="AQ27" s="382">
        <f t="shared" si="29"/>
        <v>0</v>
      </c>
      <c r="AR27" s="141" t="str">
        <f t="shared" si="8"/>
        <v/>
      </c>
      <c r="AS27" s="142">
        <f t="shared" si="30"/>
        <v>0</v>
      </c>
      <c r="AT27" s="141" t="str">
        <f t="shared" si="9"/>
        <v/>
      </c>
      <c r="AU27" s="383">
        <f t="shared" si="10"/>
        <v>0</v>
      </c>
      <c r="AV27" s="144" t="str">
        <f t="shared" si="11"/>
        <v/>
      </c>
      <c r="AW27" s="383" t="b">
        <f t="shared" si="12"/>
        <v>0</v>
      </c>
      <c r="AX27" s="384" t="b">
        <f t="shared" si="13"/>
        <v>0</v>
      </c>
      <c r="AY27" s="383" t="b">
        <f t="shared" si="14"/>
        <v>0</v>
      </c>
      <c r="AZ27" s="384" t="b">
        <f t="shared" si="15"/>
        <v>0</v>
      </c>
      <c r="BA27" s="455" t="b">
        <f t="shared" si="16"/>
        <v>0</v>
      </c>
      <c r="BB27" s="455" t="b">
        <f t="shared" si="17"/>
        <v>0</v>
      </c>
      <c r="BC27" s="383" t="b">
        <f t="shared" si="18"/>
        <v>0</v>
      </c>
      <c r="BD27" s="385" t="b">
        <f t="shared" si="31"/>
        <v>0</v>
      </c>
      <c r="BE27" s="384" t="b">
        <f t="shared" si="37"/>
        <v>0</v>
      </c>
      <c r="BF27" s="386" t="b">
        <f t="shared" si="20"/>
        <v>0</v>
      </c>
      <c r="BG27" s="455" t="str">
        <f t="shared" si="38"/>
        <v>NA</v>
      </c>
      <c r="BH27" s="455" t="str">
        <f t="shared" si="32"/>
        <v/>
      </c>
      <c r="BI27" s="455" t="str">
        <f t="shared" si="22"/>
        <v/>
      </c>
      <c r="BJ27" s="455" t="str">
        <f t="shared" si="23"/>
        <v/>
      </c>
      <c r="BK27" s="455" t="str">
        <f t="shared" si="24"/>
        <v/>
      </c>
      <c r="BL27" s="387" t="str">
        <f t="shared" si="33"/>
        <v/>
      </c>
      <c r="BM27" s="455" t="str">
        <f t="shared" si="25"/>
        <v/>
      </c>
      <c r="BN27" s="455" t="str">
        <f t="shared" si="26"/>
        <v/>
      </c>
      <c r="BO27" s="1451"/>
      <c r="BP27" s="218" t="s">
        <v>365</v>
      </c>
      <c r="BQ27" s="165">
        <f t="shared" si="36"/>
        <v>0.3</v>
      </c>
      <c r="BR27" s="166">
        <f t="shared" si="36"/>
        <v>0.6</v>
      </c>
      <c r="BS27" s="166">
        <f t="shared" si="36"/>
        <v>0.9</v>
      </c>
      <c r="BT27" s="166">
        <f t="shared" si="36"/>
        <v>0.95</v>
      </c>
      <c r="BU27" s="167">
        <f t="shared" si="36"/>
        <v>1</v>
      </c>
    </row>
    <row r="28" spans="2:73" s="234" customFormat="1" ht="12.95" customHeight="1" x14ac:dyDescent="0.2">
      <c r="B28" s="390" t="str">
        <f>IF(ISNA(Z28),"",IF(OR(Z28=1,Z28=2),"    ",MAX($B$8:B27)+1))</f>
        <v/>
      </c>
      <c r="C28" s="1441" t="str">
        <f t="shared" si="0"/>
        <v/>
      </c>
      <c r="D28" s="1441"/>
      <c r="E28" s="1441"/>
      <c r="F28" s="1442"/>
      <c r="G28" s="377" t="str">
        <f t="shared" si="1"/>
        <v/>
      </c>
      <c r="H28" s="378" t="str">
        <f t="shared" si="2"/>
        <v/>
      </c>
      <c r="I28" s="391" t="str">
        <f t="shared" si="2"/>
        <v/>
      </c>
      <c r="J28" s="397"/>
      <c r="K28" s="398"/>
      <c r="L28" s="1455"/>
      <c r="M28" s="1456"/>
      <c r="N28" s="1456"/>
      <c r="O28" s="1456"/>
      <c r="P28" s="1456"/>
      <c r="Q28" s="1456"/>
      <c r="R28" s="1457"/>
      <c r="T28" s="344">
        <v>21</v>
      </c>
      <c r="U28" s="335" t="e">
        <v>#N/A</v>
      </c>
      <c r="V28" s="455" t="e">
        <v>#N/A</v>
      </c>
      <c r="W28" s="455" t="e">
        <v>#N/A</v>
      </c>
      <c r="X28" s="455" t="e">
        <v>#N/A</v>
      </c>
      <c r="Y28" s="455" t="e">
        <v>#N/A</v>
      </c>
      <c r="Z28" s="385" t="e">
        <v>#N/A</v>
      </c>
      <c r="AA28" s="385" t="e">
        <v>#N/A</v>
      </c>
      <c r="AB28" s="385" t="e">
        <v>#N/A</v>
      </c>
      <c r="AC28" s="455" t="e">
        <v>#N/A</v>
      </c>
      <c r="AD28" s="455" t="e">
        <v>#N/A</v>
      </c>
      <c r="AE28" s="455" t="e">
        <v>#N/A</v>
      </c>
      <c r="AF28" s="455" t="e">
        <v>#N/A</v>
      </c>
      <c r="AG28" s="455" t="e">
        <f t="shared" si="3"/>
        <v>#N/A</v>
      </c>
      <c r="AH28" s="455" t="str">
        <f t="shared" si="4"/>
        <v/>
      </c>
      <c r="AI28" s="138" t="e">
        <f>IF(NOT(OR(Z28=1,Z28=2)),IF(AQ28&gt;0,$AR$44*AQ28/SUMIF($AQ$8:$AQ$39,"&gt;0"),IF(AU28&gt;0,$AV$44*AU28/SUMIF($AU$8:$AU$39,"&gt;0"),IF(AS28&gt;0,$AT$44*AS28/SUMIF($AS$8:$AS$39,"&gt;0"),""))),IF(SUMIF(AJ29:$AJ$39,"=" &amp; AJ28,AI29:$AI$39)=0,"",SUMIF(AJ29:$AJ$39,"=" &amp; AJ28,AI29:$AI$39)))</f>
        <v>#N/A</v>
      </c>
      <c r="AJ28" s="139" t="e">
        <f t="shared" si="34"/>
        <v>#N/A</v>
      </c>
      <c r="AK28" s="455" t="str">
        <f t="shared" si="27"/>
        <v/>
      </c>
      <c r="AL28" s="385" t="str">
        <f t="shared" si="28"/>
        <v/>
      </c>
      <c r="AM28" s="385" t="str">
        <f t="shared" si="35"/>
        <v/>
      </c>
      <c r="AN28" s="385" t="str">
        <f t="shared" si="5"/>
        <v/>
      </c>
      <c r="AO28" s="385" t="e">
        <f t="shared" si="6"/>
        <v>#N/A</v>
      </c>
      <c r="AP28" s="455" t="str">
        <f t="shared" si="7"/>
        <v/>
      </c>
      <c r="AQ28" s="382">
        <f t="shared" si="29"/>
        <v>0</v>
      </c>
      <c r="AR28" s="141" t="str">
        <f t="shared" si="8"/>
        <v/>
      </c>
      <c r="AS28" s="142">
        <f t="shared" si="30"/>
        <v>0</v>
      </c>
      <c r="AT28" s="141" t="str">
        <f t="shared" si="9"/>
        <v/>
      </c>
      <c r="AU28" s="383">
        <f t="shared" si="10"/>
        <v>0</v>
      </c>
      <c r="AV28" s="144" t="str">
        <f t="shared" si="11"/>
        <v/>
      </c>
      <c r="AW28" s="383" t="b">
        <f t="shared" si="12"/>
        <v>0</v>
      </c>
      <c r="AX28" s="384" t="b">
        <f t="shared" si="13"/>
        <v>0</v>
      </c>
      <c r="AY28" s="383" t="b">
        <f t="shared" si="14"/>
        <v>0</v>
      </c>
      <c r="AZ28" s="384" t="b">
        <f t="shared" si="15"/>
        <v>0</v>
      </c>
      <c r="BA28" s="455" t="b">
        <f t="shared" si="16"/>
        <v>0</v>
      </c>
      <c r="BB28" s="455" t="b">
        <f t="shared" si="17"/>
        <v>0</v>
      </c>
      <c r="BC28" s="383" t="b">
        <f t="shared" si="18"/>
        <v>0</v>
      </c>
      <c r="BD28" s="385" t="b">
        <f t="shared" si="31"/>
        <v>0</v>
      </c>
      <c r="BE28" s="384" t="b">
        <f t="shared" si="37"/>
        <v>0</v>
      </c>
      <c r="BF28" s="386" t="b">
        <f t="shared" si="20"/>
        <v>0</v>
      </c>
      <c r="BG28" s="455" t="str">
        <f t="shared" si="38"/>
        <v>NA</v>
      </c>
      <c r="BH28" s="455" t="str">
        <f t="shared" si="32"/>
        <v/>
      </c>
      <c r="BI28" s="455" t="str">
        <f t="shared" si="22"/>
        <v/>
      </c>
      <c r="BJ28" s="455" t="str">
        <f t="shared" si="23"/>
        <v/>
      </c>
      <c r="BK28" s="455" t="str">
        <f t="shared" si="24"/>
        <v/>
      </c>
      <c r="BL28" s="387" t="str">
        <f t="shared" si="33"/>
        <v/>
      </c>
      <c r="BM28" s="455" t="str">
        <f t="shared" si="25"/>
        <v/>
      </c>
      <c r="BN28" s="455" t="str">
        <f t="shared" si="26"/>
        <v/>
      </c>
      <c r="BO28" s="1451"/>
      <c r="BP28" s="218" t="s">
        <v>366</v>
      </c>
      <c r="BQ28" s="165">
        <f t="shared" si="36"/>
        <v>0.3</v>
      </c>
      <c r="BR28" s="166">
        <f t="shared" si="36"/>
        <v>0.6</v>
      </c>
      <c r="BS28" s="166">
        <f t="shared" si="36"/>
        <v>0.7</v>
      </c>
      <c r="BT28" s="166">
        <f t="shared" si="36"/>
        <v>0.9</v>
      </c>
      <c r="BU28" s="167">
        <f t="shared" si="36"/>
        <v>1</v>
      </c>
    </row>
    <row r="29" spans="2:73" s="234" customFormat="1" ht="12.95" customHeight="1" x14ac:dyDescent="0.2">
      <c r="B29" s="390" t="str">
        <f>IF(ISNA(Z29),"",IF(OR(Z29=1,Z29=2),"    ",MAX($B$8:B28)+1))</f>
        <v/>
      </c>
      <c r="C29" s="1441" t="str">
        <f t="shared" si="0"/>
        <v/>
      </c>
      <c r="D29" s="1441"/>
      <c r="E29" s="1441"/>
      <c r="F29" s="1442"/>
      <c r="G29" s="377" t="str">
        <f t="shared" si="1"/>
        <v/>
      </c>
      <c r="H29" s="378" t="str">
        <f t="shared" si="2"/>
        <v/>
      </c>
      <c r="I29" s="391" t="str">
        <f t="shared" si="2"/>
        <v/>
      </c>
      <c r="J29" s="397"/>
      <c r="K29" s="398"/>
      <c r="L29" s="1455"/>
      <c r="M29" s="1456"/>
      <c r="N29" s="1456"/>
      <c r="O29" s="1456"/>
      <c r="P29" s="1456"/>
      <c r="Q29" s="1456"/>
      <c r="R29" s="1457"/>
      <c r="T29" s="344">
        <v>22</v>
      </c>
      <c r="U29" s="335" t="e">
        <v>#N/A</v>
      </c>
      <c r="V29" s="455" t="e">
        <v>#N/A</v>
      </c>
      <c r="W29" s="455" t="e">
        <v>#N/A</v>
      </c>
      <c r="X29" s="455" t="e">
        <v>#N/A</v>
      </c>
      <c r="Y29" s="455" t="e">
        <v>#N/A</v>
      </c>
      <c r="Z29" s="385" t="e">
        <v>#N/A</v>
      </c>
      <c r="AA29" s="385" t="e">
        <v>#N/A</v>
      </c>
      <c r="AB29" s="385" t="e">
        <v>#N/A</v>
      </c>
      <c r="AC29" s="455" t="e">
        <v>#N/A</v>
      </c>
      <c r="AD29" s="455" t="e">
        <v>#N/A</v>
      </c>
      <c r="AE29" s="455" t="e">
        <v>#N/A</v>
      </c>
      <c r="AF29" s="455" t="e">
        <v>#N/A</v>
      </c>
      <c r="AG29" s="455" t="e">
        <f t="shared" si="3"/>
        <v>#N/A</v>
      </c>
      <c r="AH29" s="455" t="str">
        <f t="shared" si="4"/>
        <v/>
      </c>
      <c r="AI29" s="138" t="e">
        <f>IF(NOT(OR(Z29=1,Z29=2)),IF(AQ29&gt;0,$AR$44*AQ29/SUMIF($AQ$8:$AQ$39,"&gt;0"),IF(AU29&gt;0,$AV$44*AU29/SUMIF($AU$8:$AU$39,"&gt;0"),IF(AS29&gt;0,$AT$44*AS29/SUMIF($AS$8:$AS$39,"&gt;0"),""))),IF(SUMIF(AJ30:$AJ$39,"=" &amp; AJ29,AI30:$AI$39)=0,"",SUMIF(AJ30:$AJ$39,"=" &amp; AJ29,AI30:$AI$39)))</f>
        <v>#N/A</v>
      </c>
      <c r="AJ29" s="139" t="e">
        <f t="shared" si="34"/>
        <v>#N/A</v>
      </c>
      <c r="AK29" s="455" t="str">
        <f t="shared" si="27"/>
        <v/>
      </c>
      <c r="AL29" s="385" t="str">
        <f t="shared" si="28"/>
        <v/>
      </c>
      <c r="AM29" s="385" t="str">
        <f t="shared" si="35"/>
        <v/>
      </c>
      <c r="AN29" s="385" t="str">
        <f t="shared" si="5"/>
        <v/>
      </c>
      <c r="AO29" s="385" t="e">
        <f t="shared" si="6"/>
        <v>#N/A</v>
      </c>
      <c r="AP29" s="455" t="str">
        <f t="shared" si="7"/>
        <v/>
      </c>
      <c r="AQ29" s="382">
        <f t="shared" si="29"/>
        <v>0</v>
      </c>
      <c r="AR29" s="141" t="str">
        <f t="shared" si="8"/>
        <v/>
      </c>
      <c r="AS29" s="142">
        <f t="shared" si="30"/>
        <v>0</v>
      </c>
      <c r="AT29" s="141" t="str">
        <f t="shared" si="9"/>
        <v/>
      </c>
      <c r="AU29" s="383">
        <f t="shared" si="10"/>
        <v>0</v>
      </c>
      <c r="AV29" s="144" t="str">
        <f t="shared" si="11"/>
        <v/>
      </c>
      <c r="AW29" s="383" t="b">
        <f t="shared" si="12"/>
        <v>0</v>
      </c>
      <c r="AX29" s="384" t="b">
        <f t="shared" si="13"/>
        <v>0</v>
      </c>
      <c r="AY29" s="383" t="b">
        <f t="shared" si="14"/>
        <v>0</v>
      </c>
      <c r="AZ29" s="384" t="b">
        <f t="shared" si="15"/>
        <v>0</v>
      </c>
      <c r="BA29" s="455" t="b">
        <f t="shared" si="16"/>
        <v>0</v>
      </c>
      <c r="BB29" s="455" t="b">
        <f t="shared" si="17"/>
        <v>0</v>
      </c>
      <c r="BC29" s="383" t="b">
        <f t="shared" si="18"/>
        <v>0</v>
      </c>
      <c r="BD29" s="385" t="b">
        <f t="shared" si="31"/>
        <v>0</v>
      </c>
      <c r="BE29" s="384" t="b">
        <f t="shared" si="37"/>
        <v>0</v>
      </c>
      <c r="BF29" s="386" t="b">
        <f t="shared" si="20"/>
        <v>0</v>
      </c>
      <c r="BG29" s="455" t="str">
        <f t="shared" si="38"/>
        <v>NA</v>
      </c>
      <c r="BH29" s="455" t="str">
        <f t="shared" si="32"/>
        <v/>
      </c>
      <c r="BI29" s="455" t="str">
        <f t="shared" si="22"/>
        <v/>
      </c>
      <c r="BJ29" s="455" t="str">
        <f t="shared" si="23"/>
        <v/>
      </c>
      <c r="BK29" s="455" t="str">
        <f t="shared" si="24"/>
        <v/>
      </c>
      <c r="BL29" s="387" t="str">
        <f t="shared" si="33"/>
        <v/>
      </c>
      <c r="BM29" s="455" t="str">
        <f t="shared" si="25"/>
        <v/>
      </c>
      <c r="BN29" s="455" t="str">
        <f t="shared" si="26"/>
        <v/>
      </c>
      <c r="BO29" s="1451"/>
      <c r="BP29" s="218" t="s">
        <v>367</v>
      </c>
      <c r="BQ29" s="168">
        <f t="shared" si="36"/>
        <v>0</v>
      </c>
      <c r="BR29" s="169">
        <f t="shared" si="36"/>
        <v>0.3</v>
      </c>
      <c r="BS29" s="169">
        <f t="shared" si="36"/>
        <v>0.6</v>
      </c>
      <c r="BT29" s="169">
        <f t="shared" si="36"/>
        <v>0.9</v>
      </c>
      <c r="BU29" s="170">
        <f t="shared" si="36"/>
        <v>1</v>
      </c>
    </row>
    <row r="30" spans="2:73" s="234" customFormat="1" ht="12.95" customHeight="1" x14ac:dyDescent="0.2">
      <c r="B30" s="390" t="str">
        <f>IF(ISNA(Z30),"",IF(OR(Z30=1,Z30=2),"    ",MAX($B$8:B29)+1))</f>
        <v/>
      </c>
      <c r="C30" s="1441" t="str">
        <f t="shared" si="0"/>
        <v/>
      </c>
      <c r="D30" s="1441"/>
      <c r="E30" s="1441"/>
      <c r="F30" s="1442"/>
      <c r="G30" s="377" t="str">
        <f t="shared" si="1"/>
        <v/>
      </c>
      <c r="H30" s="378" t="str">
        <f t="shared" si="2"/>
        <v/>
      </c>
      <c r="I30" s="391" t="str">
        <f t="shared" si="2"/>
        <v/>
      </c>
      <c r="J30" s="397"/>
      <c r="K30" s="398"/>
      <c r="L30" s="1455"/>
      <c r="M30" s="1456"/>
      <c r="N30" s="1456"/>
      <c r="O30" s="1456"/>
      <c r="P30" s="1456"/>
      <c r="Q30" s="1456"/>
      <c r="R30" s="1457"/>
      <c r="T30" s="344">
        <v>23</v>
      </c>
      <c r="U30" s="335" t="e">
        <v>#N/A</v>
      </c>
      <c r="V30" s="455" t="e">
        <v>#N/A</v>
      </c>
      <c r="W30" s="455" t="e">
        <v>#N/A</v>
      </c>
      <c r="X30" s="455" t="e">
        <v>#N/A</v>
      </c>
      <c r="Y30" s="455" t="e">
        <v>#N/A</v>
      </c>
      <c r="Z30" s="385" t="e">
        <v>#N/A</v>
      </c>
      <c r="AA30" s="385" t="e">
        <v>#N/A</v>
      </c>
      <c r="AB30" s="385" t="e">
        <v>#N/A</v>
      </c>
      <c r="AC30" s="455" t="e">
        <v>#N/A</v>
      </c>
      <c r="AD30" s="455" t="e">
        <v>#N/A</v>
      </c>
      <c r="AE30" s="455" t="e">
        <v>#N/A</v>
      </c>
      <c r="AF30" s="455" t="e">
        <v>#N/A</v>
      </c>
      <c r="AG30" s="455" t="e">
        <f t="shared" si="3"/>
        <v>#N/A</v>
      </c>
      <c r="AH30" s="455" t="str">
        <f t="shared" si="4"/>
        <v/>
      </c>
      <c r="AI30" s="138" t="e">
        <f>IF(NOT(OR(Z30=1,Z30=2)),IF(AQ30&gt;0,$AR$44*AQ30/SUMIF($AQ$8:$AQ$39,"&gt;0"),IF(AU30&gt;0,$AV$44*AU30/SUMIF($AU$8:$AU$39,"&gt;0"),IF(AS30&gt;0,$AT$44*AS30/SUMIF($AS$8:$AS$39,"&gt;0"),""))),IF(SUMIF(AJ31:$AJ$39,"=" &amp; AJ30,AI31:$AI$39)=0,"",SUMIF(AJ31:$AJ$39,"=" &amp; AJ30,AI31:$AI$39)))</f>
        <v>#N/A</v>
      </c>
      <c r="AJ30" s="139" t="e">
        <f t="shared" si="34"/>
        <v>#N/A</v>
      </c>
      <c r="AK30" s="455" t="str">
        <f t="shared" si="27"/>
        <v/>
      </c>
      <c r="AL30" s="385" t="str">
        <f t="shared" si="28"/>
        <v/>
      </c>
      <c r="AM30" s="385" t="str">
        <f t="shared" si="35"/>
        <v/>
      </c>
      <c r="AN30" s="385" t="str">
        <f t="shared" si="5"/>
        <v/>
      </c>
      <c r="AO30" s="385" t="e">
        <f t="shared" si="6"/>
        <v>#N/A</v>
      </c>
      <c r="AP30" s="455" t="str">
        <f t="shared" si="7"/>
        <v/>
      </c>
      <c r="AQ30" s="382">
        <f t="shared" si="29"/>
        <v>0</v>
      </c>
      <c r="AR30" s="141" t="str">
        <f t="shared" si="8"/>
        <v/>
      </c>
      <c r="AS30" s="142">
        <f t="shared" si="30"/>
        <v>0</v>
      </c>
      <c r="AT30" s="141" t="str">
        <f t="shared" si="9"/>
        <v/>
      </c>
      <c r="AU30" s="383">
        <f t="shared" si="10"/>
        <v>0</v>
      </c>
      <c r="AV30" s="144" t="str">
        <f t="shared" si="11"/>
        <v/>
      </c>
      <c r="AW30" s="383" t="b">
        <f t="shared" si="12"/>
        <v>0</v>
      </c>
      <c r="AX30" s="384" t="b">
        <f t="shared" si="13"/>
        <v>0</v>
      </c>
      <c r="AY30" s="383" t="b">
        <f t="shared" si="14"/>
        <v>0</v>
      </c>
      <c r="AZ30" s="384" t="b">
        <f t="shared" si="15"/>
        <v>0</v>
      </c>
      <c r="BA30" s="455" t="b">
        <f t="shared" si="16"/>
        <v>0</v>
      </c>
      <c r="BB30" s="455" t="b">
        <f t="shared" si="17"/>
        <v>0</v>
      </c>
      <c r="BC30" s="383" t="b">
        <f t="shared" si="18"/>
        <v>0</v>
      </c>
      <c r="BD30" s="385" t="b">
        <f t="shared" si="31"/>
        <v>0</v>
      </c>
      <c r="BE30" s="384" t="b">
        <f t="shared" si="37"/>
        <v>0</v>
      </c>
      <c r="BF30" s="386" t="b">
        <f t="shared" si="20"/>
        <v>0</v>
      </c>
      <c r="BG30" s="455" t="str">
        <f t="shared" si="38"/>
        <v>NA</v>
      </c>
      <c r="BH30" s="455" t="str">
        <f t="shared" si="32"/>
        <v/>
      </c>
      <c r="BI30" s="455" t="str">
        <f t="shared" si="22"/>
        <v/>
      </c>
      <c r="BJ30" s="455" t="str">
        <f t="shared" si="23"/>
        <v/>
      </c>
      <c r="BK30" s="455" t="str">
        <f t="shared" si="24"/>
        <v/>
      </c>
      <c r="BL30" s="387" t="str">
        <f t="shared" si="33"/>
        <v/>
      </c>
      <c r="BM30" s="455" t="str">
        <f t="shared" si="25"/>
        <v/>
      </c>
      <c r="BN30" s="455" t="str">
        <f t="shared" si="26"/>
        <v/>
      </c>
      <c r="BO30" s="244"/>
    </row>
    <row r="31" spans="2:73" s="234" customFormat="1" ht="12.95" customHeight="1" x14ac:dyDescent="0.2">
      <c r="B31" s="390" t="str">
        <f>IF(ISNA(Z31),"",IF(OR(Z31=1,Z31=2),"    ",MAX($B$8:B30)+1))</f>
        <v/>
      </c>
      <c r="C31" s="1441" t="str">
        <f t="shared" si="0"/>
        <v/>
      </c>
      <c r="D31" s="1441"/>
      <c r="E31" s="1441"/>
      <c r="F31" s="1442"/>
      <c r="G31" s="377" t="str">
        <f t="shared" si="1"/>
        <v/>
      </c>
      <c r="H31" s="378" t="str">
        <f t="shared" si="2"/>
        <v/>
      </c>
      <c r="I31" s="391" t="str">
        <f t="shared" si="2"/>
        <v/>
      </c>
      <c r="J31" s="397"/>
      <c r="K31" s="398"/>
      <c r="L31" s="1455"/>
      <c r="M31" s="1456"/>
      <c r="N31" s="1456"/>
      <c r="O31" s="1456"/>
      <c r="P31" s="1456"/>
      <c r="Q31" s="1456"/>
      <c r="R31" s="1457"/>
      <c r="T31" s="344">
        <v>24</v>
      </c>
      <c r="U31" s="335" t="e">
        <v>#N/A</v>
      </c>
      <c r="V31" s="455" t="e">
        <v>#N/A</v>
      </c>
      <c r="W31" s="455" t="e">
        <v>#N/A</v>
      </c>
      <c r="X31" s="455" t="e">
        <v>#N/A</v>
      </c>
      <c r="Y31" s="455" t="e">
        <v>#N/A</v>
      </c>
      <c r="Z31" s="385" t="e">
        <v>#N/A</v>
      </c>
      <c r="AA31" s="385" t="e">
        <v>#N/A</v>
      </c>
      <c r="AB31" s="385" t="e">
        <v>#N/A</v>
      </c>
      <c r="AC31" s="455" t="e">
        <v>#N/A</v>
      </c>
      <c r="AD31" s="455" t="e">
        <v>#N/A</v>
      </c>
      <c r="AE31" s="455" t="e">
        <v>#N/A</v>
      </c>
      <c r="AF31" s="455" t="e">
        <v>#N/A</v>
      </c>
      <c r="AG31" s="455" t="e">
        <f t="shared" si="3"/>
        <v>#N/A</v>
      </c>
      <c r="AH31" s="455" t="str">
        <f t="shared" si="4"/>
        <v/>
      </c>
      <c r="AI31" s="138" t="e">
        <f>IF(NOT(OR(Z31=1,Z31=2)),IF(AQ31&gt;0,$AR$44*AQ31/SUMIF($AQ$8:$AQ$39,"&gt;0"),IF(AU31&gt;0,$AV$44*AU31/SUMIF($AU$8:$AU$39,"&gt;0"),IF(AS31&gt;0,$AT$44*AS31/SUMIF($AS$8:$AS$39,"&gt;0"),""))),IF(SUMIF(AJ32:$AJ$39,"=" &amp; AJ31,AI32:$AI$39)=0,"",SUMIF(AJ32:$AJ$39,"=" &amp; AJ31,AI32:$AI$39)))</f>
        <v>#N/A</v>
      </c>
      <c r="AJ31" s="139" t="e">
        <f t="shared" si="34"/>
        <v>#N/A</v>
      </c>
      <c r="AK31" s="455" t="str">
        <f t="shared" si="27"/>
        <v/>
      </c>
      <c r="AL31" s="385" t="str">
        <f t="shared" si="28"/>
        <v/>
      </c>
      <c r="AM31" s="385" t="str">
        <f t="shared" si="35"/>
        <v/>
      </c>
      <c r="AN31" s="385" t="str">
        <f t="shared" si="5"/>
        <v/>
      </c>
      <c r="AO31" s="385" t="e">
        <f t="shared" si="6"/>
        <v>#N/A</v>
      </c>
      <c r="AP31" s="455" t="str">
        <f t="shared" si="7"/>
        <v/>
      </c>
      <c r="AQ31" s="382">
        <f t="shared" si="29"/>
        <v>0</v>
      </c>
      <c r="AR31" s="141" t="str">
        <f t="shared" si="8"/>
        <v/>
      </c>
      <c r="AS31" s="142">
        <f t="shared" si="30"/>
        <v>0</v>
      </c>
      <c r="AT31" s="141" t="str">
        <f t="shared" si="9"/>
        <v/>
      </c>
      <c r="AU31" s="383">
        <f t="shared" si="10"/>
        <v>0</v>
      </c>
      <c r="AV31" s="144" t="str">
        <f t="shared" si="11"/>
        <v/>
      </c>
      <c r="AW31" s="383" t="b">
        <f t="shared" si="12"/>
        <v>0</v>
      </c>
      <c r="AX31" s="384" t="b">
        <f t="shared" si="13"/>
        <v>0</v>
      </c>
      <c r="AY31" s="383" t="b">
        <f t="shared" si="14"/>
        <v>0</v>
      </c>
      <c r="AZ31" s="384" t="b">
        <f t="shared" si="15"/>
        <v>0</v>
      </c>
      <c r="BA31" s="455" t="b">
        <f t="shared" si="16"/>
        <v>0</v>
      </c>
      <c r="BB31" s="455" t="b">
        <f t="shared" si="17"/>
        <v>0</v>
      </c>
      <c r="BC31" s="383" t="b">
        <f t="shared" si="18"/>
        <v>0</v>
      </c>
      <c r="BD31" s="385" t="b">
        <f>IF(OR(ISNA($Z31),ISNUMBER($Z31),NOT(ISNUMBER(K31))),FALSE,OR(NOT(ISNUMBER(J31)),J31=0,AND(J31=0,K31&lt;&gt;0)))</f>
        <v>0</v>
      </c>
      <c r="BE31" s="384" t="b">
        <f t="shared" si="37"/>
        <v>0</v>
      </c>
      <c r="BF31" s="386" t="b">
        <f>IF(OR(ISNA($Z31),H31&lt;&gt;"NG"),FALSE,IF(AND(J31="NA",K31&lt;&gt;""),TRUE,FALSE))</f>
        <v>0</v>
      </c>
      <c r="BG31" s="455" t="str">
        <f t="shared" si="38"/>
        <v>NA</v>
      </c>
      <c r="BH31" s="455" t="str">
        <f t="shared" si="32"/>
        <v/>
      </c>
      <c r="BI31" s="455" t="str">
        <f t="shared" si="22"/>
        <v/>
      </c>
      <c r="BJ31" s="455" t="str">
        <f t="shared" si="23"/>
        <v/>
      </c>
      <c r="BK31" s="455" t="str">
        <f t="shared" si="24"/>
        <v/>
      </c>
      <c r="BL31" s="387" t="str">
        <f t="shared" si="33"/>
        <v/>
      </c>
      <c r="BM31" s="455" t="str">
        <f t="shared" si="25"/>
        <v/>
      </c>
      <c r="BN31" s="455" t="str">
        <f t="shared" si="26"/>
        <v/>
      </c>
      <c r="BO31" s="394" t="s">
        <v>368</v>
      </c>
      <c r="BP31" s="400" t="s">
        <v>369</v>
      </c>
    </row>
    <row r="32" spans="2:73" s="234" customFormat="1" ht="12.95" customHeight="1" x14ac:dyDescent="0.2">
      <c r="B32" s="390" t="str">
        <f>IF(ISNA(Z32),"",IF(OR(Z32=1,Z32=2),"    ",MAX($B$8:B31)+1))</f>
        <v/>
      </c>
      <c r="C32" s="1441" t="str">
        <f t="shared" si="0"/>
        <v/>
      </c>
      <c r="D32" s="1441"/>
      <c r="E32" s="1441"/>
      <c r="F32" s="1442"/>
      <c r="G32" s="377" t="str">
        <f t="shared" si="1"/>
        <v/>
      </c>
      <c r="H32" s="378" t="str">
        <f t="shared" si="2"/>
        <v/>
      </c>
      <c r="I32" s="391" t="str">
        <f t="shared" si="2"/>
        <v/>
      </c>
      <c r="J32" s="397"/>
      <c r="K32" s="398"/>
      <c r="L32" s="1455"/>
      <c r="M32" s="1456"/>
      <c r="N32" s="1456"/>
      <c r="O32" s="1456"/>
      <c r="P32" s="1456"/>
      <c r="Q32" s="1456"/>
      <c r="R32" s="1457"/>
      <c r="T32" s="344">
        <v>25</v>
      </c>
      <c r="U32" s="335" t="e">
        <v>#N/A</v>
      </c>
      <c r="V32" s="455" t="e">
        <v>#N/A</v>
      </c>
      <c r="W32" s="455" t="e">
        <v>#N/A</v>
      </c>
      <c r="X32" s="455" t="e">
        <v>#N/A</v>
      </c>
      <c r="Y32" s="455" t="e">
        <v>#N/A</v>
      </c>
      <c r="Z32" s="385" t="e">
        <v>#N/A</v>
      </c>
      <c r="AA32" s="385" t="e">
        <v>#N/A</v>
      </c>
      <c r="AB32" s="385" t="e">
        <v>#N/A</v>
      </c>
      <c r="AC32" s="455" t="e">
        <v>#N/A</v>
      </c>
      <c r="AD32" s="455" t="e">
        <v>#N/A</v>
      </c>
      <c r="AE32" s="455" t="e">
        <v>#N/A</v>
      </c>
      <c r="AF32" s="455" t="e">
        <v>#N/A</v>
      </c>
      <c r="AG32" s="455" t="e">
        <f t="shared" si="3"/>
        <v>#N/A</v>
      </c>
      <c r="AH32" s="455" t="str">
        <f t="shared" si="4"/>
        <v/>
      </c>
      <c r="AI32" s="138" t="e">
        <f>IF(NOT(OR(Z32=1,Z32=2)),IF(AQ32&gt;0,$AR$44*AQ32/SUMIF($AQ$8:$AQ$39,"&gt;0"),IF(AU32&gt;0,$AV$44*AU32/SUMIF($AU$8:$AU$39,"&gt;0"),IF(AS32&gt;0,$AT$44*AS32/SUMIF($AS$8:$AS$39,"&gt;0"),""))),IF(SUMIF(AJ33:$AJ$39,"=" &amp; AJ32,AI33:$AI$39)=0,"",SUMIF(AJ33:$AJ$39,"=" &amp; AJ32,AI33:$AI$39)))</f>
        <v>#N/A</v>
      </c>
      <c r="AJ32" s="139" t="e">
        <f t="shared" si="34"/>
        <v>#N/A</v>
      </c>
      <c r="AK32" s="455" t="str">
        <f t="shared" si="27"/>
        <v/>
      </c>
      <c r="AL32" s="385" t="str">
        <f t="shared" si="28"/>
        <v/>
      </c>
      <c r="AM32" s="385" t="str">
        <f t="shared" si="35"/>
        <v/>
      </c>
      <c r="AN32" s="385" t="str">
        <f t="shared" si="5"/>
        <v/>
      </c>
      <c r="AO32" s="385" t="e">
        <f t="shared" si="6"/>
        <v>#N/A</v>
      </c>
      <c r="AP32" s="455" t="str">
        <f t="shared" si="7"/>
        <v/>
      </c>
      <c r="AQ32" s="382">
        <f t="shared" si="29"/>
        <v>0</v>
      </c>
      <c r="AR32" s="141" t="str">
        <f t="shared" si="8"/>
        <v/>
      </c>
      <c r="AS32" s="142">
        <f t="shared" si="30"/>
        <v>0</v>
      </c>
      <c r="AT32" s="141" t="str">
        <f t="shared" si="9"/>
        <v/>
      </c>
      <c r="AU32" s="383">
        <f t="shared" si="10"/>
        <v>0</v>
      </c>
      <c r="AV32" s="144" t="str">
        <f t="shared" si="11"/>
        <v/>
      </c>
      <c r="AW32" s="383" t="b">
        <f t="shared" si="12"/>
        <v>0</v>
      </c>
      <c r="AX32" s="384" t="b">
        <f t="shared" si="13"/>
        <v>0</v>
      </c>
      <c r="AY32" s="383" t="b">
        <f t="shared" si="14"/>
        <v>0</v>
      </c>
      <c r="AZ32" s="384" t="b">
        <f t="shared" si="15"/>
        <v>0</v>
      </c>
      <c r="BA32" s="455" t="b">
        <f t="shared" si="16"/>
        <v>0</v>
      </c>
      <c r="BB32" s="455" t="b">
        <f t="shared" si="17"/>
        <v>0</v>
      </c>
      <c r="BC32" s="383" t="b">
        <f t="shared" si="18"/>
        <v>0</v>
      </c>
      <c r="BD32" s="385" t="b">
        <f t="shared" si="31"/>
        <v>0</v>
      </c>
      <c r="BE32" s="384" t="b">
        <f t="shared" si="37"/>
        <v>0</v>
      </c>
      <c r="BF32" s="386" t="b">
        <f t="shared" ref="BF32:BF39" si="39">IF(OR(ISNA($Z32),H32&lt;&gt;"NG"),FALSE,IF(AND(J32="NA",K32&lt;&gt;""),TRUE,FALSE))</f>
        <v>0</v>
      </c>
      <c r="BG32" s="455" t="str">
        <f t="shared" si="38"/>
        <v>NA</v>
      </c>
      <c r="BH32" s="455" t="str">
        <f t="shared" si="32"/>
        <v/>
      </c>
      <c r="BI32" s="455" t="str">
        <f t="shared" si="22"/>
        <v/>
      </c>
      <c r="BJ32" s="455" t="str">
        <f t="shared" si="23"/>
        <v/>
      </c>
      <c r="BK32" s="455" t="str">
        <f t="shared" si="24"/>
        <v/>
      </c>
      <c r="BL32" s="387" t="str">
        <f t="shared" si="33"/>
        <v/>
      </c>
      <c r="BM32" s="455" t="str">
        <f t="shared" si="25"/>
        <v/>
      </c>
      <c r="BN32" s="455" t="str">
        <f t="shared" si="26"/>
        <v/>
      </c>
      <c r="BO32" s="394" t="s">
        <v>370</v>
      </c>
      <c r="BP32" s="400" t="s">
        <v>371</v>
      </c>
    </row>
    <row r="33" spans="2:73" s="234" customFormat="1" ht="12.95" customHeight="1" x14ac:dyDescent="0.2">
      <c r="B33" s="390" t="str">
        <f>IF(ISNA(Z33),"",IF(OR(Z33=1,Z33=2),"    ",MAX($B$8:B32)+1))</f>
        <v/>
      </c>
      <c r="C33" s="1441" t="str">
        <f t="shared" si="0"/>
        <v/>
      </c>
      <c r="D33" s="1441"/>
      <c r="E33" s="1441"/>
      <c r="F33" s="1442"/>
      <c r="G33" s="377" t="str">
        <f t="shared" si="1"/>
        <v/>
      </c>
      <c r="H33" s="378" t="str">
        <f t="shared" si="2"/>
        <v/>
      </c>
      <c r="I33" s="391" t="str">
        <f t="shared" si="2"/>
        <v/>
      </c>
      <c r="J33" s="397"/>
      <c r="K33" s="398"/>
      <c r="L33" s="1455"/>
      <c r="M33" s="1456"/>
      <c r="N33" s="1456"/>
      <c r="O33" s="1456"/>
      <c r="P33" s="1456"/>
      <c r="Q33" s="1456"/>
      <c r="R33" s="1457"/>
      <c r="T33" s="344">
        <v>26</v>
      </c>
      <c r="U33" s="335" t="e">
        <v>#N/A</v>
      </c>
      <c r="V33" s="455" t="e">
        <v>#N/A</v>
      </c>
      <c r="W33" s="455" t="e">
        <v>#N/A</v>
      </c>
      <c r="X33" s="455" t="e">
        <v>#N/A</v>
      </c>
      <c r="Y33" s="455" t="e">
        <v>#N/A</v>
      </c>
      <c r="Z33" s="385" t="e">
        <v>#N/A</v>
      </c>
      <c r="AA33" s="385" t="e">
        <v>#N/A</v>
      </c>
      <c r="AB33" s="385" t="e">
        <v>#N/A</v>
      </c>
      <c r="AC33" s="455" t="e">
        <v>#N/A</v>
      </c>
      <c r="AD33" s="455" t="e">
        <v>#N/A</v>
      </c>
      <c r="AE33" s="455" t="e">
        <v>#N/A</v>
      </c>
      <c r="AF33" s="455" t="e">
        <v>#N/A</v>
      </c>
      <c r="AG33" s="455" t="e">
        <f t="shared" si="3"/>
        <v>#N/A</v>
      </c>
      <c r="AH33" s="455" t="str">
        <f t="shared" si="4"/>
        <v/>
      </c>
      <c r="AI33" s="138" t="e">
        <f>IF(NOT(OR(Z33=1,Z33=2)),IF(AQ33&gt;0,$AR$44*AQ33/SUMIF($AQ$8:$AQ$39,"&gt;0"),IF(AU33&gt;0,$AV$44*AU33/SUMIF($AU$8:$AU$39,"&gt;0"),IF(AS33&gt;0,$AT$44*AS33/SUMIF($AS$8:$AS$39,"&gt;0"),""))),IF(SUMIF(AJ34:$AJ$39,"=" &amp; AJ33,AI34:$AI$39)=0,"",SUMIF(AJ34:$AJ$39,"=" &amp; AJ33,AI34:$AI$39)))</f>
        <v>#N/A</v>
      </c>
      <c r="AJ33" s="139" t="e">
        <f t="shared" si="34"/>
        <v>#N/A</v>
      </c>
      <c r="AK33" s="455" t="str">
        <f t="shared" si="27"/>
        <v/>
      </c>
      <c r="AL33" s="385" t="str">
        <f t="shared" si="28"/>
        <v/>
      </c>
      <c r="AM33" s="385" t="str">
        <f t="shared" si="35"/>
        <v/>
      </c>
      <c r="AN33" s="385" t="str">
        <f t="shared" si="5"/>
        <v/>
      </c>
      <c r="AO33" s="385" t="e">
        <f t="shared" si="6"/>
        <v>#N/A</v>
      </c>
      <c r="AP33" s="455" t="str">
        <f t="shared" si="7"/>
        <v/>
      </c>
      <c r="AQ33" s="382">
        <f t="shared" si="29"/>
        <v>0</v>
      </c>
      <c r="AR33" s="141" t="str">
        <f t="shared" si="8"/>
        <v/>
      </c>
      <c r="AS33" s="142">
        <f t="shared" si="30"/>
        <v>0</v>
      </c>
      <c r="AT33" s="141" t="str">
        <f t="shared" si="9"/>
        <v/>
      </c>
      <c r="AU33" s="383">
        <f t="shared" si="10"/>
        <v>0</v>
      </c>
      <c r="AV33" s="144" t="str">
        <f t="shared" si="11"/>
        <v/>
      </c>
      <c r="AW33" s="383" t="b">
        <f t="shared" si="12"/>
        <v>0</v>
      </c>
      <c r="AX33" s="384" t="b">
        <f t="shared" si="13"/>
        <v>0</v>
      </c>
      <c r="AY33" s="383" t="b">
        <f t="shared" si="14"/>
        <v>0</v>
      </c>
      <c r="AZ33" s="384" t="b">
        <f t="shared" si="15"/>
        <v>0</v>
      </c>
      <c r="BA33" s="455" t="b">
        <f t="shared" si="16"/>
        <v>0</v>
      </c>
      <c r="BB33" s="455" t="b">
        <f t="shared" si="17"/>
        <v>0</v>
      </c>
      <c r="BC33" s="383" t="b">
        <f t="shared" si="18"/>
        <v>0</v>
      </c>
      <c r="BD33" s="385" t="b">
        <f t="shared" si="31"/>
        <v>0</v>
      </c>
      <c r="BE33" s="384" t="b">
        <f t="shared" si="37"/>
        <v>0</v>
      </c>
      <c r="BF33" s="386" t="b">
        <f t="shared" si="39"/>
        <v>0</v>
      </c>
      <c r="BG33" s="455" t="str">
        <f t="shared" si="38"/>
        <v>NA</v>
      </c>
      <c r="BH33" s="455" t="str">
        <f t="shared" si="32"/>
        <v/>
      </c>
      <c r="BI33" s="455" t="str">
        <f t="shared" si="22"/>
        <v/>
      </c>
      <c r="BJ33" s="455" t="str">
        <f t="shared" si="23"/>
        <v/>
      </c>
      <c r="BK33" s="455" t="str">
        <f t="shared" si="24"/>
        <v/>
      </c>
      <c r="BL33" s="387" t="str">
        <f t="shared" si="33"/>
        <v/>
      </c>
      <c r="BM33" s="455" t="str">
        <f t="shared" si="25"/>
        <v/>
      </c>
      <c r="BN33" s="455" t="str">
        <f t="shared" si="26"/>
        <v/>
      </c>
      <c r="BO33" s="389" t="s">
        <v>372</v>
      </c>
      <c r="BP33" s="400"/>
      <c r="BQ33" s="400"/>
      <c r="BR33" s="400"/>
      <c r="BS33" s="400"/>
      <c r="BT33" s="400"/>
      <c r="BU33" s="400"/>
    </row>
    <row r="34" spans="2:73" s="234" customFormat="1" ht="12.95" customHeight="1" x14ac:dyDescent="0.2">
      <c r="B34" s="390" t="str">
        <f>IF(ISNA(Z34),"",IF(OR(Z34=1,Z34=2),"    ",MAX($B$8:B33)+1))</f>
        <v/>
      </c>
      <c r="C34" s="1441" t="str">
        <f t="shared" si="0"/>
        <v/>
      </c>
      <c r="D34" s="1441"/>
      <c r="E34" s="1441"/>
      <c r="F34" s="1442"/>
      <c r="G34" s="377" t="str">
        <f t="shared" si="1"/>
        <v/>
      </c>
      <c r="H34" s="378" t="str">
        <f t="shared" si="2"/>
        <v/>
      </c>
      <c r="I34" s="391" t="str">
        <f t="shared" si="2"/>
        <v/>
      </c>
      <c r="J34" s="397"/>
      <c r="K34" s="398"/>
      <c r="L34" s="1455"/>
      <c r="M34" s="1456"/>
      <c r="N34" s="1456"/>
      <c r="O34" s="1456"/>
      <c r="P34" s="1456"/>
      <c r="Q34" s="1456"/>
      <c r="R34" s="1457"/>
      <c r="T34" s="344">
        <v>27</v>
      </c>
      <c r="U34" s="335" t="e">
        <v>#N/A</v>
      </c>
      <c r="V34" s="455" t="e">
        <v>#N/A</v>
      </c>
      <c r="W34" s="455" t="e">
        <v>#N/A</v>
      </c>
      <c r="X34" s="455" t="e">
        <v>#N/A</v>
      </c>
      <c r="Y34" s="455" t="e">
        <v>#N/A</v>
      </c>
      <c r="Z34" s="385" t="e">
        <v>#N/A</v>
      </c>
      <c r="AA34" s="385" t="e">
        <v>#N/A</v>
      </c>
      <c r="AB34" s="385" t="e">
        <v>#N/A</v>
      </c>
      <c r="AC34" s="455" t="e">
        <v>#N/A</v>
      </c>
      <c r="AD34" s="455" t="e">
        <v>#N/A</v>
      </c>
      <c r="AE34" s="455" t="e">
        <v>#N/A</v>
      </c>
      <c r="AF34" s="455" t="e">
        <v>#N/A</v>
      </c>
      <c r="AG34" s="455" t="e">
        <f t="shared" si="3"/>
        <v>#N/A</v>
      </c>
      <c r="AH34" s="455" t="str">
        <f t="shared" si="4"/>
        <v/>
      </c>
      <c r="AI34" s="138" t="e">
        <f>IF(NOT(OR(Z34=1,Z34=2)),IF(AQ34&gt;0,$AR$44*AQ34/SUMIF($AQ$8:$AQ$39,"&gt;0"),IF(AU34&gt;0,$AV$44*AU34/SUMIF($AU$8:$AU$39,"&gt;0"),IF(AS34&gt;0,$AT$44*AS34/SUMIF($AS$8:$AS$39,"&gt;0"),""))),IF(SUMIF(AJ35:$AJ$39,"=" &amp; AJ34,AI35:$AI$39)=0,"",SUMIF(AJ35:$AJ$39,"=" &amp; AJ34,AI35:$AI$39)))</f>
        <v>#N/A</v>
      </c>
      <c r="AJ34" s="139" t="e">
        <f t="shared" si="34"/>
        <v>#N/A</v>
      </c>
      <c r="AK34" s="455" t="str">
        <f t="shared" si="27"/>
        <v/>
      </c>
      <c r="AL34" s="385" t="str">
        <f t="shared" si="28"/>
        <v/>
      </c>
      <c r="AM34" s="385" t="str">
        <f t="shared" si="35"/>
        <v/>
      </c>
      <c r="AN34" s="385" t="str">
        <f t="shared" si="5"/>
        <v/>
      </c>
      <c r="AO34" s="385" t="e">
        <f t="shared" si="6"/>
        <v>#N/A</v>
      </c>
      <c r="AP34" s="455" t="str">
        <f t="shared" si="7"/>
        <v/>
      </c>
      <c r="AQ34" s="382">
        <f t="shared" si="29"/>
        <v>0</v>
      </c>
      <c r="AR34" s="141" t="str">
        <f t="shared" si="8"/>
        <v/>
      </c>
      <c r="AS34" s="142">
        <f t="shared" si="30"/>
        <v>0</v>
      </c>
      <c r="AT34" s="141" t="str">
        <f t="shared" si="9"/>
        <v/>
      </c>
      <c r="AU34" s="383">
        <f t="shared" si="10"/>
        <v>0</v>
      </c>
      <c r="AV34" s="144" t="str">
        <f t="shared" si="11"/>
        <v/>
      </c>
      <c r="AW34" s="383" t="b">
        <f t="shared" si="12"/>
        <v>0</v>
      </c>
      <c r="AX34" s="384" t="b">
        <f t="shared" si="13"/>
        <v>0</v>
      </c>
      <c r="AY34" s="383" t="b">
        <f t="shared" si="14"/>
        <v>0</v>
      </c>
      <c r="AZ34" s="384" t="b">
        <f t="shared" si="15"/>
        <v>0</v>
      </c>
      <c r="BA34" s="455" t="b">
        <f t="shared" si="16"/>
        <v>0</v>
      </c>
      <c r="BB34" s="455" t="b">
        <f t="shared" si="17"/>
        <v>0</v>
      </c>
      <c r="BC34" s="383" t="b">
        <f t="shared" si="18"/>
        <v>0</v>
      </c>
      <c r="BD34" s="385" t="b">
        <f t="shared" si="31"/>
        <v>0</v>
      </c>
      <c r="BE34" s="384" t="b">
        <f t="shared" si="37"/>
        <v>0</v>
      </c>
      <c r="BF34" s="386" t="b">
        <f t="shared" si="39"/>
        <v>0</v>
      </c>
      <c r="BG34" s="455" t="str">
        <f t="shared" si="38"/>
        <v>NA</v>
      </c>
      <c r="BH34" s="455" t="str">
        <f t="shared" si="32"/>
        <v/>
      </c>
      <c r="BI34" s="455" t="str">
        <f t="shared" si="22"/>
        <v/>
      </c>
      <c r="BJ34" s="455" t="str">
        <f t="shared" si="23"/>
        <v/>
      </c>
      <c r="BK34" s="455" t="str">
        <f t="shared" si="24"/>
        <v/>
      </c>
      <c r="BL34" s="387" t="str">
        <f t="shared" si="33"/>
        <v/>
      </c>
      <c r="BM34" s="455" t="str">
        <f t="shared" si="25"/>
        <v/>
      </c>
      <c r="BN34" s="455" t="str">
        <f t="shared" si="26"/>
        <v/>
      </c>
      <c r="BO34" s="1461"/>
      <c r="BP34" s="1462"/>
      <c r="BQ34" s="1462"/>
      <c r="BR34" s="1462"/>
      <c r="BS34" s="1462"/>
      <c r="BT34" s="1462"/>
      <c r="BU34" s="1463"/>
    </row>
    <row r="35" spans="2:73" s="234" customFormat="1" ht="12.95" customHeight="1" x14ac:dyDescent="0.2">
      <c r="B35" s="390" t="str">
        <f>IF(ISNA(Z35),"",IF(OR(Z35=1,Z35=2),"    ",MAX($B$8:B34)+1))</f>
        <v/>
      </c>
      <c r="C35" s="1441" t="str">
        <f t="shared" si="0"/>
        <v/>
      </c>
      <c r="D35" s="1441"/>
      <c r="E35" s="1441"/>
      <c r="F35" s="1442"/>
      <c r="G35" s="377" t="str">
        <f t="shared" si="1"/>
        <v/>
      </c>
      <c r="H35" s="378" t="str">
        <f t="shared" si="2"/>
        <v/>
      </c>
      <c r="I35" s="391" t="str">
        <f t="shared" si="2"/>
        <v/>
      </c>
      <c r="J35" s="397"/>
      <c r="K35" s="398"/>
      <c r="L35" s="1455"/>
      <c r="M35" s="1456"/>
      <c r="N35" s="1456"/>
      <c r="O35" s="1456"/>
      <c r="P35" s="1456"/>
      <c r="Q35" s="1456"/>
      <c r="R35" s="1457"/>
      <c r="T35" s="344">
        <v>28</v>
      </c>
      <c r="U35" s="335" t="e">
        <v>#N/A</v>
      </c>
      <c r="V35" s="455" t="e">
        <v>#N/A</v>
      </c>
      <c r="W35" s="455" t="e">
        <v>#N/A</v>
      </c>
      <c r="X35" s="455" t="e">
        <v>#N/A</v>
      </c>
      <c r="Y35" s="455" t="e">
        <v>#N/A</v>
      </c>
      <c r="Z35" s="385" t="e">
        <v>#N/A</v>
      </c>
      <c r="AA35" s="385" t="e">
        <v>#N/A</v>
      </c>
      <c r="AB35" s="385" t="e">
        <v>#N/A</v>
      </c>
      <c r="AC35" s="455" t="e">
        <v>#N/A</v>
      </c>
      <c r="AD35" s="455" t="e">
        <v>#N/A</v>
      </c>
      <c r="AE35" s="455" t="e">
        <v>#N/A</v>
      </c>
      <c r="AF35" s="455" t="e">
        <v>#N/A</v>
      </c>
      <c r="AG35" s="455" t="e">
        <f t="shared" si="3"/>
        <v>#N/A</v>
      </c>
      <c r="AH35" s="455" t="str">
        <f t="shared" si="4"/>
        <v/>
      </c>
      <c r="AI35" s="138" t="e">
        <f>IF(NOT(OR(Z35=1,Z35=2)),IF(AQ35&gt;0,$AR$44*AQ35/SUMIF($AQ$8:$AQ$39,"&gt;0"),IF(AU35&gt;0,$AV$44*AU35/SUMIF($AU$8:$AU$39,"&gt;0"),IF(AS35&gt;0,$AT$44*AS35/SUMIF($AS$8:$AS$39,"&gt;0"),""))),IF(SUMIF(AJ36:$AJ$39,"=" &amp; AJ35,AI36:$AI$39)=0,"",SUMIF(AJ36:$AJ$39,"=" &amp; AJ35,AI36:$AI$39)))</f>
        <v>#N/A</v>
      </c>
      <c r="AJ35" s="139" t="e">
        <f t="shared" si="34"/>
        <v>#N/A</v>
      </c>
      <c r="AK35" s="455" t="str">
        <f t="shared" si="27"/>
        <v/>
      </c>
      <c r="AL35" s="385" t="str">
        <f t="shared" si="28"/>
        <v/>
      </c>
      <c r="AM35" s="385" t="str">
        <f t="shared" si="35"/>
        <v/>
      </c>
      <c r="AN35" s="385" t="str">
        <f t="shared" si="5"/>
        <v/>
      </c>
      <c r="AO35" s="385" t="e">
        <f t="shared" si="6"/>
        <v>#N/A</v>
      </c>
      <c r="AP35" s="455" t="str">
        <f t="shared" si="7"/>
        <v/>
      </c>
      <c r="AQ35" s="382">
        <f t="shared" si="29"/>
        <v>0</v>
      </c>
      <c r="AR35" s="141" t="str">
        <f t="shared" si="8"/>
        <v/>
      </c>
      <c r="AS35" s="142">
        <f t="shared" si="30"/>
        <v>0</v>
      </c>
      <c r="AT35" s="141" t="str">
        <f t="shared" si="9"/>
        <v/>
      </c>
      <c r="AU35" s="383">
        <f t="shared" si="10"/>
        <v>0</v>
      </c>
      <c r="AV35" s="144" t="str">
        <f t="shared" si="11"/>
        <v/>
      </c>
      <c r="AW35" s="383" t="b">
        <f t="shared" si="12"/>
        <v>0</v>
      </c>
      <c r="AX35" s="384" t="b">
        <f t="shared" si="13"/>
        <v>0</v>
      </c>
      <c r="AY35" s="383" t="b">
        <f t="shared" si="14"/>
        <v>0</v>
      </c>
      <c r="AZ35" s="384" t="b">
        <f t="shared" si="15"/>
        <v>0</v>
      </c>
      <c r="BA35" s="455" t="b">
        <f t="shared" si="16"/>
        <v>0</v>
      </c>
      <c r="BB35" s="455" t="b">
        <f t="shared" si="17"/>
        <v>0</v>
      </c>
      <c r="BC35" s="383" t="b">
        <f t="shared" si="18"/>
        <v>0</v>
      </c>
      <c r="BD35" s="385" t="b">
        <f t="shared" si="31"/>
        <v>0</v>
      </c>
      <c r="BE35" s="384" t="b">
        <f t="shared" si="37"/>
        <v>0</v>
      </c>
      <c r="BF35" s="386" t="b">
        <f t="shared" si="39"/>
        <v>0</v>
      </c>
      <c r="BG35" s="455" t="str">
        <f t="shared" si="38"/>
        <v>NA</v>
      </c>
      <c r="BH35" s="455" t="str">
        <f t="shared" si="32"/>
        <v/>
      </c>
      <c r="BI35" s="455" t="str">
        <f t="shared" si="22"/>
        <v/>
      </c>
      <c r="BJ35" s="455" t="str">
        <f t="shared" si="23"/>
        <v/>
      </c>
      <c r="BK35" s="455" t="str">
        <f t="shared" si="24"/>
        <v/>
      </c>
      <c r="BL35" s="387" t="str">
        <f t="shared" si="33"/>
        <v/>
      </c>
      <c r="BM35" s="455" t="str">
        <f t="shared" si="25"/>
        <v/>
      </c>
      <c r="BN35" s="455" t="str">
        <f t="shared" si="26"/>
        <v/>
      </c>
      <c r="BO35" s="1464"/>
      <c r="BP35" s="1465"/>
      <c r="BQ35" s="1465"/>
      <c r="BR35" s="1465"/>
      <c r="BS35" s="1465"/>
      <c r="BT35" s="1465"/>
      <c r="BU35" s="1466"/>
    </row>
    <row r="36" spans="2:73" s="234" customFormat="1" ht="12.95" customHeight="1" x14ac:dyDescent="0.2">
      <c r="B36" s="390" t="str">
        <f>IF(ISNA(Z36),"",IF(OR(Z36=1,Z36=2),"    ",MAX($B$8:B35)+1))</f>
        <v/>
      </c>
      <c r="C36" s="1441" t="str">
        <f t="shared" si="0"/>
        <v/>
      </c>
      <c r="D36" s="1441"/>
      <c r="E36" s="1441"/>
      <c r="F36" s="1442"/>
      <c r="G36" s="377" t="str">
        <f t="shared" si="1"/>
        <v/>
      </c>
      <c r="H36" s="378" t="str">
        <f t="shared" si="2"/>
        <v/>
      </c>
      <c r="I36" s="391" t="str">
        <f t="shared" si="2"/>
        <v/>
      </c>
      <c r="J36" s="397"/>
      <c r="K36" s="398"/>
      <c r="L36" s="1455"/>
      <c r="M36" s="1456"/>
      <c r="N36" s="1456"/>
      <c r="O36" s="1456"/>
      <c r="P36" s="1456"/>
      <c r="Q36" s="1456"/>
      <c r="R36" s="1457"/>
      <c r="T36" s="344">
        <v>29</v>
      </c>
      <c r="U36" s="335" t="e">
        <v>#N/A</v>
      </c>
      <c r="V36" s="455" t="e">
        <v>#N/A</v>
      </c>
      <c r="W36" s="455" t="e">
        <v>#N/A</v>
      </c>
      <c r="X36" s="455" t="e">
        <v>#N/A</v>
      </c>
      <c r="Y36" s="455" t="e">
        <v>#N/A</v>
      </c>
      <c r="Z36" s="385" t="e">
        <v>#N/A</v>
      </c>
      <c r="AA36" s="385" t="e">
        <v>#N/A</v>
      </c>
      <c r="AB36" s="385" t="e">
        <v>#N/A</v>
      </c>
      <c r="AC36" s="455" t="e">
        <v>#N/A</v>
      </c>
      <c r="AD36" s="455" t="e">
        <v>#N/A</v>
      </c>
      <c r="AE36" s="455" t="e">
        <v>#N/A</v>
      </c>
      <c r="AF36" s="455" t="e">
        <v>#N/A</v>
      </c>
      <c r="AG36" s="455" t="e">
        <f t="shared" si="3"/>
        <v>#N/A</v>
      </c>
      <c r="AH36" s="455" t="str">
        <f t="shared" si="4"/>
        <v/>
      </c>
      <c r="AI36" s="138" t="e">
        <f>IF(NOT(OR(Z36=1,Z36=2)),IF(AQ36&gt;0,$AR$44*AQ36/SUMIF($AQ$8:$AQ$39,"&gt;0"),IF(AU36&gt;0,$AV$44*AU36/SUMIF($AU$8:$AU$39,"&gt;0"),IF(AS36&gt;0,$AT$44*AS36/SUMIF($AS$8:$AS$39,"&gt;0"),""))),IF(SUMIF(AJ37:$AJ$39,"=" &amp; AJ36,AI37:$AI$39)=0,"",SUMIF(AJ37:$AJ$39,"=" &amp; AJ36,AI37:$AI$39)))</f>
        <v>#N/A</v>
      </c>
      <c r="AJ36" s="139" t="e">
        <f t="shared" si="34"/>
        <v>#N/A</v>
      </c>
      <c r="AK36" s="455" t="str">
        <f t="shared" si="27"/>
        <v/>
      </c>
      <c r="AL36" s="385" t="str">
        <f t="shared" si="28"/>
        <v/>
      </c>
      <c r="AM36" s="385" t="str">
        <f t="shared" si="35"/>
        <v/>
      </c>
      <c r="AN36" s="385" t="str">
        <f t="shared" si="5"/>
        <v/>
      </c>
      <c r="AO36" s="385" t="e">
        <f t="shared" si="6"/>
        <v>#N/A</v>
      </c>
      <c r="AP36" s="455" t="str">
        <f t="shared" si="7"/>
        <v/>
      </c>
      <c r="AQ36" s="382">
        <f t="shared" si="29"/>
        <v>0</v>
      </c>
      <c r="AR36" s="141" t="str">
        <f t="shared" si="8"/>
        <v/>
      </c>
      <c r="AS36" s="142">
        <f t="shared" si="30"/>
        <v>0</v>
      </c>
      <c r="AT36" s="141" t="str">
        <f t="shared" si="9"/>
        <v/>
      </c>
      <c r="AU36" s="383">
        <f t="shared" si="10"/>
        <v>0</v>
      </c>
      <c r="AV36" s="144" t="str">
        <f t="shared" si="11"/>
        <v/>
      </c>
      <c r="AW36" s="383" t="b">
        <f t="shared" si="12"/>
        <v>0</v>
      </c>
      <c r="AX36" s="384" t="b">
        <f t="shared" si="13"/>
        <v>0</v>
      </c>
      <c r="AY36" s="383" t="b">
        <f t="shared" si="14"/>
        <v>0</v>
      </c>
      <c r="AZ36" s="384" t="b">
        <f t="shared" si="15"/>
        <v>0</v>
      </c>
      <c r="BA36" s="455" t="b">
        <f t="shared" si="16"/>
        <v>0</v>
      </c>
      <c r="BB36" s="455" t="b">
        <f t="shared" si="17"/>
        <v>0</v>
      </c>
      <c r="BC36" s="383" t="b">
        <f t="shared" si="18"/>
        <v>0</v>
      </c>
      <c r="BD36" s="385" t="b">
        <f t="shared" si="31"/>
        <v>0</v>
      </c>
      <c r="BE36" s="384" t="b">
        <f t="shared" si="37"/>
        <v>0</v>
      </c>
      <c r="BF36" s="386" t="b">
        <f t="shared" si="39"/>
        <v>0</v>
      </c>
      <c r="BG36" s="455" t="str">
        <f t="shared" si="38"/>
        <v>NA</v>
      </c>
      <c r="BH36" s="455" t="str">
        <f t="shared" si="32"/>
        <v/>
      </c>
      <c r="BI36" s="455" t="str">
        <f t="shared" si="22"/>
        <v/>
      </c>
      <c r="BJ36" s="455" t="str">
        <f t="shared" si="23"/>
        <v/>
      </c>
      <c r="BK36" s="455" t="str">
        <f t="shared" si="24"/>
        <v/>
      </c>
      <c r="BL36" s="387" t="str">
        <f t="shared" si="33"/>
        <v/>
      </c>
      <c r="BM36" s="455" t="str">
        <f t="shared" si="25"/>
        <v/>
      </c>
      <c r="BN36" s="455" t="str">
        <f t="shared" si="26"/>
        <v/>
      </c>
      <c r="BO36" s="1464"/>
      <c r="BP36" s="1465"/>
      <c r="BQ36" s="1465"/>
      <c r="BR36" s="1465"/>
      <c r="BS36" s="1465"/>
      <c r="BT36" s="1465"/>
      <c r="BU36" s="1466"/>
    </row>
    <row r="37" spans="2:73" s="234" customFormat="1" ht="12.95" customHeight="1" x14ac:dyDescent="0.2">
      <c r="B37" s="390" t="str">
        <f>IF(ISNA(Z37),"",IF(OR(Z37=1,Z37=2),"    ",MAX($B$8:B36)+1))</f>
        <v/>
      </c>
      <c r="C37" s="1441" t="str">
        <f>IF(ISNA(Z37),"",CONCATENATE($U37,IF(ISNUMBER(AI37),TEXT(ROUND($AI37,3)," (0.0%)"),""),IF(AU37&gt;0," Bonus","")))</f>
        <v/>
      </c>
      <c r="D37" s="1441"/>
      <c r="E37" s="1441"/>
      <c r="F37" s="1442"/>
      <c r="G37" s="377" t="str">
        <f t="shared" si="1"/>
        <v/>
      </c>
      <c r="H37" s="378" t="str">
        <f t="shared" si="2"/>
        <v/>
      </c>
      <c r="I37" s="391" t="str">
        <f t="shared" si="2"/>
        <v/>
      </c>
      <c r="J37" s="397"/>
      <c r="K37" s="398"/>
      <c r="L37" s="1455"/>
      <c r="M37" s="1456"/>
      <c r="N37" s="1456"/>
      <c r="O37" s="1456"/>
      <c r="P37" s="1456"/>
      <c r="Q37" s="1456"/>
      <c r="R37" s="1457"/>
      <c r="T37" s="344">
        <v>30</v>
      </c>
      <c r="U37" s="335" t="e">
        <v>#N/A</v>
      </c>
      <c r="V37" s="455" t="e">
        <v>#N/A</v>
      </c>
      <c r="W37" s="455" t="e">
        <v>#N/A</v>
      </c>
      <c r="X37" s="455" t="e">
        <v>#N/A</v>
      </c>
      <c r="Y37" s="455" t="e">
        <v>#N/A</v>
      </c>
      <c r="Z37" s="385" t="e">
        <v>#N/A</v>
      </c>
      <c r="AA37" s="385" t="e">
        <v>#N/A</v>
      </c>
      <c r="AB37" s="385" t="e">
        <v>#N/A</v>
      </c>
      <c r="AC37" s="455" t="e">
        <v>#N/A</v>
      </c>
      <c r="AD37" s="455" t="e">
        <v>#N/A</v>
      </c>
      <c r="AE37" s="455" t="e">
        <v>#N/A</v>
      </c>
      <c r="AF37" s="455" t="e">
        <v>#N/A</v>
      </c>
      <c r="AG37" s="455" t="e">
        <f t="shared" si="3"/>
        <v>#N/A</v>
      </c>
      <c r="AH37" s="455" t="str">
        <f t="shared" si="4"/>
        <v/>
      </c>
      <c r="AI37" s="138" t="e">
        <f>IF(NOT(OR(Z37=1,Z37=2)),IF(AQ37&gt;0,$AR$44*AQ37/SUMIF($AQ$8:$AQ$39,"&gt;0"),IF(AU37&gt;0,$AV$44*AU37/SUMIF($AU$8:$AU$39,"&gt;0"),IF(AS37&gt;0,$AT$44*AS37/SUMIF($AS$8:$AS$39,"&gt;0"),""))),IF(SUMIF(AJ38:$AJ$39,"=" &amp; AJ37,AI38:$AI$39)=0,"",SUMIF(AJ38:$AJ$39,"=" &amp; AJ37,AI38:$AI$39)))</f>
        <v>#N/A</v>
      </c>
      <c r="AJ37" s="139" t="e">
        <f t="shared" si="34"/>
        <v>#N/A</v>
      </c>
      <c r="AK37" s="455" t="str">
        <f t="shared" si="27"/>
        <v/>
      </c>
      <c r="AL37" s="385" t="str">
        <f t="shared" si="28"/>
        <v/>
      </c>
      <c r="AM37" s="385" t="str">
        <f t="shared" si="35"/>
        <v/>
      </c>
      <c r="AN37" s="385" t="str">
        <f>IF(ISNUMBER(AH37),IF(AND(AB37=0,ISNUMBER(AC37),ISNUMBER(AL37)),1,""),"")</f>
        <v/>
      </c>
      <c r="AO37" s="385" t="e">
        <f t="shared" si="6"/>
        <v>#N/A</v>
      </c>
      <c r="AP37" s="455" t="str">
        <f t="shared" si="7"/>
        <v/>
      </c>
      <c r="AQ37" s="382">
        <f t="shared" si="29"/>
        <v>0</v>
      </c>
      <c r="AR37" s="141" t="str">
        <f t="shared" si="8"/>
        <v/>
      </c>
      <c r="AS37" s="142">
        <f t="shared" si="30"/>
        <v>0</v>
      </c>
      <c r="AT37" s="141" t="str">
        <f t="shared" si="9"/>
        <v/>
      </c>
      <c r="AU37" s="383">
        <f t="shared" si="10"/>
        <v>0</v>
      </c>
      <c r="AV37" s="144" t="str">
        <f t="shared" si="11"/>
        <v/>
      </c>
      <c r="AW37" s="383" t="b">
        <f t="shared" si="12"/>
        <v>0</v>
      </c>
      <c r="AX37" s="384" t="b">
        <f t="shared" si="13"/>
        <v>0</v>
      </c>
      <c r="AY37" s="383" t="b">
        <f t="shared" si="14"/>
        <v>0</v>
      </c>
      <c r="AZ37" s="384" t="b">
        <f t="shared" si="15"/>
        <v>0</v>
      </c>
      <c r="BA37" s="455" t="b">
        <f t="shared" si="16"/>
        <v>0</v>
      </c>
      <c r="BB37" s="455" t="b">
        <f t="shared" si="17"/>
        <v>0</v>
      </c>
      <c r="BC37" s="383" t="b">
        <f t="shared" si="18"/>
        <v>0</v>
      </c>
      <c r="BD37" s="385" t="b">
        <f t="shared" si="31"/>
        <v>0</v>
      </c>
      <c r="BE37" s="384" t="b">
        <f t="shared" si="37"/>
        <v>0</v>
      </c>
      <c r="BF37" s="386" t="b">
        <f t="shared" si="39"/>
        <v>0</v>
      </c>
      <c r="BG37" s="455" t="str">
        <f t="shared" si="38"/>
        <v>NA</v>
      </c>
      <c r="BH37" s="455" t="str">
        <f t="shared" si="32"/>
        <v/>
      </c>
      <c r="BI37" s="455" t="str">
        <f t="shared" si="22"/>
        <v/>
      </c>
      <c r="BJ37" s="455" t="str">
        <f t="shared" si="23"/>
        <v/>
      </c>
      <c r="BK37" s="455" t="str">
        <f t="shared" si="24"/>
        <v/>
      </c>
      <c r="BL37" s="387" t="str">
        <f t="shared" si="33"/>
        <v/>
      </c>
      <c r="BM37" s="455" t="str">
        <f t="shared" si="25"/>
        <v/>
      </c>
      <c r="BN37" s="455" t="str">
        <f t="shared" si="26"/>
        <v/>
      </c>
      <c r="BO37" s="1467"/>
      <c r="BP37" s="1468"/>
      <c r="BQ37" s="1468"/>
      <c r="BR37" s="1468"/>
      <c r="BS37" s="1468"/>
      <c r="BT37" s="1468"/>
      <c r="BU37" s="1469"/>
    </row>
    <row r="38" spans="2:73" s="234" customFormat="1" ht="12.95" customHeight="1" x14ac:dyDescent="0.2">
      <c r="B38" s="390" t="str">
        <f>IF(ISNA(Z38),"",IF(OR(Z38=1,Z38=2),"    ",MAX($B$8:B37)+1))</f>
        <v/>
      </c>
      <c r="C38" s="1441" t="str">
        <f t="shared" ref="C38:C39" si="40">IF(ISNA(Z38),"",CONCATENATE($U38,IF(ISNUMBER(AI38),TEXT(ROUND($AI38,3)," (0.0%)"),""),IF(AU38&gt;0," Bonus","")))</f>
        <v/>
      </c>
      <c r="D38" s="1441"/>
      <c r="E38" s="1441"/>
      <c r="F38" s="1442"/>
      <c r="G38" s="377" t="str">
        <f t="shared" si="1"/>
        <v/>
      </c>
      <c r="H38" s="378" t="str">
        <f t="shared" si="2"/>
        <v/>
      </c>
      <c r="I38" s="391" t="str">
        <f t="shared" si="2"/>
        <v/>
      </c>
      <c r="J38" s="397"/>
      <c r="K38" s="398"/>
      <c r="L38" s="1455"/>
      <c r="M38" s="1456"/>
      <c r="N38" s="1456"/>
      <c r="O38" s="1456"/>
      <c r="P38" s="1456"/>
      <c r="Q38" s="1456"/>
      <c r="R38" s="1457"/>
      <c r="T38" s="344">
        <v>31</v>
      </c>
      <c r="U38" s="335" t="e">
        <v>#N/A</v>
      </c>
      <c r="V38" s="455" t="e">
        <v>#N/A</v>
      </c>
      <c r="W38" s="455" t="e">
        <v>#N/A</v>
      </c>
      <c r="X38" s="455" t="e">
        <v>#N/A</v>
      </c>
      <c r="Y38" s="455" t="e">
        <v>#N/A</v>
      </c>
      <c r="Z38" s="385" t="e">
        <v>#N/A</v>
      </c>
      <c r="AA38" s="385" t="e">
        <v>#N/A</v>
      </c>
      <c r="AB38" s="385" t="e">
        <v>#N/A</v>
      </c>
      <c r="AC38" s="455" t="e">
        <v>#N/A</v>
      </c>
      <c r="AD38" s="455" t="e">
        <v>#N/A</v>
      </c>
      <c r="AE38" s="455" t="e">
        <v>#N/A</v>
      </c>
      <c r="AF38" s="455" t="e">
        <v>#N/A</v>
      </c>
      <c r="AG38" s="455" t="e">
        <f t="shared" si="3"/>
        <v>#N/A</v>
      </c>
      <c r="AH38" s="455" t="str">
        <f t="shared" si="4"/>
        <v/>
      </c>
      <c r="AI38" s="138" t="e">
        <f>IF(NOT(OR(Z38=1,Z38=2)),IF(AQ38&gt;0,$AR$44*AQ38/SUMIF($AQ$8:$AQ$39,"&gt;0"),IF(AU38&gt;0,$AV$44*AU38/SUMIF($AU$8:$AU$39,"&gt;0"),IF(AS38&gt;0,$AT$44*AS38/SUMIF($AS$8:$AS$39,"&gt;0"),""))),IF(SUMIF(AJ39:$AJ$39,"=" &amp; AJ38,AI39:$AI$39)=0,"",SUMIF(AJ39:$AJ$39,"=" &amp; AJ38,AI39:$AI$39)))</f>
        <v>#N/A</v>
      </c>
      <c r="AJ38" s="139" t="e">
        <f t="shared" si="34"/>
        <v>#N/A</v>
      </c>
      <c r="AK38" s="455" t="str">
        <f t="shared" si="27"/>
        <v/>
      </c>
      <c r="AL38" s="385" t="str">
        <f t="shared" si="28"/>
        <v/>
      </c>
      <c r="AM38" s="385" t="str">
        <f t="shared" si="35"/>
        <v/>
      </c>
      <c r="AN38" s="385" t="str">
        <f>IF(ISNUMBER(AH38),IF(AND(AB38=0,ISNUMBER(AC38),ISNUMBER(AL38)),1,""),"")</f>
        <v/>
      </c>
      <c r="AO38" s="385" t="e">
        <f t="shared" si="6"/>
        <v>#N/A</v>
      </c>
      <c r="AP38" s="455" t="str">
        <f t="shared" si="7"/>
        <v/>
      </c>
      <c r="AQ38" s="382">
        <f t="shared" si="29"/>
        <v>0</v>
      </c>
      <c r="AR38" s="141" t="str">
        <f t="shared" si="8"/>
        <v/>
      </c>
      <c r="AS38" s="142">
        <f t="shared" si="30"/>
        <v>0</v>
      </c>
      <c r="AT38" s="141" t="str">
        <f t="shared" si="9"/>
        <v/>
      </c>
      <c r="AU38" s="383">
        <f t="shared" si="10"/>
        <v>0</v>
      </c>
      <c r="AV38" s="144" t="str">
        <f t="shared" si="11"/>
        <v/>
      </c>
      <c r="AW38" s="383" t="b">
        <f t="shared" si="12"/>
        <v>0</v>
      </c>
      <c r="AX38" s="384" t="b">
        <f t="shared" si="13"/>
        <v>0</v>
      </c>
      <c r="AY38" s="383" t="b">
        <f t="shared" si="14"/>
        <v>0</v>
      </c>
      <c r="AZ38" s="384" t="b">
        <f t="shared" si="15"/>
        <v>0</v>
      </c>
      <c r="BA38" s="455" t="b">
        <f t="shared" si="16"/>
        <v>0</v>
      </c>
      <c r="BB38" s="455" t="b">
        <f t="shared" si="17"/>
        <v>0</v>
      </c>
      <c r="BC38" s="383" t="b">
        <f t="shared" si="18"/>
        <v>0</v>
      </c>
      <c r="BD38" s="385" t="b">
        <f t="shared" si="31"/>
        <v>0</v>
      </c>
      <c r="BE38" s="384" t="b">
        <f t="shared" si="37"/>
        <v>0</v>
      </c>
      <c r="BF38" s="386" t="b">
        <f t="shared" si="39"/>
        <v>0</v>
      </c>
      <c r="BG38" s="455" t="str">
        <f t="shared" si="38"/>
        <v>NA</v>
      </c>
      <c r="BH38" s="455" t="str">
        <f t="shared" si="32"/>
        <v/>
      </c>
      <c r="BI38" s="455" t="str">
        <f t="shared" si="22"/>
        <v/>
      </c>
      <c r="BJ38" s="455" t="str">
        <f t="shared" si="23"/>
        <v/>
      </c>
      <c r="BK38" s="455" t="str">
        <f t="shared" si="24"/>
        <v/>
      </c>
      <c r="BL38" s="387" t="str">
        <f t="shared" si="33"/>
        <v/>
      </c>
      <c r="BM38" s="455" t="str">
        <f t="shared" si="25"/>
        <v/>
      </c>
      <c r="BN38" s="455" t="str">
        <f t="shared" si="26"/>
        <v/>
      </c>
      <c r="BO38" s="389" t="s">
        <v>373</v>
      </c>
      <c r="BP38" s="389"/>
      <c r="BQ38" s="389"/>
      <c r="BR38" s="389"/>
      <c r="BS38" s="389"/>
      <c r="BT38" s="389"/>
      <c r="BU38" s="389"/>
    </row>
    <row r="39" spans="2:73" s="234" customFormat="1" ht="12.95" customHeight="1" thickBot="1" x14ac:dyDescent="0.25">
      <c r="B39" s="390" t="str">
        <f>IF(ISNA(Z39),"",IF(OR(Z39=1,Z39=2),"    ",MAX($B$8:B38)+1))</f>
        <v/>
      </c>
      <c r="C39" s="1441" t="str">
        <f t="shared" si="40"/>
        <v/>
      </c>
      <c r="D39" s="1441"/>
      <c r="E39" s="1441"/>
      <c r="F39" s="1442"/>
      <c r="G39" s="401" t="str">
        <f t="shared" si="1"/>
        <v/>
      </c>
      <c r="H39" s="378" t="str">
        <f t="shared" si="2"/>
        <v/>
      </c>
      <c r="I39" s="402" t="str">
        <f t="shared" si="2"/>
        <v/>
      </c>
      <c r="J39" s="403"/>
      <c r="K39" s="404"/>
      <c r="L39" s="1458"/>
      <c r="M39" s="1459"/>
      <c r="N39" s="1459"/>
      <c r="O39" s="1459"/>
      <c r="P39" s="1459"/>
      <c r="Q39" s="1459"/>
      <c r="R39" s="1460"/>
      <c r="T39" s="344">
        <v>32</v>
      </c>
      <c r="U39" s="335" t="e">
        <v>#N/A</v>
      </c>
      <c r="V39" s="455" t="e">
        <v>#N/A</v>
      </c>
      <c r="W39" s="455" t="e">
        <v>#N/A</v>
      </c>
      <c r="X39" s="455" t="e">
        <v>#N/A</v>
      </c>
      <c r="Y39" s="455" t="e">
        <v>#N/A</v>
      </c>
      <c r="Z39" s="385" t="e">
        <v>#N/A</v>
      </c>
      <c r="AA39" s="385" t="e">
        <v>#N/A</v>
      </c>
      <c r="AB39" s="385" t="e">
        <v>#N/A</v>
      </c>
      <c r="AC39" s="455" t="e">
        <v>#N/A</v>
      </c>
      <c r="AD39" s="455" t="e">
        <v>#N/A</v>
      </c>
      <c r="AE39" s="455" t="e">
        <v>#N/A</v>
      </c>
      <c r="AF39" s="455" t="e">
        <v>#N/A</v>
      </c>
      <c r="AG39" s="455" t="e">
        <f t="shared" si="3"/>
        <v>#N/A</v>
      </c>
      <c r="AH39" s="455" t="str">
        <f t="shared" si="4"/>
        <v/>
      </c>
      <c r="AI39" s="138" t="e">
        <f>IF(NOT(OR(Z39=1,Z39=2)),IF(AQ39&gt;0,$AR$44*AQ39/SUMIF($AQ$8:$AQ$39,"&gt;0"),IF(AU39&gt;0,$AV$44*AU39/SUMIF($AU$8:$AU$39,"&gt;0"),IF(AS39&gt;0,$AT$44*AS39/SUMIF($AS$8:$AS$39,"&gt;0"),""))),IF(SUMIF(AJ$39:$AJ40,"=" &amp; AJ39,AI$39:$AI40)=0,"",SUMIF(AJ$39:$AJ40,"=" &amp; AJ39,AI$39:$AI40)))</f>
        <v>#N/A</v>
      </c>
      <c r="AJ39" s="139" t="e">
        <f t="shared" si="34"/>
        <v>#N/A</v>
      </c>
      <c r="AK39" s="455" t="str">
        <f t="shared" si="27"/>
        <v/>
      </c>
      <c r="AL39" s="385" t="str">
        <f t="shared" si="28"/>
        <v/>
      </c>
      <c r="AM39" s="385" t="str">
        <f t="shared" si="35"/>
        <v/>
      </c>
      <c r="AN39" s="385" t="str">
        <f>IF(ISNUMBER(AH39),IF(AND(AB39=0,ISNUMBER(AC39),ISNUMBER(AL39)),1,""),"")</f>
        <v/>
      </c>
      <c r="AO39" s="385" t="e">
        <f t="shared" si="6"/>
        <v>#N/A</v>
      </c>
      <c r="AP39" s="455" t="str">
        <f t="shared" si="7"/>
        <v/>
      </c>
      <c r="AQ39" s="382">
        <f t="shared" si="29"/>
        <v>0</v>
      </c>
      <c r="AR39" s="141" t="str">
        <f t="shared" si="8"/>
        <v/>
      </c>
      <c r="AS39" s="142">
        <f t="shared" si="30"/>
        <v>0</v>
      </c>
      <c r="AT39" s="141" t="str">
        <f t="shared" si="9"/>
        <v/>
      </c>
      <c r="AU39" s="383">
        <f t="shared" si="10"/>
        <v>0</v>
      </c>
      <c r="AV39" s="144" t="str">
        <f t="shared" si="11"/>
        <v/>
      </c>
      <c r="AW39" s="383" t="b">
        <f t="shared" si="12"/>
        <v>0</v>
      </c>
      <c r="AX39" s="384" t="b">
        <f t="shared" si="13"/>
        <v>0</v>
      </c>
      <c r="AY39" s="383" t="b">
        <f t="shared" si="14"/>
        <v>0</v>
      </c>
      <c r="AZ39" s="384" t="b">
        <f t="shared" si="15"/>
        <v>0</v>
      </c>
      <c r="BA39" s="455" t="b">
        <f t="shared" si="16"/>
        <v>0</v>
      </c>
      <c r="BB39" s="455" t="b">
        <f t="shared" si="17"/>
        <v>0</v>
      </c>
      <c r="BC39" s="383" t="b">
        <f t="shared" si="18"/>
        <v>0</v>
      </c>
      <c r="BD39" s="385" t="b">
        <f t="shared" si="31"/>
        <v>0</v>
      </c>
      <c r="BE39" s="384" t="b">
        <f t="shared" si="37"/>
        <v>0</v>
      </c>
      <c r="BF39" s="386" t="b">
        <f t="shared" si="39"/>
        <v>0</v>
      </c>
      <c r="BG39" s="455" t="str">
        <f t="shared" si="38"/>
        <v>NA</v>
      </c>
      <c r="BH39" s="455" t="str">
        <f t="shared" si="32"/>
        <v/>
      </c>
      <c r="BI39" s="455" t="str">
        <f t="shared" si="22"/>
        <v/>
      </c>
      <c r="BJ39" s="455" t="str">
        <f t="shared" si="23"/>
        <v/>
      </c>
      <c r="BK39" s="455" t="str">
        <f t="shared" si="24"/>
        <v/>
      </c>
      <c r="BL39" s="455" t="str">
        <f t="shared" si="33"/>
        <v/>
      </c>
      <c r="BM39" s="455" t="str">
        <f t="shared" si="25"/>
        <v/>
      </c>
      <c r="BN39" s="455" t="str">
        <f t="shared" si="26"/>
        <v/>
      </c>
      <c r="BO39" s="1461"/>
      <c r="BP39" s="1462"/>
      <c r="BQ39" s="1462"/>
      <c r="BR39" s="1462"/>
      <c r="BS39" s="1462"/>
      <c r="BT39" s="1462"/>
      <c r="BU39" s="1463"/>
    </row>
    <row r="40" spans="2:73" s="337" customFormat="1" ht="8.25" customHeight="1" x14ac:dyDescent="0.2">
      <c r="B40" s="1470" t="s">
        <v>374</v>
      </c>
      <c r="C40" s="1471"/>
      <c r="D40" s="1472"/>
      <c r="E40" s="454" t="s">
        <v>375</v>
      </c>
      <c r="F40" s="1473" t="s">
        <v>376</v>
      </c>
      <c r="G40" s="1474"/>
      <c r="H40" s="1474" t="s">
        <v>377</v>
      </c>
      <c r="I40" s="1474"/>
      <c r="J40" s="1475" t="s">
        <v>378</v>
      </c>
      <c r="K40" s="1476"/>
      <c r="L40" s="405" t="s">
        <v>379</v>
      </c>
      <c r="M40" s="1477" t="s">
        <v>380</v>
      </c>
      <c r="N40" s="1477"/>
      <c r="O40" s="1478" t="str">
        <f>IF(U44,"DO REVIEW","DO REV N/A")</f>
        <v>DO REV N/A</v>
      </c>
      <c r="P40" s="1479"/>
      <c r="Q40" s="406" t="str">
        <f>IF(U45,"ED REVIEW","ED REV N/A")</f>
        <v>ED REVIEW</v>
      </c>
      <c r="R40" s="407"/>
      <c r="S40" s="408">
        <v>0</v>
      </c>
      <c r="AI40" s="409"/>
      <c r="AJ40" s="338"/>
      <c r="AK40" s="338"/>
      <c r="AL40" s="338"/>
      <c r="AM40" s="338"/>
      <c r="AN40" s="338"/>
      <c r="AO40" s="335"/>
      <c r="AP40" s="338"/>
      <c r="AQ40" s="410"/>
      <c r="AR40" s="338"/>
      <c r="AS40" s="410"/>
      <c r="AT40" s="338"/>
      <c r="AU40" s="410"/>
      <c r="AV40" s="411"/>
      <c r="AW40" s="338"/>
      <c r="AX40" s="338"/>
      <c r="AY40" s="338"/>
      <c r="AZ40" s="338"/>
      <c r="BA40" s="338"/>
      <c r="BB40" s="338"/>
      <c r="BC40" s="338"/>
      <c r="BD40" s="338"/>
      <c r="BE40" s="338"/>
      <c r="BF40" s="338"/>
      <c r="BG40" s="338"/>
      <c r="BH40" s="335"/>
      <c r="BI40" s="335"/>
      <c r="BJ40" s="335"/>
      <c r="BK40" s="335"/>
      <c r="BL40" s="335"/>
      <c r="BM40" s="335"/>
      <c r="BN40" s="335"/>
      <c r="BO40" s="1464"/>
      <c r="BP40" s="1465"/>
      <c r="BQ40" s="1465"/>
      <c r="BR40" s="1465"/>
      <c r="BS40" s="1465"/>
      <c r="BT40" s="1465"/>
      <c r="BU40" s="1466"/>
    </row>
    <row r="41" spans="2:73" ht="18.75" customHeight="1" thickBot="1" x14ac:dyDescent="0.25">
      <c r="B41" s="925" t="str">
        <f>IF(ISERROR(AR46),"",TEXT(AR45,"0.0%"))</f>
        <v>0.0%</v>
      </c>
      <c r="C41" s="926"/>
      <c r="D41" s="927"/>
      <c r="E41" s="412" t="str">
        <f>IF(AU41=0,"N/A",CONCATENATE(TEXT(AV45,"0.0%")," of ",TEXT(AV44,"0.0%")))</f>
        <v>N/A</v>
      </c>
      <c r="F41" s="1481" t="str">
        <f>IF((graded_aca_events+graded_amn_events)&lt;1,"---",IF(AND(AW4,AX4),"INCOMPLETE",IF(AND(NOT(AW4),AX4),"ACA INC",IF(AND(AW4,NOT(AX4)),"AMN INC","COMPLETE"))))</f>
        <v>---</v>
      </c>
      <c r="G41" s="1481"/>
      <c r="H41" s="1481" t="str">
        <f>IF(AU4,IF(OR(AY4="UNK",NOT(AN6)),"---",IF(AY4,"UNSAT",IF(AVERAGEIFS(AT8:AT39,AS8:AS39,"&gt;0")&lt;0.9,"MARG","SAT"))),"N/A")</f>
        <v>N/A</v>
      </c>
      <c r="I41" s="1481"/>
      <c r="J41" s="1482" t="str">
        <f>IF(OR(AZ4="UNK",NOT(AM6)),"---",IF(OR(AZ4,AR45&lt;0.7),"FAIL","PASS"))</f>
        <v>---</v>
      </c>
      <c r="K41" s="1483"/>
      <c r="L41" s="413"/>
      <c r="M41" s="1484"/>
      <c r="N41" s="1484"/>
      <c r="O41" s="1485" t="s">
        <v>265</v>
      </c>
      <c r="P41" s="1485"/>
      <c r="Q41" s="1485" t="s">
        <v>265</v>
      </c>
      <c r="R41" s="1486"/>
      <c r="S41" s="414"/>
      <c r="T41" s="344" t="s">
        <v>381</v>
      </c>
      <c r="U41" s="385" t="s">
        <v>382</v>
      </c>
      <c r="V41" s="415"/>
      <c r="W41" s="415"/>
      <c r="X41" s="415"/>
      <c r="Y41" s="415"/>
      <c r="Z41" s="415"/>
      <c r="AA41" s="415"/>
      <c r="AB41" s="415"/>
      <c r="AC41" s="415"/>
      <c r="AD41" s="415"/>
      <c r="AE41" s="415"/>
      <c r="AF41" s="415"/>
      <c r="AG41" s="415"/>
      <c r="AH41" s="415"/>
      <c r="AI41" s="334"/>
      <c r="AJ41" s="333"/>
      <c r="AK41" s="415"/>
      <c r="AL41" s="415"/>
      <c r="AM41" s="415">
        <f>SUM(AM8:AM39)</f>
        <v>0</v>
      </c>
      <c r="AN41" s="415">
        <f>SUM(AN8:AN39)</f>
        <v>0</v>
      </c>
      <c r="AO41" s="344"/>
      <c r="AP41" s="333"/>
      <c r="AQ41" s="416">
        <f>SUMIF(AQ8:AQ39,"&gt;0")</f>
        <v>10</v>
      </c>
      <c r="AR41" s="417">
        <f>IF(AQ41=0,0,SUMPRODUCT($AQ$8:$AQ$39,AR8:AR39)/SUM($AQ$8:$AQ$39))</f>
        <v>0</v>
      </c>
      <c r="AS41" s="418">
        <f>SUMIF(AS8:AS39,"&gt;0")</f>
        <v>0</v>
      </c>
      <c r="AT41" s="417">
        <f>IF(AS41=0,0,SUMPRODUCT($AS$8:$AS$39,AT8:AT39)/SUM($AS$8:$AS$39))</f>
        <v>0</v>
      </c>
      <c r="AU41" s="418">
        <f>SUM(AU9:AU39)</f>
        <v>0</v>
      </c>
      <c r="AV41" s="417">
        <f>IF(AU41=0,0,SUMPRODUCT($AU$8:$AU$39,AV8:AV39)/SUM($AU$8:$AU$39))</f>
        <v>0</v>
      </c>
      <c r="AW41" s="419"/>
      <c r="AX41" s="419"/>
      <c r="AY41" s="419"/>
      <c r="AZ41" s="419"/>
      <c r="BA41" s="419"/>
      <c r="BB41" s="419"/>
      <c r="BC41" s="335" t="s">
        <v>383</v>
      </c>
      <c r="BD41" s="335" t="s">
        <v>384</v>
      </c>
      <c r="BE41" s="335" t="s">
        <v>385</v>
      </c>
      <c r="BO41" s="1464"/>
      <c r="BP41" s="1465"/>
      <c r="BQ41" s="1465"/>
      <c r="BR41" s="1465"/>
      <c r="BS41" s="1465"/>
      <c r="BT41" s="1465"/>
      <c r="BU41" s="1466"/>
    </row>
    <row r="42" spans="2:73" ht="7.5" customHeight="1" thickTop="1" x14ac:dyDescent="0.2">
      <c r="L42" s="1480" t="s">
        <v>627</v>
      </c>
      <c r="M42" s="1480"/>
      <c r="N42" s="1480"/>
      <c r="O42" s="1480"/>
      <c r="P42" s="1480"/>
      <c r="Q42" s="1480"/>
      <c r="R42" s="1480"/>
      <c r="AP42" s="415"/>
      <c r="AQ42" s="333"/>
      <c r="AR42" s="333"/>
      <c r="AT42" s="417"/>
      <c r="AU42" s="417"/>
      <c r="AV42" s="417"/>
      <c r="AW42" s="333"/>
      <c r="AX42" s="417"/>
      <c r="BO42" s="1467"/>
      <c r="BP42" s="1468"/>
      <c r="BQ42" s="1468"/>
      <c r="BR42" s="1468"/>
      <c r="BS42" s="1468"/>
      <c r="BT42" s="1468"/>
      <c r="BU42" s="1469"/>
    </row>
    <row r="43" spans="2:73" ht="30.75" customHeight="1" x14ac:dyDescent="0.2">
      <c r="T43" s="420" t="s">
        <v>386</v>
      </c>
      <c r="U43" s="385" t="b">
        <v>0</v>
      </c>
      <c r="AI43" s="336">
        <f ca="1">SUMIF(AJ8:$AJ$39,"=" &amp; AJ8,AI9:$AI$39)</f>
        <v>0.7</v>
      </c>
      <c r="AO43" s="421"/>
      <c r="AS43" s="362" t="s">
        <v>387</v>
      </c>
      <c r="AT43" s="422">
        <f>SUMIF(X8:X39,"&gt;0")/SUMIF(W8:W39,"&gt;0")</f>
        <v>0</v>
      </c>
      <c r="AU43" s="362" t="s">
        <v>388</v>
      </c>
      <c r="AV43" s="192">
        <f>SUMIF(AU8:AU39,"&gt;0")/SUMIF(AQ8:AQ39,"&gt;0")</f>
        <v>0</v>
      </c>
      <c r="AW43" s="423"/>
      <c r="BE43" s="335" t="b">
        <f>AND(ISBLANK($K30),J30&gt;0)</f>
        <v>0</v>
      </c>
      <c r="BO43" s="335"/>
      <c r="BP43" s="335"/>
      <c r="BQ43" s="244"/>
    </row>
    <row r="44" spans="2:73" ht="30.75" customHeight="1" x14ac:dyDescent="0.2">
      <c r="J44" s="424"/>
      <c r="T44" s="425" t="s">
        <v>389</v>
      </c>
      <c r="U44" s="335" t="b">
        <f>IF(AND(Flight?,OR(AW4,AY4,BA4,AZ4,AR45&lt;0.7,H41="MARG")),TRUE,FALSE)</f>
        <v>0</v>
      </c>
      <c r="AO44" s="426"/>
      <c r="AQ44" s="362" t="s">
        <v>390</v>
      </c>
      <c r="AR44" s="422">
        <f>1-AT44</f>
        <v>1</v>
      </c>
      <c r="AS44" s="362" t="s">
        <v>391</v>
      </c>
      <c r="AT44" s="422">
        <f>MIN(AT43,AT6)</f>
        <v>0</v>
      </c>
      <c r="AU44" s="362" t="s">
        <v>392</v>
      </c>
      <c r="AV44" s="336">
        <f>MIN(AV43,AV6)</f>
        <v>0</v>
      </c>
      <c r="BO44" s="335"/>
      <c r="BP44" s="335"/>
      <c r="BQ44" s="244"/>
    </row>
    <row r="45" spans="2:73" ht="25.5" x14ac:dyDescent="0.2">
      <c r="T45" s="425" t="s">
        <v>393</v>
      </c>
      <c r="U45" s="335" t="b">
        <f>IF(OR(AX4,AY4,AZ4,BB4,AR45&lt;0.7),TRUE,FALSE)</f>
        <v>1</v>
      </c>
      <c r="AO45" s="427"/>
      <c r="AQ45" s="362" t="s">
        <v>394</v>
      </c>
      <c r="AR45" s="336">
        <f>AR41*(1-AT44)+(AT41*AT44)</f>
        <v>0</v>
      </c>
      <c r="AU45" s="335" t="s">
        <v>324</v>
      </c>
      <c r="AV45" s="336">
        <f>AV41*AV44</f>
        <v>0</v>
      </c>
      <c r="BO45" s="335"/>
      <c r="BP45" s="335"/>
      <c r="BQ45" s="244"/>
    </row>
    <row r="46" spans="2:73" ht="25.5" x14ac:dyDescent="0.2">
      <c r="T46" s="425" t="s">
        <v>395</v>
      </c>
      <c r="U46" s="335" t="b">
        <v>0</v>
      </c>
      <c r="AO46" s="427"/>
      <c r="AQ46" s="362" t="s">
        <v>396</v>
      </c>
      <c r="AR46" s="336">
        <f>MIN(1,IF(NOT(OR(AY4,AZ4)),AR45+AV45,MIN(0.69,AR45+AV45)))</f>
        <v>0</v>
      </c>
      <c r="BO46" s="335"/>
      <c r="BP46" s="335"/>
      <c r="BQ46" s="244"/>
    </row>
    <row r="47" spans="2:73" x14ac:dyDescent="0.2">
      <c r="T47" s="425" t="s">
        <v>397</v>
      </c>
      <c r="U47" s="335" t="b">
        <f>IF(NOT(Flight?),TRUE,NOT(OR(ISBLANK(comments),ISBLANK(hdr_class),ISBLANK(date),ISBLANK(hdr_stud),ISBLANK(instructor),ISBLANK(hdr_acft),ISBLANK(hdr_time),F41="---")))</f>
        <v>1</v>
      </c>
      <c r="AO47" s="427"/>
      <c r="AR47" s="362"/>
      <c r="AS47" s="336"/>
    </row>
    <row r="48" spans="2:73" x14ac:dyDescent="0.2">
      <c r="T48" s="425" t="s">
        <v>398</v>
      </c>
      <c r="U48" s="335" t="b">
        <f>IF(Flight?,TRUE,NOT(OR(ISBLANK(comments),ISBLANK(hdr_class),ISBLANK(date),ISBLANK(hdr_stud),ISBLANK(instructor),F41="---")))</f>
        <v>0</v>
      </c>
      <c r="AO48" s="426"/>
      <c r="AP48" s="333" t="s">
        <v>399</v>
      </c>
      <c r="AQ48" s="333"/>
      <c r="AR48" s="333"/>
      <c r="AS48" s="333"/>
      <c r="AT48" s="333"/>
    </row>
    <row r="49" spans="20:56" x14ac:dyDescent="0.2">
      <c r="T49" s="425" t="s">
        <v>400</v>
      </c>
      <c r="U49" s="335" t="b">
        <f>AND(U47:U48)</f>
        <v>0</v>
      </c>
      <c r="AO49" s="426"/>
      <c r="AP49" s="333"/>
      <c r="AQ49" s="333"/>
      <c r="AR49" s="333">
        <v>0</v>
      </c>
      <c r="AS49" s="333">
        <v>1</v>
      </c>
      <c r="AT49" s="333">
        <v>2</v>
      </c>
      <c r="AU49" s="333">
        <v>3</v>
      </c>
      <c r="AV49" s="333">
        <v>4</v>
      </c>
    </row>
    <row r="50" spans="20:56" x14ac:dyDescent="0.2">
      <c r="AO50" s="426"/>
      <c r="AP50" s="333" t="s">
        <v>359</v>
      </c>
      <c r="AQ50" s="333">
        <v>1</v>
      </c>
      <c r="AR50" s="428">
        <v>0.7</v>
      </c>
      <c r="AS50" s="428">
        <v>0.9</v>
      </c>
      <c r="AT50" s="428">
        <v>0.93330000000000002</v>
      </c>
      <c r="AU50" s="428">
        <v>0.9667</v>
      </c>
      <c r="AV50" s="428">
        <v>1</v>
      </c>
    </row>
    <row r="51" spans="20:56" x14ac:dyDescent="0.2">
      <c r="AO51" s="426"/>
      <c r="AP51" s="333" t="s">
        <v>360</v>
      </c>
      <c r="AQ51" s="333">
        <v>2</v>
      </c>
      <c r="AR51" s="428">
        <v>0.7</v>
      </c>
      <c r="AS51" s="428">
        <v>0.8</v>
      </c>
      <c r="AT51" s="428">
        <v>0.9</v>
      </c>
      <c r="AU51" s="428">
        <v>0.95</v>
      </c>
      <c r="AV51" s="428">
        <v>1</v>
      </c>
    </row>
    <row r="52" spans="20:56" x14ac:dyDescent="0.2">
      <c r="AO52" s="426"/>
      <c r="AP52" s="333" t="s">
        <v>361</v>
      </c>
      <c r="AQ52" s="333">
        <v>3</v>
      </c>
      <c r="AR52" s="428">
        <v>0.7</v>
      </c>
      <c r="AS52" s="428">
        <v>0.76670000000000005</v>
      </c>
      <c r="AT52" s="428">
        <v>0.83330000000000004</v>
      </c>
      <c r="AU52" s="428">
        <v>0.9</v>
      </c>
      <c r="AV52" s="428">
        <v>1</v>
      </c>
    </row>
    <row r="53" spans="20:56" x14ac:dyDescent="0.2">
      <c r="AP53" s="429" t="s">
        <v>362</v>
      </c>
      <c r="AQ53" s="333">
        <v>11</v>
      </c>
      <c r="AR53" s="428">
        <v>0.6</v>
      </c>
      <c r="AS53" s="428">
        <v>0.9</v>
      </c>
      <c r="AT53" s="428">
        <v>0.93330000000000002</v>
      </c>
      <c r="AU53" s="428">
        <v>0.9667</v>
      </c>
      <c r="AV53" s="428">
        <v>1</v>
      </c>
    </row>
    <row r="54" spans="20:56" x14ac:dyDescent="0.2">
      <c r="AP54" s="429" t="s">
        <v>363</v>
      </c>
      <c r="AQ54" s="333">
        <v>12</v>
      </c>
      <c r="AR54" s="428">
        <v>0.6</v>
      </c>
      <c r="AS54" s="428">
        <v>0.7</v>
      </c>
      <c r="AT54" s="428">
        <v>0.9</v>
      </c>
      <c r="AU54" s="428">
        <v>0.95</v>
      </c>
      <c r="AV54" s="428">
        <v>1</v>
      </c>
    </row>
    <row r="55" spans="20:56" x14ac:dyDescent="0.2">
      <c r="AP55" s="429" t="s">
        <v>364</v>
      </c>
      <c r="AQ55" s="333">
        <v>13</v>
      </c>
      <c r="AR55" s="428">
        <v>0.6</v>
      </c>
      <c r="AS55" s="428">
        <v>0.7</v>
      </c>
      <c r="AT55" s="428">
        <v>0.8</v>
      </c>
      <c r="AU55" s="428">
        <v>0.9</v>
      </c>
      <c r="AV55" s="428">
        <v>1</v>
      </c>
    </row>
    <row r="56" spans="20:56" x14ac:dyDescent="0.2">
      <c r="AP56" s="429" t="s">
        <v>365</v>
      </c>
      <c r="AQ56" s="333">
        <v>22</v>
      </c>
      <c r="AR56" s="428">
        <v>0.3</v>
      </c>
      <c r="AS56" s="428">
        <v>0.6</v>
      </c>
      <c r="AT56" s="428">
        <v>0.9</v>
      </c>
      <c r="AU56" s="428">
        <v>0.95</v>
      </c>
      <c r="AV56" s="428">
        <v>1</v>
      </c>
    </row>
    <row r="57" spans="20:56" x14ac:dyDescent="0.2">
      <c r="AP57" s="429" t="s">
        <v>366</v>
      </c>
      <c r="AQ57" s="333">
        <v>23</v>
      </c>
      <c r="AR57" s="428">
        <v>0.3</v>
      </c>
      <c r="AS57" s="428">
        <v>0.6</v>
      </c>
      <c r="AT57" s="428">
        <v>0.7</v>
      </c>
      <c r="AU57" s="428">
        <v>0.9</v>
      </c>
      <c r="AV57" s="428">
        <v>1</v>
      </c>
    </row>
    <row r="58" spans="20:56" x14ac:dyDescent="0.2">
      <c r="AP58" s="429" t="s">
        <v>367</v>
      </c>
      <c r="AQ58" s="333">
        <v>33</v>
      </c>
      <c r="AR58" s="428">
        <v>0</v>
      </c>
      <c r="AS58" s="428">
        <v>0.3</v>
      </c>
      <c r="AT58" s="428">
        <v>0.6</v>
      </c>
      <c r="AU58" s="428">
        <v>0.9</v>
      </c>
      <c r="AV58" s="428">
        <v>1</v>
      </c>
      <c r="AW58" s="85"/>
      <c r="AX58" s="88"/>
      <c r="BC58" s="88"/>
      <c r="BD58" s="88"/>
    </row>
    <row r="59" spans="20:56" x14ac:dyDescent="0.2">
      <c r="AW59" s="88"/>
      <c r="AX59" s="88"/>
      <c r="BC59" s="88"/>
      <c r="BD59" s="88"/>
    </row>
    <row r="60" spans="20:56" x14ac:dyDescent="0.2">
      <c r="AP60" s="88"/>
      <c r="AQ60" s="85"/>
      <c r="AR60" s="88"/>
      <c r="AS60" s="88"/>
      <c r="AT60" s="88"/>
      <c r="AU60" s="88"/>
      <c r="AV60" s="88"/>
      <c r="AW60" s="85"/>
      <c r="AX60" s="85"/>
      <c r="BC60" s="88"/>
      <c r="BD60" s="88"/>
    </row>
    <row r="61" spans="20:56" x14ac:dyDescent="0.2">
      <c r="AP61" s="200"/>
      <c r="AQ61" s="85"/>
      <c r="AR61" s="88"/>
      <c r="AS61" s="88"/>
      <c r="AT61" s="88"/>
      <c r="AU61" s="88"/>
      <c r="AV61" s="88"/>
      <c r="AW61" s="85"/>
      <c r="AX61" s="85"/>
      <c r="BC61" s="88"/>
      <c r="BD61" s="88"/>
    </row>
    <row r="62" spans="20:56" x14ac:dyDescent="0.2">
      <c r="AP62" s="85"/>
      <c r="AQ62" s="85"/>
      <c r="AR62" s="88"/>
      <c r="AS62" s="88"/>
      <c r="AT62" s="88"/>
      <c r="AU62" s="88"/>
      <c r="AV62" s="88"/>
      <c r="AW62" s="85"/>
      <c r="AX62" s="85"/>
      <c r="BC62" s="88"/>
      <c r="BD62" s="88"/>
    </row>
    <row r="63" spans="20:56" x14ac:dyDescent="0.2">
      <c r="AP63" s="85"/>
      <c r="AQ63" s="85"/>
      <c r="AR63" s="88"/>
      <c r="AS63" s="88"/>
      <c r="AT63" s="88"/>
      <c r="AU63" s="88"/>
      <c r="AV63" s="88"/>
      <c r="AW63" s="85"/>
      <c r="AX63" s="88"/>
      <c r="BC63" s="88"/>
      <c r="BD63" s="88"/>
    </row>
    <row r="64" spans="20:56" x14ac:dyDescent="0.2">
      <c r="AP64" s="85"/>
      <c r="AQ64" s="85"/>
      <c r="AR64" s="88"/>
      <c r="AS64" s="88"/>
      <c r="AT64" s="88"/>
      <c r="AU64" s="88"/>
      <c r="AV64" s="88"/>
      <c r="AW64" s="85"/>
      <c r="AX64" s="88"/>
      <c r="BC64" s="88"/>
      <c r="BD64" s="88"/>
    </row>
    <row r="65" spans="42:48" x14ac:dyDescent="0.2">
      <c r="AP65" s="85"/>
      <c r="AQ65" s="85"/>
      <c r="AR65" s="88"/>
      <c r="AS65" s="88"/>
      <c r="AT65" s="88"/>
      <c r="AU65" s="88"/>
      <c r="AV65" s="88"/>
    </row>
    <row r="66" spans="42:48" x14ac:dyDescent="0.2">
      <c r="AP66" s="85"/>
      <c r="AQ66" s="85"/>
      <c r="AR66" s="88"/>
      <c r="AS66" s="88"/>
      <c r="AT66" s="88"/>
      <c r="AU66" s="88"/>
      <c r="AV66" s="88"/>
    </row>
  </sheetData>
  <sheetProtection algorithmName="SHA-512" hashValue="LtOGqnsat7PKD29H2xcj20QmFhmyiS4cA7Qn8skRc++dIGR23b1o3fG/LnXQq3vhSc/ha7SiNZZAXz3ziaFQKA==" saltValue="IgzUyRKCG0aPC8ZpS4tWuQ==" spinCount="100000" sheet="1" selectLockedCells="1"/>
  <mergeCells count="76">
    <mergeCell ref="C39:F39"/>
    <mergeCell ref="BO39:BU42"/>
    <mergeCell ref="B40:D40"/>
    <mergeCell ref="F40:G40"/>
    <mergeCell ref="H40:I40"/>
    <mergeCell ref="J40:K40"/>
    <mergeCell ref="M40:N40"/>
    <mergeCell ref="O40:P40"/>
    <mergeCell ref="B41:D41"/>
    <mergeCell ref="L42:R42"/>
    <mergeCell ref="F41:G41"/>
    <mergeCell ref="H41:I41"/>
    <mergeCell ref="J41:K41"/>
    <mergeCell ref="M41:N41"/>
    <mergeCell ref="O41:P41"/>
    <mergeCell ref="Q41:R41"/>
    <mergeCell ref="C33:F33"/>
    <mergeCell ref="C34:F34"/>
    <mergeCell ref="BO34:BU37"/>
    <mergeCell ref="C35:F35"/>
    <mergeCell ref="C36:F36"/>
    <mergeCell ref="C37:F37"/>
    <mergeCell ref="C28:F28"/>
    <mergeCell ref="C29:F29"/>
    <mergeCell ref="C8:F8"/>
    <mergeCell ref="BP3:BU4"/>
    <mergeCell ref="BQ19:BU19"/>
    <mergeCell ref="C20:F20"/>
    <mergeCell ref="C21:F21"/>
    <mergeCell ref="BO21:BO29"/>
    <mergeCell ref="C22:F22"/>
    <mergeCell ref="C23:F23"/>
    <mergeCell ref="C24:F24"/>
    <mergeCell ref="C25:F25"/>
    <mergeCell ref="L8:R39"/>
    <mergeCell ref="C9:F9"/>
    <mergeCell ref="C10:F10"/>
    <mergeCell ref="C32:F32"/>
    <mergeCell ref="C31:F31"/>
    <mergeCell ref="C38:F38"/>
    <mergeCell ref="C26:F26"/>
    <mergeCell ref="B7:F7"/>
    <mergeCell ref="L7:R7"/>
    <mergeCell ref="C16:F16"/>
    <mergeCell ref="C30:F30"/>
    <mergeCell ref="C17:F17"/>
    <mergeCell ref="C18:F18"/>
    <mergeCell ref="C19:F19"/>
    <mergeCell ref="C11:F11"/>
    <mergeCell ref="C12:F12"/>
    <mergeCell ref="C13:F13"/>
    <mergeCell ref="C14:F14"/>
    <mergeCell ref="C15:F15"/>
    <mergeCell ref="C27:F27"/>
    <mergeCell ref="BH4:BK6"/>
    <mergeCell ref="BL4:BN6"/>
    <mergeCell ref="B5:E5"/>
    <mergeCell ref="F5:G5"/>
    <mergeCell ref="H5:L5"/>
    <mergeCell ref="M5:N5"/>
    <mergeCell ref="O5:P5"/>
    <mergeCell ref="Q5:R5"/>
    <mergeCell ref="B6:E6"/>
    <mergeCell ref="F6:G6"/>
    <mergeCell ref="H6:L6"/>
    <mergeCell ref="M6:N6"/>
    <mergeCell ref="O6:P6"/>
    <mergeCell ref="Q6:R6"/>
    <mergeCell ref="B3:G3"/>
    <mergeCell ref="H3:N3"/>
    <mergeCell ref="O3:P3"/>
    <mergeCell ref="Q3:R3"/>
    <mergeCell ref="B4:G4"/>
    <mergeCell ref="H4:N4"/>
    <mergeCell ref="O4:P4"/>
    <mergeCell ref="Q4:R4"/>
  </mergeCells>
  <conditionalFormatting sqref="B8:F39">
    <cfRule type="expression" dxfId="13" priority="8" stopIfTrue="1">
      <formula>IF($Z8=1,TRUE,FALSE)</formula>
    </cfRule>
    <cfRule type="expression" dxfId="12" priority="9">
      <formula>IF($Z8=2,TRUE,FALSE)</formula>
    </cfRule>
  </conditionalFormatting>
  <conditionalFormatting sqref="C8:F39">
    <cfRule type="expression" dxfId="11" priority="1" stopIfTrue="1">
      <formula>IF($AF8=FALSE,TRUE,FALSE)</formula>
    </cfRule>
  </conditionalFormatting>
  <conditionalFormatting sqref="F5:G6 M5:P6">
    <cfRule type="expression" dxfId="10" priority="4" stopIfTrue="1">
      <formula>NOT($AU$4)</formula>
    </cfRule>
  </conditionalFormatting>
  <conditionalFormatting sqref="F6:G6">
    <cfRule type="cellIs" dxfId="9" priority="3" operator="equal">
      <formula>""</formula>
    </cfRule>
  </conditionalFormatting>
  <conditionalFormatting sqref="G8:K39">
    <cfRule type="expression" dxfId="8" priority="6" stopIfTrue="1">
      <formula>IF($Z8=1,TRUE,FALSE)</formula>
    </cfRule>
    <cfRule type="expression" dxfId="7" priority="7" stopIfTrue="1">
      <formula>IF($Z8=2,TRUE,FALSE)</formula>
    </cfRule>
  </conditionalFormatting>
  <conditionalFormatting sqref="H8:H39">
    <cfRule type="expression" dxfId="6" priority="10" stopIfTrue="1">
      <formula>IF($AB8=0,TRUE,FALSE)</formula>
    </cfRule>
  </conditionalFormatting>
  <conditionalFormatting sqref="H40:I41">
    <cfRule type="expression" dxfId="5" priority="2" stopIfTrue="1">
      <formula>IF($H$41="N/A",TRUE,FALSE)</formula>
    </cfRule>
  </conditionalFormatting>
  <conditionalFormatting sqref="H6:P6 O4:R4 B6 L8 L41 O41:R41 BO34 BO39">
    <cfRule type="containsBlanks" dxfId="4" priority="5">
      <formula>LEN(TRIM(B4))=0</formula>
    </cfRule>
  </conditionalFormatting>
  <conditionalFormatting sqref="J8:J39">
    <cfRule type="expression" dxfId="3" priority="14">
      <formula>IF($Z8=1,FALSE,OR($BE8,$BD8))</formula>
    </cfRule>
  </conditionalFormatting>
  <conditionalFormatting sqref="J8:K39 C8:F39">
    <cfRule type="expression" dxfId="2" priority="13">
      <formula>IF($Z8=1,FALSE,OR($AW8,$AX8,$AY8,$AZ8))</formula>
    </cfRule>
  </conditionalFormatting>
  <conditionalFormatting sqref="J8:K39">
    <cfRule type="expression" dxfId="1" priority="11" stopIfTrue="1">
      <formula>IF(ISNA($Z8),TRUE,FALSE)</formula>
    </cfRule>
  </conditionalFormatting>
  <conditionalFormatting sqref="K8:K39">
    <cfRule type="expression" dxfId="0" priority="12">
      <formula>IF(OR($Z8=1,$Z8=2),FALSE,OR($BC8,$BE8,$BF8))</formula>
    </cfRule>
  </conditionalFormatting>
  <dataValidations count="6">
    <dataValidation type="list" allowBlank="1" showInputMessage="1" showErrorMessage="1" sqref="F6:G6" xr:uid="{1FFEDE8D-F62C-420B-B824-6A5248AF0DAB}">
      <formula1>"No,Yes"</formula1>
    </dataValidation>
    <dataValidation type="list" allowBlank="1" showInputMessage="1" showErrorMessage="1" sqref="J8:J39" xr:uid="{578AF15A-16DD-4179-BF4E-42385258CF50}">
      <formula1>"NA,0,1,2,3,4,5,6,7,8,9,10,11,12,13,14,15"</formula1>
    </dataValidation>
    <dataValidation type="list" allowBlank="1" showInputMessage="1" showErrorMessage="1" sqref="K8:K39" xr:uid="{982F8EEB-7FC8-4BAC-97FA-E62D81E35DE8}">
      <formula1>"D,0,1,2,3,4"</formula1>
    </dataValidation>
    <dataValidation showInputMessage="1" showErrorMessage="1" sqref="O41:R41" xr:uid="{C847B7D1-54DA-4F43-A8CB-6CA12BFBC5B9}"/>
    <dataValidation type="decimal" allowBlank="1" showInputMessage="1" showErrorMessage="1" sqref="O6:P6" xr:uid="{B1BF7B8C-75A9-46CB-B5B4-03520AA75FDC}">
      <formula1>0</formula1>
      <formula2>10</formula2>
    </dataValidation>
    <dataValidation type="date" allowBlank="1" showInputMessage="1" showErrorMessage="1" sqref="Q4:R4" xr:uid="{F56F6365-078B-4F72-A2DC-68A9A51C90F7}">
      <formula1>41151</formula1>
      <formula2>77433</formula2>
    </dataValidation>
  </dataValidations>
  <hyperlinks>
    <hyperlink ref="BP3" location="PF!A1" display="PF phase Summary Page" xr:uid="{FE5E1FBC-0283-47BB-ABF3-5C35321EB739}"/>
    <hyperlink ref="BP3:BU4" location="TF!A1" display="TF Summary Page" xr:uid="{7464B8FF-AACC-4252-8890-E1AF74F8FBC0}"/>
  </hyperlinks>
  <pageMargins left="0.5" right="0.5" top="0.75" bottom="0.5" header="0.5" footer="0.5"/>
  <pageSetup orientation="landscape" verticalDpi="599"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7762" r:id="rId4" name="IP_Signature">
              <controlPr defaultSize="0" print="0" autoFill="0" autoPict="0" macro="[0]!IP_signature">
                <anchor moveWithCells="1" sizeWithCells="1">
                  <from>
                    <xdr:col>11</xdr:col>
                    <xdr:colOff>0</xdr:colOff>
                    <xdr:row>40</xdr:row>
                    <xdr:rowOff>0</xdr:rowOff>
                  </from>
                  <to>
                    <xdr:col>12</xdr:col>
                    <xdr:colOff>0</xdr:colOff>
                    <xdr:row>41</xdr:row>
                    <xdr:rowOff>0</xdr:rowOff>
                  </to>
                </anchor>
              </controlPr>
            </control>
          </mc:Choice>
        </mc:AlternateContent>
        <mc:AlternateContent xmlns:mc="http://schemas.openxmlformats.org/markup-compatibility/2006">
          <mc:Choice Requires="x14">
            <control shapeId="117763" r:id="rId5" name="CCG_Click">
              <controlPr defaultSize="0" print="0" autoFill="0" autoPict="0" macro="[0]!CCG_Click">
                <anchor moveWithCells="1" sizeWithCells="1">
                  <from>
                    <xdr:col>4</xdr:col>
                    <xdr:colOff>0</xdr:colOff>
                    <xdr:row>42</xdr:row>
                    <xdr:rowOff>38100</xdr:rowOff>
                  </from>
                  <to>
                    <xdr:col>6</xdr:col>
                    <xdr:colOff>123825</xdr:colOff>
                    <xdr:row>42</xdr:row>
                    <xdr:rowOff>285750</xdr:rowOff>
                  </to>
                </anchor>
              </controlPr>
            </control>
          </mc:Choice>
        </mc:AlternateContent>
        <mc:AlternateContent xmlns:mc="http://schemas.openxmlformats.org/markup-compatibility/2006">
          <mc:Choice Requires="x14">
            <control shapeId="117764" r:id="rId6" name="MCG_Click">
              <controlPr defaultSize="0" print="0" autoFill="0" autoPict="0" macro="[0]!MCG_Click">
                <anchor moveWithCells="1" sizeWithCells="1">
                  <from>
                    <xdr:col>6</xdr:col>
                    <xdr:colOff>190500</xdr:colOff>
                    <xdr:row>42</xdr:row>
                    <xdr:rowOff>38100</xdr:rowOff>
                  </from>
                  <to>
                    <xdr:col>11</xdr:col>
                    <xdr:colOff>66675</xdr:colOff>
                    <xdr:row>42</xdr:row>
                    <xdr:rowOff>285750</xdr:rowOff>
                  </to>
                </anchor>
              </controlPr>
            </control>
          </mc:Choice>
        </mc:AlternateContent>
        <mc:AlternateContent xmlns:mc="http://schemas.openxmlformats.org/markup-compatibility/2006">
          <mc:Choice Requires="x14">
            <control shapeId="117765" r:id="rId7" name="DCG_Click">
              <controlPr defaultSize="0" print="0" autoFill="0" autoPict="0" macro="[0]!DCG_Click">
                <anchor moveWithCells="1" sizeWithCells="1">
                  <from>
                    <xdr:col>11</xdr:col>
                    <xdr:colOff>123825</xdr:colOff>
                    <xdr:row>42</xdr:row>
                    <xdr:rowOff>38100</xdr:rowOff>
                  </from>
                  <to>
                    <xdr:col>12</xdr:col>
                    <xdr:colOff>276225</xdr:colOff>
                    <xdr:row>42</xdr:row>
                    <xdr:rowOff>285750</xdr:rowOff>
                  </to>
                </anchor>
              </controlPr>
            </control>
          </mc:Choice>
        </mc:AlternateContent>
        <mc:AlternateContent xmlns:mc="http://schemas.openxmlformats.org/markup-compatibility/2006">
          <mc:Choice Requires="x14">
            <control shapeId="117766" r:id="rId8" name="PMC_Click">
              <controlPr defaultSize="0" print="0" autoFill="0" autoPict="0" macro="[0]!PMC_Click">
                <anchor moveWithCells="1" sizeWithCells="1">
                  <from>
                    <xdr:col>12</xdr:col>
                    <xdr:colOff>342900</xdr:colOff>
                    <xdr:row>42</xdr:row>
                    <xdr:rowOff>38100</xdr:rowOff>
                  </from>
                  <to>
                    <xdr:col>17</xdr:col>
                    <xdr:colOff>257175</xdr:colOff>
                    <xdr:row>42</xdr:row>
                    <xdr:rowOff>285750</xdr:rowOff>
                  </to>
                </anchor>
              </controlPr>
            </control>
          </mc:Choice>
        </mc:AlternateContent>
      </controls>
    </mc:Choice>
  </mc:AlternateContent>
</worksheet>
</file>

<file path=docMetadata/LabelInfo.xml><?xml version="1.0" encoding="utf-8"?>
<clbl:labelList xmlns:clbl="http://schemas.microsoft.com/office/2020/mipLabelMetadata">
  <clbl:label id="{37adc8ff-f4a3-4a14-9c0d-84b4985de0d2}" enabled="1" method="Privileged" siteId="{8331b18d-2d87-48ef-a35f-ac8818ebf9b4}"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46</vt:i4>
      </vt:variant>
      <vt:variant>
        <vt:lpstr>Named Ranges</vt:lpstr>
      </vt:variant>
      <vt:variant>
        <vt:i4>1315</vt:i4>
      </vt:variant>
    </vt:vector>
  </HeadingPairs>
  <TitlesOfParts>
    <vt:vector size="1361" baseType="lpstr">
      <vt:lpstr>Review</vt:lpstr>
      <vt:lpstr>Alibis</vt:lpstr>
      <vt:lpstr>Probations</vt:lpstr>
      <vt:lpstr>Restrictions</vt:lpstr>
      <vt:lpstr>Color list</vt:lpstr>
      <vt:lpstr>Updater</vt:lpstr>
      <vt:lpstr>Link to Class Gradebook</vt:lpstr>
      <vt:lpstr>PF</vt:lpstr>
      <vt:lpstr>FQ</vt:lpstr>
      <vt:lpstr>SY</vt:lpstr>
      <vt:lpstr>TF</vt:lpstr>
      <vt:lpstr>PF 6121F</vt:lpstr>
      <vt:lpstr>PF 6221F</vt:lpstr>
      <vt:lpstr>PF 6241R</vt:lpstr>
      <vt:lpstr>PF 7112F</vt:lpstr>
      <vt:lpstr>PF 7121R</vt:lpstr>
      <vt:lpstr>PF 8222F</vt:lpstr>
      <vt:lpstr>PF 8231F</vt:lpstr>
      <vt:lpstr>PF 8332F</vt:lpstr>
      <vt:lpstr>PF 8340R</vt:lpstr>
      <vt:lpstr>PF 8351Y</vt:lpstr>
      <vt:lpstr>FQ 6241F</vt:lpstr>
      <vt:lpstr>FQ 6251F</vt:lpstr>
      <vt:lpstr>FQ 6321R</vt:lpstr>
      <vt:lpstr>FQ 7232F</vt:lpstr>
      <vt:lpstr>FQ 8121F</vt:lpstr>
      <vt:lpstr>FQ 8141F</vt:lpstr>
      <vt:lpstr>FQ 8210Y</vt:lpstr>
      <vt:lpstr>FQ 9111F</vt:lpstr>
      <vt:lpstr>FQ 9211F</vt:lpstr>
      <vt:lpstr>FQ 9221F</vt:lpstr>
      <vt:lpstr>FQ 9246F</vt:lpstr>
      <vt:lpstr>FQ 9248Y</vt:lpstr>
      <vt:lpstr>FQ 9511F</vt:lpstr>
      <vt:lpstr>SY 6131F</vt:lpstr>
      <vt:lpstr>SY 6132R</vt:lpstr>
      <vt:lpstr>SY 7212F</vt:lpstr>
      <vt:lpstr>SY 7511F</vt:lpstr>
      <vt:lpstr>TF 6241F</vt:lpstr>
      <vt:lpstr>TF 6251F</vt:lpstr>
      <vt:lpstr>TF 6402R</vt:lpstr>
      <vt:lpstr>TF 6403R</vt:lpstr>
      <vt:lpstr>TF 7113R</vt:lpstr>
      <vt:lpstr>TF 7123R</vt:lpstr>
      <vt:lpstr>TF 7133R</vt:lpstr>
      <vt:lpstr>TF 7502R</vt:lpstr>
      <vt:lpstr>'FQ 6241F'!c_no_grade</vt:lpstr>
      <vt:lpstr>'FQ 6251F'!c_no_grade</vt:lpstr>
      <vt:lpstr>'FQ 7232F'!c_no_grade</vt:lpstr>
      <vt:lpstr>'FQ 8121F'!c_no_grade</vt:lpstr>
      <vt:lpstr>'FQ 8141F'!c_no_grade</vt:lpstr>
      <vt:lpstr>'FQ 9111F'!c_no_grade</vt:lpstr>
      <vt:lpstr>'FQ 9211F'!c_no_grade</vt:lpstr>
      <vt:lpstr>'FQ 9221F'!c_no_grade</vt:lpstr>
      <vt:lpstr>'FQ 9246F'!c_no_grade</vt:lpstr>
      <vt:lpstr>'FQ 9511F'!c_no_grade</vt:lpstr>
      <vt:lpstr>'PF 6121F'!c_no_grade</vt:lpstr>
      <vt:lpstr>'PF 6221F'!c_no_grade</vt:lpstr>
      <vt:lpstr>'PF 7112F'!c_no_grade</vt:lpstr>
      <vt:lpstr>'PF 8222F'!c_no_grade</vt:lpstr>
      <vt:lpstr>'PF 8231F'!c_no_grade</vt:lpstr>
      <vt:lpstr>'PF 8332F'!c_no_grade</vt:lpstr>
      <vt:lpstr>'PF 8340R'!c_no_grade</vt:lpstr>
      <vt:lpstr>'SY 6131F'!c_no_grade</vt:lpstr>
      <vt:lpstr>'SY 6132R'!c_no_grade</vt:lpstr>
      <vt:lpstr>'SY 7212F'!c_no_grade</vt:lpstr>
      <vt:lpstr>'SY 7511F'!c_no_grade</vt:lpstr>
      <vt:lpstr>'TF 6241F'!c_no_grade</vt:lpstr>
      <vt:lpstr>'TF 6251F'!c_no_grade</vt:lpstr>
      <vt:lpstr>'TF 6402R'!c_no_grade</vt:lpstr>
      <vt:lpstr>'TF 6403R'!c_no_grade</vt:lpstr>
      <vt:lpstr>'TF 7113R'!c_no_grade</vt:lpstr>
      <vt:lpstr>'TF 7123R'!c_no_grade</vt:lpstr>
      <vt:lpstr>'TF 7133R'!c_no_grade</vt:lpstr>
      <vt:lpstr>'TF 7502R'!c_no_grade</vt:lpstr>
      <vt:lpstr>'FQ 6241F'!CandS</vt:lpstr>
      <vt:lpstr>'FQ 6251F'!CandS</vt:lpstr>
      <vt:lpstr>'FQ 7232F'!CandS</vt:lpstr>
      <vt:lpstr>'FQ 8121F'!CandS</vt:lpstr>
      <vt:lpstr>'FQ 8141F'!CandS</vt:lpstr>
      <vt:lpstr>'FQ 9111F'!CandS</vt:lpstr>
      <vt:lpstr>'FQ 9211F'!CandS</vt:lpstr>
      <vt:lpstr>'FQ 9221F'!CandS</vt:lpstr>
      <vt:lpstr>'FQ 9246F'!CandS</vt:lpstr>
      <vt:lpstr>'FQ 9511F'!CandS</vt:lpstr>
      <vt:lpstr>'PF 6121F'!CandS</vt:lpstr>
      <vt:lpstr>'PF 6221F'!CandS</vt:lpstr>
      <vt:lpstr>'PF 7112F'!CandS</vt:lpstr>
      <vt:lpstr>'PF 8222F'!CandS</vt:lpstr>
      <vt:lpstr>'PF 8231F'!CandS</vt:lpstr>
      <vt:lpstr>'PF 8332F'!CandS</vt:lpstr>
      <vt:lpstr>'PF 8340R'!CandS</vt:lpstr>
      <vt:lpstr>'SY 6131F'!CandS</vt:lpstr>
      <vt:lpstr>'SY 6132R'!CandS</vt:lpstr>
      <vt:lpstr>'SY 7212F'!CandS</vt:lpstr>
      <vt:lpstr>'SY 7511F'!CandS</vt:lpstr>
      <vt:lpstr>'TF 6241F'!CandS</vt:lpstr>
      <vt:lpstr>'TF 6251F'!CandS</vt:lpstr>
      <vt:lpstr>'TF 6402R'!CandS</vt:lpstr>
      <vt:lpstr>'TF 6403R'!CandS</vt:lpstr>
      <vt:lpstr>'TF 7113R'!CandS</vt:lpstr>
      <vt:lpstr>'TF 7123R'!CandS</vt:lpstr>
      <vt:lpstr>'TF 7133R'!CandS</vt:lpstr>
      <vt:lpstr>'TF 7502R'!CandS</vt:lpstr>
      <vt:lpstr>'FQ 6241F'!comment_mand</vt:lpstr>
      <vt:lpstr>'FQ 6251F'!comment_mand</vt:lpstr>
      <vt:lpstr>'FQ 7232F'!comment_mand</vt:lpstr>
      <vt:lpstr>'FQ 8121F'!comment_mand</vt:lpstr>
      <vt:lpstr>'FQ 8141F'!comment_mand</vt:lpstr>
      <vt:lpstr>'FQ 9111F'!comment_mand</vt:lpstr>
      <vt:lpstr>'FQ 9211F'!comment_mand</vt:lpstr>
      <vt:lpstr>'FQ 9221F'!comment_mand</vt:lpstr>
      <vt:lpstr>'FQ 9246F'!comment_mand</vt:lpstr>
      <vt:lpstr>'FQ 9511F'!comment_mand</vt:lpstr>
      <vt:lpstr>'PF 6121F'!comment_mand</vt:lpstr>
      <vt:lpstr>'PF 6221F'!comment_mand</vt:lpstr>
      <vt:lpstr>'PF 7112F'!comment_mand</vt:lpstr>
      <vt:lpstr>'PF 8222F'!comment_mand</vt:lpstr>
      <vt:lpstr>'PF 8231F'!comment_mand</vt:lpstr>
      <vt:lpstr>'PF 8332F'!comment_mand</vt:lpstr>
      <vt:lpstr>'PF 8340R'!comment_mand</vt:lpstr>
      <vt:lpstr>'SY 6131F'!comment_mand</vt:lpstr>
      <vt:lpstr>'SY 6132R'!comment_mand</vt:lpstr>
      <vt:lpstr>'SY 7212F'!comment_mand</vt:lpstr>
      <vt:lpstr>'SY 7511F'!comment_mand</vt:lpstr>
      <vt:lpstr>'TF 6241F'!comment_mand</vt:lpstr>
      <vt:lpstr>'TF 6251F'!comment_mand</vt:lpstr>
      <vt:lpstr>'TF 6402R'!comment_mand</vt:lpstr>
      <vt:lpstr>'TF 6403R'!comment_mand</vt:lpstr>
      <vt:lpstr>'TF 7113R'!comment_mand</vt:lpstr>
      <vt:lpstr>'TF 7123R'!comment_mand</vt:lpstr>
      <vt:lpstr>'TF 7133R'!comment_mand</vt:lpstr>
      <vt:lpstr>'TF 7502R'!comment_mand</vt:lpstr>
      <vt:lpstr>'FQ 6241F'!comments</vt:lpstr>
      <vt:lpstr>'FQ 6251F'!comments</vt:lpstr>
      <vt:lpstr>'FQ 7232F'!comments</vt:lpstr>
      <vt:lpstr>'FQ 8121F'!comments</vt:lpstr>
      <vt:lpstr>'FQ 8141F'!comments</vt:lpstr>
      <vt:lpstr>'FQ 9111F'!comments</vt:lpstr>
      <vt:lpstr>'FQ 9211F'!comments</vt:lpstr>
      <vt:lpstr>'FQ 9221F'!comments</vt:lpstr>
      <vt:lpstr>'FQ 9246F'!comments</vt:lpstr>
      <vt:lpstr>'FQ 9511F'!comments</vt:lpstr>
      <vt:lpstr>'PF 6121F'!comments</vt:lpstr>
      <vt:lpstr>'PF 6221F'!comments</vt:lpstr>
      <vt:lpstr>'PF 7112F'!comments</vt:lpstr>
      <vt:lpstr>'PF 8222F'!comments</vt:lpstr>
      <vt:lpstr>'PF 8231F'!comments</vt:lpstr>
      <vt:lpstr>'PF 8332F'!comments</vt:lpstr>
      <vt:lpstr>'PF 8340R'!comments</vt:lpstr>
      <vt:lpstr>'SY 6131F'!comments</vt:lpstr>
      <vt:lpstr>'SY 6132R'!comments</vt:lpstr>
      <vt:lpstr>'SY 7212F'!comments</vt:lpstr>
      <vt:lpstr>'SY 7511F'!comments</vt:lpstr>
      <vt:lpstr>'TF 6241F'!comments</vt:lpstr>
      <vt:lpstr>'TF 6251F'!comments</vt:lpstr>
      <vt:lpstr>'TF 6402R'!comments</vt:lpstr>
      <vt:lpstr>'TF 6403R'!comments</vt:lpstr>
      <vt:lpstr>'TF 7113R'!comments</vt:lpstr>
      <vt:lpstr>'TF 7123R'!comments</vt:lpstr>
      <vt:lpstr>'TF 7133R'!comments</vt:lpstr>
      <vt:lpstr>'TF 7502R'!comments</vt:lpstr>
      <vt:lpstr>'FQ 6241F'!CrewSoloQual</vt:lpstr>
      <vt:lpstr>'FQ 6251F'!CrewSoloQual</vt:lpstr>
      <vt:lpstr>'FQ 7232F'!CrewSoloQual</vt:lpstr>
      <vt:lpstr>'FQ 8121F'!CrewSoloQual</vt:lpstr>
      <vt:lpstr>'FQ 8141F'!CrewSoloQual</vt:lpstr>
      <vt:lpstr>'FQ 9111F'!CrewSoloQual</vt:lpstr>
      <vt:lpstr>'FQ 9211F'!CrewSoloQual</vt:lpstr>
      <vt:lpstr>'FQ 9221F'!CrewSoloQual</vt:lpstr>
      <vt:lpstr>'FQ 9246F'!CrewSoloQual</vt:lpstr>
      <vt:lpstr>'FQ 9511F'!CrewSoloQual</vt:lpstr>
      <vt:lpstr>'PF 6121F'!CrewSoloQual</vt:lpstr>
      <vt:lpstr>'PF 6221F'!CrewSoloQual</vt:lpstr>
      <vt:lpstr>'PF 7112F'!CrewSoloQual</vt:lpstr>
      <vt:lpstr>'PF 8222F'!CrewSoloQual</vt:lpstr>
      <vt:lpstr>'PF 8231F'!CrewSoloQual</vt:lpstr>
      <vt:lpstr>'PF 8332F'!CrewSoloQual</vt:lpstr>
      <vt:lpstr>'PF 8340R'!CrewSoloQual</vt:lpstr>
      <vt:lpstr>'SY 6131F'!CrewSoloQual</vt:lpstr>
      <vt:lpstr>'SY 6132R'!CrewSoloQual</vt:lpstr>
      <vt:lpstr>'SY 7212F'!CrewSoloQual</vt:lpstr>
      <vt:lpstr>'SY 7511F'!CrewSoloQual</vt:lpstr>
      <vt:lpstr>'TF 6241F'!CrewSoloQual</vt:lpstr>
      <vt:lpstr>'TF 6251F'!CrewSoloQual</vt:lpstr>
      <vt:lpstr>'TF 6402R'!CrewSoloQual</vt:lpstr>
      <vt:lpstr>'TF 6403R'!CrewSoloQual</vt:lpstr>
      <vt:lpstr>'TF 7113R'!CrewSoloQual</vt:lpstr>
      <vt:lpstr>'TF 7123R'!CrewSoloQual</vt:lpstr>
      <vt:lpstr>'TF 7133R'!CrewSoloQual</vt:lpstr>
      <vt:lpstr>'TF 7502R'!CrewSoloQual</vt:lpstr>
      <vt:lpstr>'FQ 6241F'!D_and_count</vt:lpstr>
      <vt:lpstr>'FQ 6251F'!D_and_count</vt:lpstr>
      <vt:lpstr>'FQ 7232F'!D_and_count</vt:lpstr>
      <vt:lpstr>'FQ 8121F'!D_and_count</vt:lpstr>
      <vt:lpstr>'FQ 8141F'!D_and_count</vt:lpstr>
      <vt:lpstr>'FQ 9111F'!D_and_count</vt:lpstr>
      <vt:lpstr>'FQ 9211F'!D_and_count</vt:lpstr>
      <vt:lpstr>'FQ 9221F'!D_and_count</vt:lpstr>
      <vt:lpstr>'FQ 9246F'!D_and_count</vt:lpstr>
      <vt:lpstr>'FQ 9511F'!D_and_count</vt:lpstr>
      <vt:lpstr>'PF 6121F'!D_and_count</vt:lpstr>
      <vt:lpstr>'PF 6221F'!D_and_count</vt:lpstr>
      <vt:lpstr>'PF 7112F'!D_and_count</vt:lpstr>
      <vt:lpstr>'PF 8222F'!D_and_count</vt:lpstr>
      <vt:lpstr>'PF 8231F'!D_and_count</vt:lpstr>
      <vt:lpstr>'PF 8332F'!D_and_count</vt:lpstr>
      <vt:lpstr>'PF 8340R'!D_and_count</vt:lpstr>
      <vt:lpstr>'SY 6131F'!D_and_count</vt:lpstr>
      <vt:lpstr>'SY 6132R'!D_and_count</vt:lpstr>
      <vt:lpstr>'SY 7212F'!D_and_count</vt:lpstr>
      <vt:lpstr>'SY 7511F'!D_and_count</vt:lpstr>
      <vt:lpstr>'TF 6241F'!D_and_count</vt:lpstr>
      <vt:lpstr>'TF 6251F'!D_and_count</vt:lpstr>
      <vt:lpstr>'TF 6402R'!D_and_count</vt:lpstr>
      <vt:lpstr>'TF 6403R'!D_and_count</vt:lpstr>
      <vt:lpstr>'TF 7113R'!D_and_count</vt:lpstr>
      <vt:lpstr>'TF 7123R'!D_and_count</vt:lpstr>
      <vt:lpstr>'TF 7133R'!D_and_count</vt:lpstr>
      <vt:lpstr>'TF 7502R'!D_and_count</vt:lpstr>
      <vt:lpstr>'FQ 6321R'!date</vt:lpstr>
      <vt:lpstr>'FQ 8210Y'!date</vt:lpstr>
      <vt:lpstr>'FQ 9248Y'!date</vt:lpstr>
      <vt:lpstr>'PF 6241R'!date</vt:lpstr>
      <vt:lpstr>'PF 7121R'!date</vt:lpstr>
      <vt:lpstr>'PF 8340R'!date</vt:lpstr>
      <vt:lpstr>'PF 8351Y'!date</vt:lpstr>
      <vt:lpstr>'SY 6132R'!date</vt:lpstr>
      <vt:lpstr>'TF 6402R'!date</vt:lpstr>
      <vt:lpstr>'TF 6403R'!date</vt:lpstr>
      <vt:lpstr>'TF 7113R'!date</vt:lpstr>
      <vt:lpstr>'TF 7123R'!date</vt:lpstr>
      <vt:lpstr>'TF 7133R'!date</vt:lpstr>
      <vt:lpstr>'TF 7502R'!date</vt:lpstr>
      <vt:lpstr>'FQ 6241F'!desds</vt:lpstr>
      <vt:lpstr>'FQ 6251F'!desds</vt:lpstr>
      <vt:lpstr>'FQ 7232F'!desds</vt:lpstr>
      <vt:lpstr>'FQ 8121F'!desds</vt:lpstr>
      <vt:lpstr>'FQ 8141F'!desds</vt:lpstr>
      <vt:lpstr>'FQ 9111F'!desds</vt:lpstr>
      <vt:lpstr>'FQ 9211F'!desds</vt:lpstr>
      <vt:lpstr>'FQ 9221F'!desds</vt:lpstr>
      <vt:lpstr>'FQ 9246F'!desds</vt:lpstr>
      <vt:lpstr>'FQ 9511F'!desds</vt:lpstr>
      <vt:lpstr>'PF 6121F'!desds</vt:lpstr>
      <vt:lpstr>'PF 6221F'!desds</vt:lpstr>
      <vt:lpstr>'PF 7112F'!desds</vt:lpstr>
      <vt:lpstr>'PF 8222F'!desds</vt:lpstr>
      <vt:lpstr>'PF 8231F'!desds</vt:lpstr>
      <vt:lpstr>'PF 8332F'!desds</vt:lpstr>
      <vt:lpstr>'PF 8340R'!desds</vt:lpstr>
      <vt:lpstr>'SY 6131F'!desds</vt:lpstr>
      <vt:lpstr>'SY 6132R'!desds</vt:lpstr>
      <vt:lpstr>'SY 7212F'!desds</vt:lpstr>
      <vt:lpstr>'SY 7511F'!desds</vt:lpstr>
      <vt:lpstr>'TF 6241F'!desds</vt:lpstr>
      <vt:lpstr>'TF 6251F'!desds</vt:lpstr>
      <vt:lpstr>'TF 6402R'!desds</vt:lpstr>
      <vt:lpstr>'TF 6403R'!desds</vt:lpstr>
      <vt:lpstr>'TF 7113R'!desds</vt:lpstr>
      <vt:lpstr>'TF 7123R'!desds</vt:lpstr>
      <vt:lpstr>'TF 7133R'!desds</vt:lpstr>
      <vt:lpstr>'TF 7502R'!desds</vt:lpstr>
      <vt:lpstr>'FQ 6241F'!DO_comments</vt:lpstr>
      <vt:lpstr>'FQ 6251F'!DO_comments</vt:lpstr>
      <vt:lpstr>'FQ 7232F'!DO_comments</vt:lpstr>
      <vt:lpstr>'FQ 8121F'!DO_comments</vt:lpstr>
      <vt:lpstr>'FQ 8141F'!DO_comments</vt:lpstr>
      <vt:lpstr>'FQ 9111F'!DO_comments</vt:lpstr>
      <vt:lpstr>'FQ 9211F'!DO_comments</vt:lpstr>
      <vt:lpstr>'FQ 9221F'!DO_comments</vt:lpstr>
      <vt:lpstr>'FQ 9246F'!DO_comments</vt:lpstr>
      <vt:lpstr>'FQ 9511F'!DO_comments</vt:lpstr>
      <vt:lpstr>'PF 6121F'!DO_comments</vt:lpstr>
      <vt:lpstr>'PF 6221F'!DO_comments</vt:lpstr>
      <vt:lpstr>'PF 7112F'!DO_comments</vt:lpstr>
      <vt:lpstr>'PF 8222F'!DO_comments</vt:lpstr>
      <vt:lpstr>'PF 8231F'!DO_comments</vt:lpstr>
      <vt:lpstr>'PF 8332F'!DO_comments</vt:lpstr>
      <vt:lpstr>'PF 8340R'!DO_comments</vt:lpstr>
      <vt:lpstr>'SY 6131F'!DO_comments</vt:lpstr>
      <vt:lpstr>'SY 6132R'!DO_comments</vt:lpstr>
      <vt:lpstr>'SY 7212F'!DO_comments</vt:lpstr>
      <vt:lpstr>'SY 7511F'!DO_comments</vt:lpstr>
      <vt:lpstr>'TF 6241F'!DO_comments</vt:lpstr>
      <vt:lpstr>'TF 6251F'!DO_comments</vt:lpstr>
      <vt:lpstr>'TF 6402R'!DO_comments</vt:lpstr>
      <vt:lpstr>'TF 6403R'!DO_comments</vt:lpstr>
      <vt:lpstr>'TF 7113R'!DO_comments</vt:lpstr>
      <vt:lpstr>'TF 7123R'!DO_comments</vt:lpstr>
      <vt:lpstr>'TF 7133R'!DO_comments</vt:lpstr>
      <vt:lpstr>'TF 7502R'!DO_comments</vt:lpstr>
      <vt:lpstr>'FQ 6241F'!DO_sig</vt:lpstr>
      <vt:lpstr>'FQ 6251F'!DO_sig</vt:lpstr>
      <vt:lpstr>'FQ 7232F'!DO_sig</vt:lpstr>
      <vt:lpstr>'FQ 8121F'!DO_sig</vt:lpstr>
      <vt:lpstr>'FQ 8141F'!DO_sig</vt:lpstr>
      <vt:lpstr>'FQ 9111F'!DO_sig</vt:lpstr>
      <vt:lpstr>'FQ 9211F'!DO_sig</vt:lpstr>
      <vt:lpstr>'FQ 9221F'!DO_sig</vt:lpstr>
      <vt:lpstr>'FQ 9246F'!DO_sig</vt:lpstr>
      <vt:lpstr>'FQ 9511F'!DO_sig</vt:lpstr>
      <vt:lpstr>'PF 6121F'!DO_sig</vt:lpstr>
      <vt:lpstr>'PF 6221F'!DO_sig</vt:lpstr>
      <vt:lpstr>'PF 7112F'!DO_sig</vt:lpstr>
      <vt:lpstr>'PF 8222F'!DO_sig</vt:lpstr>
      <vt:lpstr>'PF 8231F'!DO_sig</vt:lpstr>
      <vt:lpstr>'PF 8332F'!DO_sig</vt:lpstr>
      <vt:lpstr>'PF 8340R'!DO_sig</vt:lpstr>
      <vt:lpstr>'SY 6131F'!DO_sig</vt:lpstr>
      <vt:lpstr>'SY 6132R'!DO_sig</vt:lpstr>
      <vt:lpstr>'SY 7212F'!DO_sig</vt:lpstr>
      <vt:lpstr>'SY 7511F'!DO_sig</vt:lpstr>
      <vt:lpstr>'TF 6241F'!DO_sig</vt:lpstr>
      <vt:lpstr>'TF 6251F'!DO_sig</vt:lpstr>
      <vt:lpstr>'TF 6402R'!DO_sig</vt:lpstr>
      <vt:lpstr>'TF 6403R'!DO_sig</vt:lpstr>
      <vt:lpstr>'TF 7113R'!DO_sig</vt:lpstr>
      <vt:lpstr>'TF 7123R'!DO_sig</vt:lpstr>
      <vt:lpstr>'TF 7133R'!DO_sig</vt:lpstr>
      <vt:lpstr>'TF 7502R'!DO_sig</vt:lpstr>
      <vt:lpstr>'FQ 6241F'!ED_comments</vt:lpstr>
      <vt:lpstr>'FQ 6251F'!ED_comments</vt:lpstr>
      <vt:lpstr>'FQ 7232F'!ED_comments</vt:lpstr>
      <vt:lpstr>'FQ 8121F'!ED_comments</vt:lpstr>
      <vt:lpstr>'FQ 8141F'!ED_comments</vt:lpstr>
      <vt:lpstr>'FQ 9111F'!ED_comments</vt:lpstr>
      <vt:lpstr>'FQ 9211F'!ED_comments</vt:lpstr>
      <vt:lpstr>'FQ 9221F'!ED_comments</vt:lpstr>
      <vt:lpstr>'FQ 9246F'!ED_comments</vt:lpstr>
      <vt:lpstr>'FQ 9511F'!ED_comments</vt:lpstr>
      <vt:lpstr>'PF 6121F'!ED_comments</vt:lpstr>
      <vt:lpstr>'PF 6221F'!ED_comments</vt:lpstr>
      <vt:lpstr>'PF 7112F'!ED_comments</vt:lpstr>
      <vt:lpstr>'PF 8222F'!ED_comments</vt:lpstr>
      <vt:lpstr>'PF 8231F'!ED_comments</vt:lpstr>
      <vt:lpstr>'PF 8332F'!ED_comments</vt:lpstr>
      <vt:lpstr>'PF 8340R'!ED_comments</vt:lpstr>
      <vt:lpstr>'SY 6131F'!ED_comments</vt:lpstr>
      <vt:lpstr>'SY 6132R'!ED_comments</vt:lpstr>
      <vt:lpstr>'SY 7212F'!ED_comments</vt:lpstr>
      <vt:lpstr>'SY 7511F'!ED_comments</vt:lpstr>
      <vt:lpstr>'TF 6241F'!ED_comments</vt:lpstr>
      <vt:lpstr>'TF 6251F'!ED_comments</vt:lpstr>
      <vt:lpstr>'TF 6402R'!ED_comments</vt:lpstr>
      <vt:lpstr>'TF 6403R'!ED_comments</vt:lpstr>
      <vt:lpstr>'TF 7113R'!ED_comments</vt:lpstr>
      <vt:lpstr>'TF 7123R'!ED_comments</vt:lpstr>
      <vt:lpstr>'TF 7133R'!ED_comments</vt:lpstr>
      <vt:lpstr>'TF 7502R'!ED_comments</vt:lpstr>
      <vt:lpstr>'FQ 6241F'!ED_sig</vt:lpstr>
      <vt:lpstr>'FQ 6251F'!ED_sig</vt:lpstr>
      <vt:lpstr>'FQ 7232F'!ED_sig</vt:lpstr>
      <vt:lpstr>'FQ 8121F'!ED_sig</vt:lpstr>
      <vt:lpstr>'FQ 8141F'!ED_sig</vt:lpstr>
      <vt:lpstr>'FQ 9111F'!ED_sig</vt:lpstr>
      <vt:lpstr>'FQ 9211F'!ED_sig</vt:lpstr>
      <vt:lpstr>'FQ 9221F'!ED_sig</vt:lpstr>
      <vt:lpstr>'FQ 9246F'!ED_sig</vt:lpstr>
      <vt:lpstr>'FQ 9511F'!ED_sig</vt:lpstr>
      <vt:lpstr>'PF 6121F'!ED_sig</vt:lpstr>
      <vt:lpstr>'PF 6221F'!ED_sig</vt:lpstr>
      <vt:lpstr>'PF 7112F'!ED_sig</vt:lpstr>
      <vt:lpstr>'PF 8222F'!ED_sig</vt:lpstr>
      <vt:lpstr>'PF 8231F'!ED_sig</vt:lpstr>
      <vt:lpstr>'PF 8332F'!ED_sig</vt:lpstr>
      <vt:lpstr>'PF 8340R'!ED_sig</vt:lpstr>
      <vt:lpstr>'SY 6131F'!ED_sig</vt:lpstr>
      <vt:lpstr>'SY 6132R'!ED_sig</vt:lpstr>
      <vt:lpstr>'SY 7212F'!ED_sig</vt:lpstr>
      <vt:lpstr>'SY 7511F'!ED_sig</vt:lpstr>
      <vt:lpstr>'TF 6241F'!ED_sig</vt:lpstr>
      <vt:lpstr>'TF 6251F'!ED_sig</vt:lpstr>
      <vt:lpstr>'TF 6402R'!ED_sig</vt:lpstr>
      <vt:lpstr>'TF 6403R'!ED_sig</vt:lpstr>
      <vt:lpstr>'TF 7113R'!ED_sig</vt:lpstr>
      <vt:lpstr>'TF 7123R'!ED_sig</vt:lpstr>
      <vt:lpstr>'TF 7133R'!ED_sig</vt:lpstr>
      <vt:lpstr>'TF 7502R'!ED_sig</vt:lpstr>
      <vt:lpstr>'FQ 6241F'!Flight?</vt:lpstr>
      <vt:lpstr>'FQ 6251F'!Flight?</vt:lpstr>
      <vt:lpstr>'FQ 7232F'!Flight?</vt:lpstr>
      <vt:lpstr>'FQ 8121F'!Flight?</vt:lpstr>
      <vt:lpstr>'FQ 8141F'!Flight?</vt:lpstr>
      <vt:lpstr>'FQ 9111F'!Flight?</vt:lpstr>
      <vt:lpstr>'FQ 9211F'!Flight?</vt:lpstr>
      <vt:lpstr>'FQ 9221F'!Flight?</vt:lpstr>
      <vt:lpstr>'FQ 9246F'!Flight?</vt:lpstr>
      <vt:lpstr>'FQ 9511F'!Flight?</vt:lpstr>
      <vt:lpstr>'PF 6121F'!Flight?</vt:lpstr>
      <vt:lpstr>'PF 6221F'!Flight?</vt:lpstr>
      <vt:lpstr>'PF 7112F'!Flight?</vt:lpstr>
      <vt:lpstr>'PF 8222F'!Flight?</vt:lpstr>
      <vt:lpstr>'PF 8231F'!Flight?</vt:lpstr>
      <vt:lpstr>'PF 8332F'!Flight?</vt:lpstr>
      <vt:lpstr>'PF 8340R'!Flight?</vt:lpstr>
      <vt:lpstr>'SY 6131F'!Flight?</vt:lpstr>
      <vt:lpstr>'SY 6132R'!Flight?</vt:lpstr>
      <vt:lpstr>'SY 7212F'!Flight?</vt:lpstr>
      <vt:lpstr>'SY 7511F'!Flight?</vt:lpstr>
      <vt:lpstr>'TF 6241F'!Flight?</vt:lpstr>
      <vt:lpstr>'TF 6251F'!Flight?</vt:lpstr>
      <vt:lpstr>'TF 6402R'!Flight?</vt:lpstr>
      <vt:lpstr>'TF 6403R'!Flight?</vt:lpstr>
      <vt:lpstr>'TF 7113R'!Flight?</vt:lpstr>
      <vt:lpstr>'TF 7123R'!Flight?</vt:lpstr>
      <vt:lpstr>'TF 7133R'!Flight?</vt:lpstr>
      <vt:lpstr>'TF 7502R'!Flight?</vt:lpstr>
      <vt:lpstr>'FQ 6241F'!g_no_count</vt:lpstr>
      <vt:lpstr>'FQ 6251F'!g_no_count</vt:lpstr>
      <vt:lpstr>'FQ 7232F'!g_no_count</vt:lpstr>
      <vt:lpstr>'FQ 8121F'!g_no_count</vt:lpstr>
      <vt:lpstr>'FQ 8141F'!g_no_count</vt:lpstr>
      <vt:lpstr>'FQ 9111F'!g_no_count</vt:lpstr>
      <vt:lpstr>'FQ 9211F'!g_no_count</vt:lpstr>
      <vt:lpstr>'FQ 9221F'!g_no_count</vt:lpstr>
      <vt:lpstr>'FQ 9246F'!g_no_count</vt:lpstr>
      <vt:lpstr>'FQ 9511F'!g_no_count</vt:lpstr>
      <vt:lpstr>'PF 6121F'!g_no_count</vt:lpstr>
      <vt:lpstr>'PF 6221F'!g_no_count</vt:lpstr>
      <vt:lpstr>'PF 7112F'!g_no_count</vt:lpstr>
      <vt:lpstr>'PF 8222F'!g_no_count</vt:lpstr>
      <vt:lpstr>'PF 8231F'!g_no_count</vt:lpstr>
      <vt:lpstr>'PF 8332F'!g_no_count</vt:lpstr>
      <vt:lpstr>'PF 8340R'!g_no_count</vt:lpstr>
      <vt:lpstr>'SY 6131F'!g_no_count</vt:lpstr>
      <vt:lpstr>'SY 6132R'!g_no_count</vt:lpstr>
      <vt:lpstr>'SY 7212F'!g_no_count</vt:lpstr>
      <vt:lpstr>'SY 7511F'!g_no_count</vt:lpstr>
      <vt:lpstr>'TF 6241F'!g_no_count</vt:lpstr>
      <vt:lpstr>'TF 6251F'!g_no_count</vt:lpstr>
      <vt:lpstr>'TF 6402R'!g_no_count</vt:lpstr>
      <vt:lpstr>'TF 6403R'!g_no_count</vt:lpstr>
      <vt:lpstr>'TF 7113R'!g_no_count</vt:lpstr>
      <vt:lpstr>'TF 7123R'!g_no_count</vt:lpstr>
      <vt:lpstr>'TF 7133R'!g_no_count</vt:lpstr>
      <vt:lpstr>'TF 7502R'!g_no_count</vt:lpstr>
      <vt:lpstr>'FQ 6241F'!grade</vt:lpstr>
      <vt:lpstr>'FQ 6251F'!grade</vt:lpstr>
      <vt:lpstr>'FQ 7232F'!grade</vt:lpstr>
      <vt:lpstr>'FQ 8121F'!grade</vt:lpstr>
      <vt:lpstr>'FQ 8141F'!grade</vt:lpstr>
      <vt:lpstr>'FQ 9111F'!grade</vt:lpstr>
      <vt:lpstr>'FQ 9211F'!grade</vt:lpstr>
      <vt:lpstr>'FQ 9221F'!grade</vt:lpstr>
      <vt:lpstr>'FQ 9246F'!grade</vt:lpstr>
      <vt:lpstr>'FQ 9511F'!grade</vt:lpstr>
      <vt:lpstr>'PF 6121F'!grade</vt:lpstr>
      <vt:lpstr>'PF 6221F'!grade</vt:lpstr>
      <vt:lpstr>'PF 7112F'!grade</vt:lpstr>
      <vt:lpstr>'PF 8222F'!grade</vt:lpstr>
      <vt:lpstr>'PF 8231F'!grade</vt:lpstr>
      <vt:lpstr>'PF 8332F'!grade</vt:lpstr>
      <vt:lpstr>'PF 8340R'!grade</vt:lpstr>
      <vt:lpstr>'SY 6131F'!grade</vt:lpstr>
      <vt:lpstr>'SY 6132R'!grade</vt:lpstr>
      <vt:lpstr>'SY 7212F'!grade</vt:lpstr>
      <vt:lpstr>'SY 7511F'!grade</vt:lpstr>
      <vt:lpstr>'TF 6241F'!grade</vt:lpstr>
      <vt:lpstr>'TF 6251F'!grade</vt:lpstr>
      <vt:lpstr>'TF 6402R'!grade</vt:lpstr>
      <vt:lpstr>'TF 6403R'!grade</vt:lpstr>
      <vt:lpstr>'TF 7113R'!grade</vt:lpstr>
      <vt:lpstr>'TF 7123R'!grade</vt:lpstr>
      <vt:lpstr>'TF 7133R'!grade</vt:lpstr>
      <vt:lpstr>'FQ 6241F'!graded_aca_events</vt:lpstr>
      <vt:lpstr>'FQ 6251F'!graded_aca_events</vt:lpstr>
      <vt:lpstr>'FQ 7232F'!graded_aca_events</vt:lpstr>
      <vt:lpstr>'FQ 8121F'!graded_aca_events</vt:lpstr>
      <vt:lpstr>'FQ 8141F'!graded_aca_events</vt:lpstr>
      <vt:lpstr>'FQ 9111F'!graded_aca_events</vt:lpstr>
      <vt:lpstr>'FQ 9211F'!graded_aca_events</vt:lpstr>
      <vt:lpstr>'FQ 9221F'!graded_aca_events</vt:lpstr>
      <vt:lpstr>'FQ 9246F'!graded_aca_events</vt:lpstr>
      <vt:lpstr>'FQ 9511F'!graded_aca_events</vt:lpstr>
      <vt:lpstr>'PF 6121F'!graded_aca_events</vt:lpstr>
      <vt:lpstr>'PF 6221F'!graded_aca_events</vt:lpstr>
      <vt:lpstr>'PF 7112F'!graded_aca_events</vt:lpstr>
      <vt:lpstr>'PF 8222F'!graded_aca_events</vt:lpstr>
      <vt:lpstr>'PF 8231F'!graded_aca_events</vt:lpstr>
      <vt:lpstr>'PF 8332F'!graded_aca_events</vt:lpstr>
      <vt:lpstr>'PF 8340R'!graded_aca_events</vt:lpstr>
      <vt:lpstr>'SY 6131F'!graded_aca_events</vt:lpstr>
      <vt:lpstr>'SY 6132R'!graded_aca_events</vt:lpstr>
      <vt:lpstr>'SY 7212F'!graded_aca_events</vt:lpstr>
      <vt:lpstr>'SY 7511F'!graded_aca_events</vt:lpstr>
      <vt:lpstr>'TF 6241F'!graded_aca_events</vt:lpstr>
      <vt:lpstr>'TF 6251F'!graded_aca_events</vt:lpstr>
      <vt:lpstr>'TF 6402R'!graded_aca_events</vt:lpstr>
      <vt:lpstr>'TF 6403R'!graded_aca_events</vt:lpstr>
      <vt:lpstr>'TF 7113R'!graded_aca_events</vt:lpstr>
      <vt:lpstr>'TF 7123R'!graded_aca_events</vt:lpstr>
      <vt:lpstr>'TF 7133R'!graded_aca_events</vt:lpstr>
      <vt:lpstr>'TF 7502R'!graded_aca_events</vt:lpstr>
      <vt:lpstr>'FQ 6241F'!graded_amn_events</vt:lpstr>
      <vt:lpstr>'FQ 6251F'!graded_amn_events</vt:lpstr>
      <vt:lpstr>'FQ 7232F'!graded_amn_events</vt:lpstr>
      <vt:lpstr>'FQ 8121F'!graded_amn_events</vt:lpstr>
      <vt:lpstr>'FQ 8141F'!graded_amn_events</vt:lpstr>
      <vt:lpstr>'FQ 9111F'!graded_amn_events</vt:lpstr>
      <vt:lpstr>'FQ 9211F'!graded_amn_events</vt:lpstr>
      <vt:lpstr>'FQ 9221F'!graded_amn_events</vt:lpstr>
      <vt:lpstr>'FQ 9246F'!graded_amn_events</vt:lpstr>
      <vt:lpstr>'FQ 9511F'!graded_amn_events</vt:lpstr>
      <vt:lpstr>'PF 6121F'!graded_amn_events</vt:lpstr>
      <vt:lpstr>'PF 6221F'!graded_amn_events</vt:lpstr>
      <vt:lpstr>'PF 7112F'!graded_amn_events</vt:lpstr>
      <vt:lpstr>'PF 8222F'!graded_amn_events</vt:lpstr>
      <vt:lpstr>'PF 8231F'!graded_amn_events</vt:lpstr>
      <vt:lpstr>'PF 8332F'!graded_amn_events</vt:lpstr>
      <vt:lpstr>'PF 8340R'!graded_amn_events</vt:lpstr>
      <vt:lpstr>'SY 6131F'!graded_amn_events</vt:lpstr>
      <vt:lpstr>'SY 6132R'!graded_amn_events</vt:lpstr>
      <vt:lpstr>'SY 7212F'!graded_amn_events</vt:lpstr>
      <vt:lpstr>'SY 7511F'!graded_amn_events</vt:lpstr>
      <vt:lpstr>'TF 6241F'!graded_amn_events</vt:lpstr>
      <vt:lpstr>'TF 6251F'!graded_amn_events</vt:lpstr>
      <vt:lpstr>'TF 6402R'!graded_amn_events</vt:lpstr>
      <vt:lpstr>'TF 6403R'!graded_amn_events</vt:lpstr>
      <vt:lpstr>'TF 7113R'!graded_amn_events</vt:lpstr>
      <vt:lpstr>'TF 7123R'!graded_amn_events</vt:lpstr>
      <vt:lpstr>'TF 7133R'!graded_amn_events</vt:lpstr>
      <vt:lpstr>'TF 7502R'!graded_amn_events</vt:lpstr>
      <vt:lpstr>'FQ 6241F'!hdr_acft</vt:lpstr>
      <vt:lpstr>'FQ 6251F'!hdr_acft</vt:lpstr>
      <vt:lpstr>'FQ 7232F'!hdr_acft</vt:lpstr>
      <vt:lpstr>'FQ 8121F'!hdr_acft</vt:lpstr>
      <vt:lpstr>'FQ 8141F'!hdr_acft</vt:lpstr>
      <vt:lpstr>'FQ 9111F'!hdr_acft</vt:lpstr>
      <vt:lpstr>'FQ 9211F'!hdr_acft</vt:lpstr>
      <vt:lpstr>'FQ 9221F'!hdr_acft</vt:lpstr>
      <vt:lpstr>'FQ 9246F'!hdr_acft</vt:lpstr>
      <vt:lpstr>'FQ 9511F'!hdr_acft</vt:lpstr>
      <vt:lpstr>'PF 6121F'!hdr_acft</vt:lpstr>
      <vt:lpstr>'PF 6221F'!hdr_acft</vt:lpstr>
      <vt:lpstr>'PF 7112F'!hdr_acft</vt:lpstr>
      <vt:lpstr>'PF 8222F'!hdr_acft</vt:lpstr>
      <vt:lpstr>'PF 8231F'!hdr_acft</vt:lpstr>
      <vt:lpstr>'PF 8332F'!hdr_acft</vt:lpstr>
      <vt:lpstr>'PF 8340R'!hdr_acft</vt:lpstr>
      <vt:lpstr>'SY 6131F'!hdr_acft</vt:lpstr>
      <vt:lpstr>'SY 6132R'!hdr_acft</vt:lpstr>
      <vt:lpstr>'SY 7212F'!hdr_acft</vt:lpstr>
      <vt:lpstr>'SY 7511F'!hdr_acft</vt:lpstr>
      <vt:lpstr>'TF 6241F'!hdr_acft</vt:lpstr>
      <vt:lpstr>'TF 6251F'!hdr_acft</vt:lpstr>
      <vt:lpstr>'TF 6402R'!hdr_acft</vt:lpstr>
      <vt:lpstr>'TF 6403R'!hdr_acft</vt:lpstr>
      <vt:lpstr>'TF 7113R'!hdr_acft</vt:lpstr>
      <vt:lpstr>'TF 7123R'!hdr_acft</vt:lpstr>
      <vt:lpstr>'TF 7133R'!hdr_acft</vt:lpstr>
      <vt:lpstr>'TF 7502R'!hdr_acft</vt:lpstr>
      <vt:lpstr>'FQ 6241F'!hdr_class</vt:lpstr>
      <vt:lpstr>'FQ 6251F'!hdr_class</vt:lpstr>
      <vt:lpstr>'FQ 7232F'!hdr_class</vt:lpstr>
      <vt:lpstr>'FQ 8121F'!hdr_class</vt:lpstr>
      <vt:lpstr>'FQ 8141F'!hdr_class</vt:lpstr>
      <vt:lpstr>'FQ 9111F'!hdr_class</vt:lpstr>
      <vt:lpstr>'FQ 9211F'!hdr_class</vt:lpstr>
      <vt:lpstr>'FQ 9221F'!hdr_class</vt:lpstr>
      <vt:lpstr>'FQ 9246F'!hdr_class</vt:lpstr>
      <vt:lpstr>'FQ 9511F'!hdr_class</vt:lpstr>
      <vt:lpstr>'PF 6121F'!hdr_class</vt:lpstr>
      <vt:lpstr>'PF 6221F'!hdr_class</vt:lpstr>
      <vt:lpstr>'PF 7112F'!hdr_class</vt:lpstr>
      <vt:lpstr>'PF 8222F'!hdr_class</vt:lpstr>
      <vt:lpstr>'PF 8231F'!hdr_class</vt:lpstr>
      <vt:lpstr>'PF 8332F'!hdr_class</vt:lpstr>
      <vt:lpstr>'PF 8340R'!hdr_class</vt:lpstr>
      <vt:lpstr>'SY 6131F'!hdr_class</vt:lpstr>
      <vt:lpstr>'SY 6132R'!hdr_class</vt:lpstr>
      <vt:lpstr>'SY 7212F'!hdr_class</vt:lpstr>
      <vt:lpstr>'SY 7511F'!hdr_class</vt:lpstr>
      <vt:lpstr>'TF 6241F'!hdr_class</vt:lpstr>
      <vt:lpstr>'TF 6251F'!hdr_class</vt:lpstr>
      <vt:lpstr>'TF 6402R'!hdr_class</vt:lpstr>
      <vt:lpstr>'TF 6403R'!hdr_class</vt:lpstr>
      <vt:lpstr>'TF 7113R'!hdr_class</vt:lpstr>
      <vt:lpstr>'TF 7123R'!hdr_class</vt:lpstr>
      <vt:lpstr>'TF 7133R'!hdr_class</vt:lpstr>
      <vt:lpstr>'TF 7502R'!hdr_class</vt:lpstr>
      <vt:lpstr>'FQ 6241F'!hdr_date</vt:lpstr>
      <vt:lpstr>'FQ 6251F'!hdr_date</vt:lpstr>
      <vt:lpstr>'FQ 7232F'!hdr_date</vt:lpstr>
      <vt:lpstr>'FQ 8121F'!hdr_date</vt:lpstr>
      <vt:lpstr>'FQ 8141F'!hdr_date</vt:lpstr>
      <vt:lpstr>'FQ 9111F'!hdr_date</vt:lpstr>
      <vt:lpstr>'FQ 9211F'!hdr_date</vt:lpstr>
      <vt:lpstr>'FQ 9221F'!hdr_date</vt:lpstr>
      <vt:lpstr>'FQ 9246F'!hdr_date</vt:lpstr>
      <vt:lpstr>'FQ 9511F'!hdr_date</vt:lpstr>
      <vt:lpstr>'PF 6121F'!hdr_date</vt:lpstr>
      <vt:lpstr>'PF 6221F'!hdr_date</vt:lpstr>
      <vt:lpstr>'PF 7112F'!hdr_date</vt:lpstr>
      <vt:lpstr>'PF 8222F'!hdr_date</vt:lpstr>
      <vt:lpstr>'PF 8231F'!hdr_date</vt:lpstr>
      <vt:lpstr>'PF 8332F'!hdr_date</vt:lpstr>
      <vt:lpstr>'PF 8340R'!hdr_date</vt:lpstr>
      <vt:lpstr>'SY 6131F'!hdr_date</vt:lpstr>
      <vt:lpstr>'SY 6132R'!hdr_date</vt:lpstr>
      <vt:lpstr>'SY 7212F'!hdr_date</vt:lpstr>
      <vt:lpstr>'SY 7511F'!hdr_date</vt:lpstr>
      <vt:lpstr>'TF 6241F'!hdr_date</vt:lpstr>
      <vt:lpstr>'TF 6251F'!hdr_date</vt:lpstr>
      <vt:lpstr>'TF 6402R'!hdr_date</vt:lpstr>
      <vt:lpstr>'TF 6403R'!hdr_date</vt:lpstr>
      <vt:lpstr>'TF 7113R'!hdr_date</vt:lpstr>
      <vt:lpstr>'TF 7123R'!hdr_date</vt:lpstr>
      <vt:lpstr>'TF 7133R'!hdr_date</vt:lpstr>
      <vt:lpstr>'FQ 6241F'!hdr_instr</vt:lpstr>
      <vt:lpstr>'FQ 6251F'!hdr_instr</vt:lpstr>
      <vt:lpstr>'FQ 7232F'!hdr_instr</vt:lpstr>
      <vt:lpstr>'FQ 8121F'!hdr_instr</vt:lpstr>
      <vt:lpstr>'FQ 8141F'!hdr_instr</vt:lpstr>
      <vt:lpstr>'FQ 9111F'!hdr_instr</vt:lpstr>
      <vt:lpstr>'FQ 9211F'!hdr_instr</vt:lpstr>
      <vt:lpstr>'FQ 9221F'!hdr_instr</vt:lpstr>
      <vt:lpstr>'FQ 9246F'!hdr_instr</vt:lpstr>
      <vt:lpstr>'FQ 9511F'!hdr_instr</vt:lpstr>
      <vt:lpstr>'PF 6121F'!hdr_instr</vt:lpstr>
      <vt:lpstr>'PF 6221F'!hdr_instr</vt:lpstr>
      <vt:lpstr>'PF 7112F'!hdr_instr</vt:lpstr>
      <vt:lpstr>'PF 8222F'!hdr_instr</vt:lpstr>
      <vt:lpstr>'PF 8231F'!hdr_instr</vt:lpstr>
      <vt:lpstr>'PF 8332F'!hdr_instr</vt:lpstr>
      <vt:lpstr>'PF 8340R'!hdr_instr</vt:lpstr>
      <vt:lpstr>'SY 6131F'!hdr_instr</vt:lpstr>
      <vt:lpstr>'SY 6132R'!hdr_instr</vt:lpstr>
      <vt:lpstr>'SY 7212F'!hdr_instr</vt:lpstr>
      <vt:lpstr>'SY 7511F'!hdr_instr</vt:lpstr>
      <vt:lpstr>'TF 6241F'!hdr_instr</vt:lpstr>
      <vt:lpstr>'TF 6251F'!hdr_instr</vt:lpstr>
      <vt:lpstr>'TF 6402R'!hdr_instr</vt:lpstr>
      <vt:lpstr>'TF 6403R'!hdr_instr</vt:lpstr>
      <vt:lpstr>'TF 7113R'!hdr_instr</vt:lpstr>
      <vt:lpstr>'TF 7123R'!hdr_instr</vt:lpstr>
      <vt:lpstr>'TF 7133R'!hdr_instr</vt:lpstr>
      <vt:lpstr>'FQ 6241F'!hdr_stud</vt:lpstr>
      <vt:lpstr>'FQ 6251F'!hdr_stud</vt:lpstr>
      <vt:lpstr>'FQ 7232F'!hdr_stud</vt:lpstr>
      <vt:lpstr>'FQ 8121F'!hdr_stud</vt:lpstr>
      <vt:lpstr>'FQ 8141F'!hdr_stud</vt:lpstr>
      <vt:lpstr>'FQ 9111F'!hdr_stud</vt:lpstr>
      <vt:lpstr>'FQ 9211F'!hdr_stud</vt:lpstr>
      <vt:lpstr>'FQ 9221F'!hdr_stud</vt:lpstr>
      <vt:lpstr>'FQ 9246F'!hdr_stud</vt:lpstr>
      <vt:lpstr>'FQ 9511F'!hdr_stud</vt:lpstr>
      <vt:lpstr>'PF 6121F'!hdr_stud</vt:lpstr>
      <vt:lpstr>'PF 6221F'!hdr_stud</vt:lpstr>
      <vt:lpstr>'PF 7112F'!hdr_stud</vt:lpstr>
      <vt:lpstr>'PF 8222F'!hdr_stud</vt:lpstr>
      <vt:lpstr>'PF 8231F'!hdr_stud</vt:lpstr>
      <vt:lpstr>'PF 8332F'!hdr_stud</vt:lpstr>
      <vt:lpstr>'PF 8340R'!hdr_stud</vt:lpstr>
      <vt:lpstr>'SY 6131F'!hdr_stud</vt:lpstr>
      <vt:lpstr>'SY 6132R'!hdr_stud</vt:lpstr>
      <vt:lpstr>'SY 7212F'!hdr_stud</vt:lpstr>
      <vt:lpstr>'SY 7511F'!hdr_stud</vt:lpstr>
      <vt:lpstr>'TF 6241F'!hdr_stud</vt:lpstr>
      <vt:lpstr>'TF 6251F'!hdr_stud</vt:lpstr>
      <vt:lpstr>'TF 6402R'!hdr_stud</vt:lpstr>
      <vt:lpstr>'TF 6403R'!hdr_stud</vt:lpstr>
      <vt:lpstr>'TF 7113R'!hdr_stud</vt:lpstr>
      <vt:lpstr>'TF 7123R'!hdr_stud</vt:lpstr>
      <vt:lpstr>'TF 7133R'!hdr_stud</vt:lpstr>
      <vt:lpstr>'TF 7502R'!hdr_stud</vt:lpstr>
      <vt:lpstr>'FQ 6241F'!hdr_time</vt:lpstr>
      <vt:lpstr>'FQ 6251F'!hdr_time</vt:lpstr>
      <vt:lpstr>'FQ 7232F'!hdr_time</vt:lpstr>
      <vt:lpstr>'FQ 8121F'!hdr_time</vt:lpstr>
      <vt:lpstr>'FQ 8141F'!hdr_time</vt:lpstr>
      <vt:lpstr>'FQ 9111F'!hdr_time</vt:lpstr>
      <vt:lpstr>'FQ 9211F'!hdr_time</vt:lpstr>
      <vt:lpstr>'FQ 9221F'!hdr_time</vt:lpstr>
      <vt:lpstr>'FQ 9246F'!hdr_time</vt:lpstr>
      <vt:lpstr>'FQ 9511F'!hdr_time</vt:lpstr>
      <vt:lpstr>'PF 6121F'!hdr_time</vt:lpstr>
      <vt:lpstr>'PF 6221F'!hdr_time</vt:lpstr>
      <vt:lpstr>'PF 7112F'!hdr_time</vt:lpstr>
      <vt:lpstr>'PF 8222F'!hdr_time</vt:lpstr>
      <vt:lpstr>'PF 8231F'!hdr_time</vt:lpstr>
      <vt:lpstr>'PF 8332F'!hdr_time</vt:lpstr>
      <vt:lpstr>'PF 8340R'!hdr_time</vt:lpstr>
      <vt:lpstr>'SY 6131F'!hdr_time</vt:lpstr>
      <vt:lpstr>'SY 6132R'!hdr_time</vt:lpstr>
      <vt:lpstr>'SY 7212F'!hdr_time</vt:lpstr>
      <vt:lpstr>'SY 7511F'!hdr_time</vt:lpstr>
      <vt:lpstr>'TF 6241F'!hdr_time</vt:lpstr>
      <vt:lpstr>'TF 6251F'!hdr_time</vt:lpstr>
      <vt:lpstr>'TF 6402R'!hdr_time</vt:lpstr>
      <vt:lpstr>'TF 6403R'!hdr_time</vt:lpstr>
      <vt:lpstr>'TF 7113R'!hdr_time</vt:lpstr>
      <vt:lpstr>'TF 7123R'!hdr_time</vt:lpstr>
      <vt:lpstr>'TF 7133R'!hdr_time</vt:lpstr>
      <vt:lpstr>'TF 7502R'!hdr_time</vt:lpstr>
      <vt:lpstr>'FQ 6241F'!input_data</vt:lpstr>
      <vt:lpstr>'FQ 6251F'!input_data</vt:lpstr>
      <vt:lpstr>'FQ 7232F'!input_data</vt:lpstr>
      <vt:lpstr>'FQ 8121F'!input_data</vt:lpstr>
      <vt:lpstr>'FQ 8141F'!input_data</vt:lpstr>
      <vt:lpstr>'FQ 9111F'!input_data</vt:lpstr>
      <vt:lpstr>'FQ 9211F'!input_data</vt:lpstr>
      <vt:lpstr>'FQ 9221F'!input_data</vt:lpstr>
      <vt:lpstr>'FQ 9246F'!input_data</vt:lpstr>
      <vt:lpstr>'FQ 9511F'!input_data</vt:lpstr>
      <vt:lpstr>'PF 6121F'!input_data</vt:lpstr>
      <vt:lpstr>'PF 6221F'!input_data</vt:lpstr>
      <vt:lpstr>'PF 7112F'!input_data</vt:lpstr>
      <vt:lpstr>'PF 8222F'!input_data</vt:lpstr>
      <vt:lpstr>'PF 8231F'!input_data</vt:lpstr>
      <vt:lpstr>'PF 8332F'!input_data</vt:lpstr>
      <vt:lpstr>'PF 8340R'!input_data</vt:lpstr>
      <vt:lpstr>'SY 6131F'!input_data</vt:lpstr>
      <vt:lpstr>'SY 6132R'!input_data</vt:lpstr>
      <vt:lpstr>'SY 7212F'!input_data</vt:lpstr>
      <vt:lpstr>'SY 7511F'!input_data</vt:lpstr>
      <vt:lpstr>'TF 6241F'!input_data</vt:lpstr>
      <vt:lpstr>'TF 6251F'!input_data</vt:lpstr>
      <vt:lpstr>'TF 6402R'!input_data</vt:lpstr>
      <vt:lpstr>'TF 6403R'!input_data</vt:lpstr>
      <vt:lpstr>'TF 7113R'!input_data</vt:lpstr>
      <vt:lpstr>'TF 7123R'!input_data</vt:lpstr>
      <vt:lpstr>'TF 7133R'!input_data</vt:lpstr>
      <vt:lpstr>'TF 7502R'!input_data</vt:lpstr>
      <vt:lpstr>'FQ 6241F'!input_max_amnshp</vt:lpstr>
      <vt:lpstr>'FQ 6251F'!input_max_amnshp</vt:lpstr>
      <vt:lpstr>'FQ 7232F'!input_max_amnshp</vt:lpstr>
      <vt:lpstr>'FQ 8121F'!input_max_amnshp</vt:lpstr>
      <vt:lpstr>'FQ 8141F'!input_max_amnshp</vt:lpstr>
      <vt:lpstr>'FQ 9111F'!input_max_amnshp</vt:lpstr>
      <vt:lpstr>'FQ 9211F'!input_max_amnshp</vt:lpstr>
      <vt:lpstr>'FQ 9221F'!input_max_amnshp</vt:lpstr>
      <vt:lpstr>'FQ 9246F'!input_max_amnshp</vt:lpstr>
      <vt:lpstr>'FQ 9511F'!input_max_amnshp</vt:lpstr>
      <vt:lpstr>'PF 6121F'!input_max_amnshp</vt:lpstr>
      <vt:lpstr>'PF 6221F'!input_max_amnshp</vt:lpstr>
      <vt:lpstr>'PF 7112F'!input_max_amnshp</vt:lpstr>
      <vt:lpstr>'PF 8222F'!input_max_amnshp</vt:lpstr>
      <vt:lpstr>'PF 8231F'!input_max_amnshp</vt:lpstr>
      <vt:lpstr>'PF 8332F'!input_max_amnshp</vt:lpstr>
      <vt:lpstr>'PF 8340R'!input_max_amnshp</vt:lpstr>
      <vt:lpstr>'SY 6131F'!input_max_amnshp</vt:lpstr>
      <vt:lpstr>'SY 6132R'!input_max_amnshp</vt:lpstr>
      <vt:lpstr>'SY 7212F'!input_max_amnshp</vt:lpstr>
      <vt:lpstr>'SY 7511F'!input_max_amnshp</vt:lpstr>
      <vt:lpstr>'TF 6241F'!input_max_amnshp</vt:lpstr>
      <vt:lpstr>'TF 6251F'!input_max_amnshp</vt:lpstr>
      <vt:lpstr>'TF 6402R'!input_max_amnshp</vt:lpstr>
      <vt:lpstr>'TF 6403R'!input_max_amnshp</vt:lpstr>
      <vt:lpstr>'TF 7113R'!input_max_amnshp</vt:lpstr>
      <vt:lpstr>'TF 7123R'!input_max_amnshp</vt:lpstr>
      <vt:lpstr>'TF 7133R'!input_max_amnshp</vt:lpstr>
      <vt:lpstr>'TF 7502R'!input_max_amnshp</vt:lpstr>
      <vt:lpstr>'FQ 6241F'!input_maxb</vt:lpstr>
      <vt:lpstr>'FQ 6251F'!input_maxb</vt:lpstr>
      <vt:lpstr>'FQ 7232F'!input_maxb</vt:lpstr>
      <vt:lpstr>'FQ 8121F'!input_maxb</vt:lpstr>
      <vt:lpstr>'FQ 8141F'!input_maxb</vt:lpstr>
      <vt:lpstr>'FQ 9111F'!input_maxb</vt:lpstr>
      <vt:lpstr>'FQ 9211F'!input_maxb</vt:lpstr>
      <vt:lpstr>'FQ 9221F'!input_maxb</vt:lpstr>
      <vt:lpstr>'FQ 9246F'!input_maxb</vt:lpstr>
      <vt:lpstr>'FQ 9511F'!input_maxb</vt:lpstr>
      <vt:lpstr>'PF 6121F'!input_maxb</vt:lpstr>
      <vt:lpstr>'PF 6221F'!input_maxb</vt:lpstr>
      <vt:lpstr>'PF 7112F'!input_maxb</vt:lpstr>
      <vt:lpstr>'PF 8222F'!input_maxb</vt:lpstr>
      <vt:lpstr>'PF 8231F'!input_maxb</vt:lpstr>
      <vt:lpstr>'PF 8332F'!input_maxb</vt:lpstr>
      <vt:lpstr>'PF 8340R'!input_maxb</vt:lpstr>
      <vt:lpstr>'SY 6131F'!input_maxb</vt:lpstr>
      <vt:lpstr>'SY 6132R'!input_maxb</vt:lpstr>
      <vt:lpstr>'SY 7212F'!input_maxb</vt:lpstr>
      <vt:lpstr>'SY 7511F'!input_maxb</vt:lpstr>
      <vt:lpstr>'TF 6241F'!input_maxb</vt:lpstr>
      <vt:lpstr>'TF 6251F'!input_maxb</vt:lpstr>
      <vt:lpstr>'TF 6402R'!input_maxb</vt:lpstr>
      <vt:lpstr>'TF 6403R'!input_maxb</vt:lpstr>
      <vt:lpstr>'TF 7113R'!input_maxb</vt:lpstr>
      <vt:lpstr>'TF 7123R'!input_maxb</vt:lpstr>
      <vt:lpstr>'TF 7133R'!input_maxb</vt:lpstr>
      <vt:lpstr>'TF 7502R'!input_maxb</vt:lpstr>
      <vt:lpstr>'FQ 6241F'!input_rubric</vt:lpstr>
      <vt:lpstr>'FQ 6251F'!input_rubric</vt:lpstr>
      <vt:lpstr>'FQ 7232F'!input_rubric</vt:lpstr>
      <vt:lpstr>'FQ 8121F'!input_rubric</vt:lpstr>
      <vt:lpstr>'FQ 8141F'!input_rubric</vt:lpstr>
      <vt:lpstr>'FQ 9111F'!input_rubric</vt:lpstr>
      <vt:lpstr>'FQ 9211F'!input_rubric</vt:lpstr>
      <vt:lpstr>'FQ 9221F'!input_rubric</vt:lpstr>
      <vt:lpstr>'FQ 9246F'!input_rubric</vt:lpstr>
      <vt:lpstr>'FQ 9511F'!input_rubric</vt:lpstr>
      <vt:lpstr>'PF 6121F'!input_rubric</vt:lpstr>
      <vt:lpstr>'PF 6221F'!input_rubric</vt:lpstr>
      <vt:lpstr>'PF 7112F'!input_rubric</vt:lpstr>
      <vt:lpstr>'PF 8222F'!input_rubric</vt:lpstr>
      <vt:lpstr>'PF 8231F'!input_rubric</vt:lpstr>
      <vt:lpstr>'PF 8332F'!input_rubric</vt:lpstr>
      <vt:lpstr>'PF 8340R'!input_rubric</vt:lpstr>
      <vt:lpstr>'SY 6131F'!input_rubric</vt:lpstr>
      <vt:lpstr>'SY 6132R'!input_rubric</vt:lpstr>
      <vt:lpstr>'SY 7212F'!input_rubric</vt:lpstr>
      <vt:lpstr>'SY 7511F'!input_rubric</vt:lpstr>
      <vt:lpstr>'TF 6241F'!input_rubric</vt:lpstr>
      <vt:lpstr>'TF 6251F'!input_rubric</vt:lpstr>
      <vt:lpstr>'TF 6402R'!input_rubric</vt:lpstr>
      <vt:lpstr>'TF 6403R'!input_rubric</vt:lpstr>
      <vt:lpstr>'TF 7113R'!input_rubric</vt:lpstr>
      <vt:lpstr>'TF 7123R'!input_rubric</vt:lpstr>
      <vt:lpstr>'TF 7133R'!input_rubric</vt:lpstr>
      <vt:lpstr>'TF 7502R'!input_rubric</vt:lpstr>
      <vt:lpstr>'FQ 6241F'!input_sc2g</vt:lpstr>
      <vt:lpstr>'FQ 6251F'!input_sc2g</vt:lpstr>
      <vt:lpstr>'FQ 7232F'!input_sc2g</vt:lpstr>
      <vt:lpstr>'FQ 8121F'!input_sc2g</vt:lpstr>
      <vt:lpstr>'FQ 8141F'!input_sc2g</vt:lpstr>
      <vt:lpstr>'FQ 9111F'!input_sc2g</vt:lpstr>
      <vt:lpstr>'FQ 9211F'!input_sc2g</vt:lpstr>
      <vt:lpstr>'FQ 9221F'!input_sc2g</vt:lpstr>
      <vt:lpstr>'FQ 9246F'!input_sc2g</vt:lpstr>
      <vt:lpstr>'FQ 9511F'!input_sc2g</vt:lpstr>
      <vt:lpstr>'PF 6121F'!input_sc2g</vt:lpstr>
      <vt:lpstr>'PF 6221F'!input_sc2g</vt:lpstr>
      <vt:lpstr>'PF 7112F'!input_sc2g</vt:lpstr>
      <vt:lpstr>'PF 8222F'!input_sc2g</vt:lpstr>
      <vt:lpstr>'PF 8231F'!input_sc2g</vt:lpstr>
      <vt:lpstr>'PF 8332F'!input_sc2g</vt:lpstr>
      <vt:lpstr>'PF 8340R'!input_sc2g</vt:lpstr>
      <vt:lpstr>'SY 6131F'!input_sc2g</vt:lpstr>
      <vt:lpstr>'SY 6132R'!input_sc2g</vt:lpstr>
      <vt:lpstr>'SY 7212F'!input_sc2g</vt:lpstr>
      <vt:lpstr>'SY 7511F'!input_sc2g</vt:lpstr>
      <vt:lpstr>'TF 6241F'!input_sc2g</vt:lpstr>
      <vt:lpstr>'TF 6251F'!input_sc2g</vt:lpstr>
      <vt:lpstr>'TF 6402R'!input_sc2g</vt:lpstr>
      <vt:lpstr>'TF 6403R'!input_sc2g</vt:lpstr>
      <vt:lpstr>'TF 7113R'!input_sc2g</vt:lpstr>
      <vt:lpstr>'TF 7123R'!input_sc2g</vt:lpstr>
      <vt:lpstr>'TF 7133R'!input_sc2g</vt:lpstr>
      <vt:lpstr>'TF 7502R'!input_sc2g</vt:lpstr>
      <vt:lpstr>'FQ 6241F'!input_studs</vt:lpstr>
      <vt:lpstr>'FQ 6251F'!input_studs</vt:lpstr>
      <vt:lpstr>'FQ 7232F'!input_studs</vt:lpstr>
      <vt:lpstr>'FQ 8121F'!input_studs</vt:lpstr>
      <vt:lpstr>'FQ 8141F'!input_studs</vt:lpstr>
      <vt:lpstr>'FQ 9111F'!input_studs</vt:lpstr>
      <vt:lpstr>'FQ 9211F'!input_studs</vt:lpstr>
      <vt:lpstr>'FQ 9221F'!input_studs</vt:lpstr>
      <vt:lpstr>'FQ 9246F'!input_studs</vt:lpstr>
      <vt:lpstr>'FQ 9511F'!input_studs</vt:lpstr>
      <vt:lpstr>'PF 6121F'!input_studs</vt:lpstr>
      <vt:lpstr>'PF 6221F'!input_studs</vt:lpstr>
      <vt:lpstr>'PF 7112F'!input_studs</vt:lpstr>
      <vt:lpstr>'PF 8222F'!input_studs</vt:lpstr>
      <vt:lpstr>'PF 8231F'!input_studs</vt:lpstr>
      <vt:lpstr>'PF 8332F'!input_studs</vt:lpstr>
      <vt:lpstr>'PF 8340R'!input_studs</vt:lpstr>
      <vt:lpstr>'SY 6131F'!input_studs</vt:lpstr>
      <vt:lpstr>'SY 6132R'!input_studs</vt:lpstr>
      <vt:lpstr>'SY 7212F'!input_studs</vt:lpstr>
      <vt:lpstr>'SY 7511F'!input_studs</vt:lpstr>
      <vt:lpstr>'TF 6241F'!input_studs</vt:lpstr>
      <vt:lpstr>'TF 6251F'!input_studs</vt:lpstr>
      <vt:lpstr>'TF 6402R'!input_studs</vt:lpstr>
      <vt:lpstr>'TF 6403R'!input_studs</vt:lpstr>
      <vt:lpstr>'TF 7113R'!input_studs</vt:lpstr>
      <vt:lpstr>'TF 7123R'!input_studs</vt:lpstr>
      <vt:lpstr>'TF 7133R'!input_studs</vt:lpstr>
      <vt:lpstr>'TF 7502R'!input_studs</vt:lpstr>
      <vt:lpstr>'FQ 6241F'!input_test</vt:lpstr>
      <vt:lpstr>'FQ 6251F'!input_test</vt:lpstr>
      <vt:lpstr>'FQ 7232F'!input_test</vt:lpstr>
      <vt:lpstr>'FQ 8121F'!input_test</vt:lpstr>
      <vt:lpstr>'FQ 8141F'!input_test</vt:lpstr>
      <vt:lpstr>'FQ 9111F'!input_test</vt:lpstr>
      <vt:lpstr>'FQ 9211F'!input_test</vt:lpstr>
      <vt:lpstr>'FQ 9221F'!input_test</vt:lpstr>
      <vt:lpstr>'FQ 9246F'!input_test</vt:lpstr>
      <vt:lpstr>'FQ 9511F'!input_test</vt:lpstr>
      <vt:lpstr>'PF 6121F'!input_test</vt:lpstr>
      <vt:lpstr>'PF 6221F'!input_test</vt:lpstr>
      <vt:lpstr>'PF 7112F'!input_test</vt:lpstr>
      <vt:lpstr>'PF 8222F'!input_test</vt:lpstr>
      <vt:lpstr>'PF 8231F'!input_test</vt:lpstr>
      <vt:lpstr>'PF 8332F'!input_test</vt:lpstr>
      <vt:lpstr>'PF 8340R'!input_test</vt:lpstr>
      <vt:lpstr>'SY 6131F'!input_test</vt:lpstr>
      <vt:lpstr>'SY 6132R'!input_test</vt:lpstr>
      <vt:lpstr>'SY 7212F'!input_test</vt:lpstr>
      <vt:lpstr>'SY 7511F'!input_test</vt:lpstr>
      <vt:lpstr>'TF 6241F'!input_test</vt:lpstr>
      <vt:lpstr>'TF 6251F'!input_test</vt:lpstr>
      <vt:lpstr>'TF 6402R'!input_test</vt:lpstr>
      <vt:lpstr>'TF 6403R'!input_test</vt:lpstr>
      <vt:lpstr>'TF 7113R'!input_test</vt:lpstr>
      <vt:lpstr>'TF 7123R'!input_test</vt:lpstr>
      <vt:lpstr>'TF 7133R'!input_test</vt:lpstr>
      <vt:lpstr>'TF 7502R'!input_test</vt:lpstr>
      <vt:lpstr>'FQ 6241F'!input_title</vt:lpstr>
      <vt:lpstr>'FQ 6251F'!input_title</vt:lpstr>
      <vt:lpstr>'FQ 7232F'!input_title</vt:lpstr>
      <vt:lpstr>'FQ 8121F'!input_title</vt:lpstr>
      <vt:lpstr>'FQ 8141F'!input_title</vt:lpstr>
      <vt:lpstr>'FQ 9111F'!input_title</vt:lpstr>
      <vt:lpstr>'FQ 9211F'!input_title</vt:lpstr>
      <vt:lpstr>'FQ 9221F'!input_title</vt:lpstr>
      <vt:lpstr>'FQ 9246F'!input_title</vt:lpstr>
      <vt:lpstr>'FQ 9511F'!input_title</vt:lpstr>
      <vt:lpstr>'PF 6121F'!input_title</vt:lpstr>
      <vt:lpstr>'PF 6221F'!input_title</vt:lpstr>
      <vt:lpstr>'PF 7112F'!input_title</vt:lpstr>
      <vt:lpstr>'PF 8222F'!input_title</vt:lpstr>
      <vt:lpstr>'PF 8231F'!input_title</vt:lpstr>
      <vt:lpstr>'PF 8332F'!input_title</vt:lpstr>
      <vt:lpstr>'PF 8340R'!input_title</vt:lpstr>
      <vt:lpstr>'SY 6131F'!input_title</vt:lpstr>
      <vt:lpstr>'SY 6132R'!input_title</vt:lpstr>
      <vt:lpstr>'SY 7212F'!input_title</vt:lpstr>
      <vt:lpstr>'SY 7511F'!input_title</vt:lpstr>
      <vt:lpstr>'TF 6241F'!input_title</vt:lpstr>
      <vt:lpstr>'TF 6251F'!input_title</vt:lpstr>
      <vt:lpstr>'TF 6402R'!input_title</vt:lpstr>
      <vt:lpstr>'TF 6403R'!input_title</vt:lpstr>
      <vt:lpstr>'TF 7113R'!input_title</vt:lpstr>
      <vt:lpstr>'TF 7123R'!input_title</vt:lpstr>
      <vt:lpstr>'TF 7133R'!input_title</vt:lpstr>
      <vt:lpstr>'FQ 6241F'!input_type</vt:lpstr>
      <vt:lpstr>'FQ 6251F'!input_type</vt:lpstr>
      <vt:lpstr>'FQ 7232F'!input_type</vt:lpstr>
      <vt:lpstr>'FQ 8121F'!input_type</vt:lpstr>
      <vt:lpstr>'FQ 8141F'!input_type</vt:lpstr>
      <vt:lpstr>'FQ 9111F'!input_type</vt:lpstr>
      <vt:lpstr>'FQ 9211F'!input_type</vt:lpstr>
      <vt:lpstr>'FQ 9221F'!input_type</vt:lpstr>
      <vt:lpstr>'FQ 9246F'!input_type</vt:lpstr>
      <vt:lpstr>'FQ 9511F'!input_type</vt:lpstr>
      <vt:lpstr>'PF 6121F'!input_type</vt:lpstr>
      <vt:lpstr>'PF 6221F'!input_type</vt:lpstr>
      <vt:lpstr>'PF 7112F'!input_type</vt:lpstr>
      <vt:lpstr>'PF 8222F'!input_type</vt:lpstr>
      <vt:lpstr>'PF 8231F'!input_type</vt:lpstr>
      <vt:lpstr>'PF 8332F'!input_type</vt:lpstr>
      <vt:lpstr>'PF 8340R'!input_type</vt:lpstr>
      <vt:lpstr>'SY 6131F'!input_type</vt:lpstr>
      <vt:lpstr>'SY 6132R'!input_type</vt:lpstr>
      <vt:lpstr>'SY 7212F'!input_type</vt:lpstr>
      <vt:lpstr>'SY 7511F'!input_type</vt:lpstr>
      <vt:lpstr>'TF 6241F'!input_type</vt:lpstr>
      <vt:lpstr>'TF 6251F'!input_type</vt:lpstr>
      <vt:lpstr>'TF 6402R'!input_type</vt:lpstr>
      <vt:lpstr>'TF 6403R'!input_type</vt:lpstr>
      <vt:lpstr>'TF 7113R'!input_type</vt:lpstr>
      <vt:lpstr>'TF 7123R'!input_type</vt:lpstr>
      <vt:lpstr>'TF 7133R'!input_type</vt:lpstr>
      <vt:lpstr>'TF 7502R'!input_type</vt:lpstr>
      <vt:lpstr>'FQ 6241F'!input_version</vt:lpstr>
      <vt:lpstr>'FQ 6251F'!input_version</vt:lpstr>
      <vt:lpstr>'FQ 7232F'!input_version</vt:lpstr>
      <vt:lpstr>'FQ 8121F'!input_version</vt:lpstr>
      <vt:lpstr>'FQ 8141F'!input_version</vt:lpstr>
      <vt:lpstr>'FQ 9111F'!input_version</vt:lpstr>
      <vt:lpstr>'FQ 9211F'!input_version</vt:lpstr>
      <vt:lpstr>'FQ 9221F'!input_version</vt:lpstr>
      <vt:lpstr>'FQ 9246F'!input_version</vt:lpstr>
      <vt:lpstr>'FQ 9511F'!input_version</vt:lpstr>
      <vt:lpstr>'PF 6121F'!input_version</vt:lpstr>
      <vt:lpstr>'PF 6221F'!input_version</vt:lpstr>
      <vt:lpstr>'PF 7112F'!input_version</vt:lpstr>
      <vt:lpstr>'PF 8222F'!input_version</vt:lpstr>
      <vt:lpstr>'PF 8231F'!input_version</vt:lpstr>
      <vt:lpstr>'PF 8332F'!input_version</vt:lpstr>
      <vt:lpstr>'PF 8340R'!input_version</vt:lpstr>
      <vt:lpstr>'SY 6131F'!input_version</vt:lpstr>
      <vt:lpstr>'SY 6132R'!input_version</vt:lpstr>
      <vt:lpstr>'SY 7212F'!input_version</vt:lpstr>
      <vt:lpstr>'SY 7511F'!input_version</vt:lpstr>
      <vt:lpstr>'TF 6241F'!input_version</vt:lpstr>
      <vt:lpstr>'TF 6251F'!input_version</vt:lpstr>
      <vt:lpstr>'TF 6402R'!input_version</vt:lpstr>
      <vt:lpstr>'TF 6403R'!input_version</vt:lpstr>
      <vt:lpstr>'TF 7113R'!input_version</vt:lpstr>
      <vt:lpstr>'TF 7123R'!input_version</vt:lpstr>
      <vt:lpstr>'TF 7133R'!input_version</vt:lpstr>
      <vt:lpstr>'TF 7502R'!input_version</vt:lpstr>
      <vt:lpstr>'FQ 6321R'!instr_sign</vt:lpstr>
      <vt:lpstr>'FQ 8210Y'!instr_sign</vt:lpstr>
      <vt:lpstr>'FQ 9248Y'!instr_sign</vt:lpstr>
      <vt:lpstr>'PF 7121R'!instr_sign</vt:lpstr>
      <vt:lpstr>'PF 8340R'!instr_sign</vt:lpstr>
      <vt:lpstr>'PF 8351Y'!instr_sign</vt:lpstr>
      <vt:lpstr>'SY 6132R'!instr_sign</vt:lpstr>
      <vt:lpstr>'TF 6402R'!instr_sign</vt:lpstr>
      <vt:lpstr>'TF 6403R'!instr_sign</vt:lpstr>
      <vt:lpstr>'TF 7113R'!instr_sign</vt:lpstr>
      <vt:lpstr>'TF 7123R'!instr_sign</vt:lpstr>
      <vt:lpstr>'TF 7133R'!instr_sign</vt:lpstr>
      <vt:lpstr>'TF 7502R'!instr_sign</vt:lpstr>
      <vt:lpstr>instr_sign</vt:lpstr>
      <vt:lpstr>'FQ 6321R'!instructor</vt:lpstr>
      <vt:lpstr>'FQ 8210Y'!instructor</vt:lpstr>
      <vt:lpstr>'FQ 9248Y'!instructor</vt:lpstr>
      <vt:lpstr>'PF 6241R'!instructor</vt:lpstr>
      <vt:lpstr>'PF 7121R'!instructor</vt:lpstr>
      <vt:lpstr>'PF 8340R'!instructor</vt:lpstr>
      <vt:lpstr>'PF 8351Y'!instructor</vt:lpstr>
      <vt:lpstr>'SY 6132R'!instructor</vt:lpstr>
      <vt:lpstr>'TF 6402R'!instructor</vt:lpstr>
      <vt:lpstr>'TF 6403R'!instructor</vt:lpstr>
      <vt:lpstr>'TF 7113R'!instructor</vt:lpstr>
      <vt:lpstr>'TF 7123R'!instructor</vt:lpstr>
      <vt:lpstr>'TF 7133R'!instructor</vt:lpstr>
      <vt:lpstr>'TF 7502R'!instructor</vt:lpstr>
      <vt:lpstr>'FQ 6241F'!IP_sig</vt:lpstr>
      <vt:lpstr>'FQ 6251F'!IP_sig</vt:lpstr>
      <vt:lpstr>'FQ 7232F'!IP_sig</vt:lpstr>
      <vt:lpstr>'FQ 8121F'!IP_sig</vt:lpstr>
      <vt:lpstr>'FQ 8141F'!IP_sig</vt:lpstr>
      <vt:lpstr>'FQ 9111F'!IP_sig</vt:lpstr>
      <vt:lpstr>'FQ 9211F'!IP_sig</vt:lpstr>
      <vt:lpstr>'FQ 9221F'!IP_sig</vt:lpstr>
      <vt:lpstr>'FQ 9246F'!IP_sig</vt:lpstr>
      <vt:lpstr>'FQ 9511F'!IP_sig</vt:lpstr>
      <vt:lpstr>'PF 6121F'!IP_sig</vt:lpstr>
      <vt:lpstr>'PF 6221F'!IP_sig</vt:lpstr>
      <vt:lpstr>'PF 7112F'!IP_sig</vt:lpstr>
      <vt:lpstr>'PF 8222F'!IP_sig</vt:lpstr>
      <vt:lpstr>'PF 8231F'!IP_sig</vt:lpstr>
      <vt:lpstr>'PF 8332F'!IP_sig</vt:lpstr>
      <vt:lpstr>'PF 8340R'!IP_sig</vt:lpstr>
      <vt:lpstr>'SY 6131F'!IP_sig</vt:lpstr>
      <vt:lpstr>'SY 6132R'!IP_sig</vt:lpstr>
      <vt:lpstr>'SY 7212F'!IP_sig</vt:lpstr>
      <vt:lpstr>'SY 7511F'!IP_sig</vt:lpstr>
      <vt:lpstr>'TF 6241F'!IP_sig</vt:lpstr>
      <vt:lpstr>'TF 6251F'!IP_sig</vt:lpstr>
      <vt:lpstr>'TF 6402R'!IP_sig</vt:lpstr>
      <vt:lpstr>'TF 6403R'!IP_sig</vt:lpstr>
      <vt:lpstr>'TF 7113R'!IP_sig</vt:lpstr>
      <vt:lpstr>'TF 7123R'!IP_sig</vt:lpstr>
      <vt:lpstr>'TF 7133R'!IP_sig</vt:lpstr>
      <vt:lpstr>'FQ 6241F'!line_numbers</vt:lpstr>
      <vt:lpstr>'FQ 6251F'!line_numbers</vt:lpstr>
      <vt:lpstr>'FQ 7232F'!line_numbers</vt:lpstr>
      <vt:lpstr>'FQ 8121F'!line_numbers</vt:lpstr>
      <vt:lpstr>'FQ 8141F'!line_numbers</vt:lpstr>
      <vt:lpstr>'FQ 9111F'!line_numbers</vt:lpstr>
      <vt:lpstr>'FQ 9211F'!line_numbers</vt:lpstr>
      <vt:lpstr>'FQ 9221F'!line_numbers</vt:lpstr>
      <vt:lpstr>'FQ 9246F'!line_numbers</vt:lpstr>
      <vt:lpstr>'FQ 9511F'!line_numbers</vt:lpstr>
      <vt:lpstr>'PF 6121F'!line_numbers</vt:lpstr>
      <vt:lpstr>'PF 6221F'!line_numbers</vt:lpstr>
      <vt:lpstr>'PF 7112F'!line_numbers</vt:lpstr>
      <vt:lpstr>'PF 8222F'!line_numbers</vt:lpstr>
      <vt:lpstr>'PF 8231F'!line_numbers</vt:lpstr>
      <vt:lpstr>'PF 8332F'!line_numbers</vt:lpstr>
      <vt:lpstr>'PF 8340R'!line_numbers</vt:lpstr>
      <vt:lpstr>'SY 6131F'!line_numbers</vt:lpstr>
      <vt:lpstr>'SY 6132R'!line_numbers</vt:lpstr>
      <vt:lpstr>'SY 7212F'!line_numbers</vt:lpstr>
      <vt:lpstr>'SY 7511F'!line_numbers</vt:lpstr>
      <vt:lpstr>'TF 6241F'!line_numbers</vt:lpstr>
      <vt:lpstr>'TF 6251F'!line_numbers</vt:lpstr>
      <vt:lpstr>'TF 6402R'!line_numbers</vt:lpstr>
      <vt:lpstr>'TF 6403R'!line_numbers</vt:lpstr>
      <vt:lpstr>'TF 7113R'!line_numbers</vt:lpstr>
      <vt:lpstr>'TF 7123R'!line_numbers</vt:lpstr>
      <vt:lpstr>'TF 7133R'!line_numbers</vt:lpstr>
      <vt:lpstr>'TF 7502R'!line_numbers</vt:lpstr>
      <vt:lpstr>'FQ 6241F'!Locked</vt:lpstr>
      <vt:lpstr>'FQ 6251F'!Locked</vt:lpstr>
      <vt:lpstr>'FQ 7232F'!Locked</vt:lpstr>
      <vt:lpstr>'FQ 8121F'!Locked</vt:lpstr>
      <vt:lpstr>'FQ 8141F'!Locked</vt:lpstr>
      <vt:lpstr>'FQ 9111F'!Locked</vt:lpstr>
      <vt:lpstr>'FQ 9211F'!Locked</vt:lpstr>
      <vt:lpstr>'FQ 9221F'!Locked</vt:lpstr>
      <vt:lpstr>'FQ 9246F'!Locked</vt:lpstr>
      <vt:lpstr>'FQ 9511F'!Locked</vt:lpstr>
      <vt:lpstr>'PF 6121F'!Locked</vt:lpstr>
      <vt:lpstr>'PF 6221F'!Locked</vt:lpstr>
      <vt:lpstr>'PF 7112F'!Locked</vt:lpstr>
      <vt:lpstr>'PF 8222F'!Locked</vt:lpstr>
      <vt:lpstr>'PF 8231F'!Locked</vt:lpstr>
      <vt:lpstr>'PF 8332F'!Locked</vt:lpstr>
      <vt:lpstr>'PF 8340R'!Locked</vt:lpstr>
      <vt:lpstr>'SY 6131F'!Locked</vt:lpstr>
      <vt:lpstr>'SY 6132R'!Locked</vt:lpstr>
      <vt:lpstr>'SY 7212F'!Locked</vt:lpstr>
      <vt:lpstr>'SY 7511F'!Locked</vt:lpstr>
      <vt:lpstr>'TF 6241F'!Locked</vt:lpstr>
      <vt:lpstr>'TF 6251F'!Locked</vt:lpstr>
      <vt:lpstr>'TF 6402R'!Locked</vt:lpstr>
      <vt:lpstr>'TF 6403R'!Locked</vt:lpstr>
      <vt:lpstr>'TF 7113R'!Locked</vt:lpstr>
      <vt:lpstr>'TF 7123R'!Locked</vt:lpstr>
      <vt:lpstr>'TF 7133R'!Locked</vt:lpstr>
      <vt:lpstr>'TF 7502R'!Locked</vt:lpstr>
      <vt:lpstr>'FQ 6241F'!Made</vt:lpstr>
      <vt:lpstr>'FQ 6251F'!Made</vt:lpstr>
      <vt:lpstr>'FQ 7232F'!Made</vt:lpstr>
      <vt:lpstr>'FQ 8121F'!Made</vt:lpstr>
      <vt:lpstr>'FQ 8141F'!Made</vt:lpstr>
      <vt:lpstr>'FQ 9111F'!Made</vt:lpstr>
      <vt:lpstr>'FQ 9211F'!Made</vt:lpstr>
      <vt:lpstr>'FQ 9221F'!Made</vt:lpstr>
      <vt:lpstr>'FQ 9246F'!Made</vt:lpstr>
      <vt:lpstr>'FQ 9511F'!Made</vt:lpstr>
      <vt:lpstr>'PF 6121F'!Made</vt:lpstr>
      <vt:lpstr>'PF 6221F'!Made</vt:lpstr>
      <vt:lpstr>'PF 7112F'!Made</vt:lpstr>
      <vt:lpstr>'PF 8222F'!Made</vt:lpstr>
      <vt:lpstr>'PF 8231F'!Made</vt:lpstr>
      <vt:lpstr>'PF 8332F'!Made</vt:lpstr>
      <vt:lpstr>'PF 8340R'!Made</vt:lpstr>
      <vt:lpstr>'SY 6131F'!Made</vt:lpstr>
      <vt:lpstr>'SY 6132R'!Made</vt:lpstr>
      <vt:lpstr>'SY 7212F'!Made</vt:lpstr>
      <vt:lpstr>'SY 7511F'!Made</vt:lpstr>
      <vt:lpstr>'TF 6241F'!Made</vt:lpstr>
      <vt:lpstr>'TF 6251F'!Made</vt:lpstr>
      <vt:lpstr>'TF 6402R'!Made</vt:lpstr>
      <vt:lpstr>'TF 6403R'!Made</vt:lpstr>
      <vt:lpstr>'TF 7113R'!Made</vt:lpstr>
      <vt:lpstr>'TF 7123R'!Made</vt:lpstr>
      <vt:lpstr>'TF 7133R'!Made</vt:lpstr>
      <vt:lpstr>'TF 7502R'!Made</vt:lpstr>
      <vt:lpstr>'FQ 6241F'!mins</vt:lpstr>
      <vt:lpstr>'FQ 6251F'!mins</vt:lpstr>
      <vt:lpstr>'FQ 7232F'!mins</vt:lpstr>
      <vt:lpstr>'FQ 8121F'!mins</vt:lpstr>
      <vt:lpstr>'FQ 8141F'!mins</vt:lpstr>
      <vt:lpstr>'FQ 9111F'!mins</vt:lpstr>
      <vt:lpstr>'FQ 9211F'!mins</vt:lpstr>
      <vt:lpstr>'FQ 9221F'!mins</vt:lpstr>
      <vt:lpstr>'FQ 9246F'!mins</vt:lpstr>
      <vt:lpstr>'FQ 9511F'!mins</vt:lpstr>
      <vt:lpstr>'PF 6121F'!mins</vt:lpstr>
      <vt:lpstr>'PF 6221F'!mins</vt:lpstr>
      <vt:lpstr>'PF 7112F'!mins</vt:lpstr>
      <vt:lpstr>'PF 8222F'!mins</vt:lpstr>
      <vt:lpstr>'PF 8231F'!mins</vt:lpstr>
      <vt:lpstr>'PF 8332F'!mins</vt:lpstr>
      <vt:lpstr>'PF 8340R'!mins</vt:lpstr>
      <vt:lpstr>'SY 6131F'!mins</vt:lpstr>
      <vt:lpstr>'SY 6132R'!mins</vt:lpstr>
      <vt:lpstr>'SY 7212F'!mins</vt:lpstr>
      <vt:lpstr>'SY 7511F'!mins</vt:lpstr>
      <vt:lpstr>'TF 6241F'!mins</vt:lpstr>
      <vt:lpstr>'TF 6251F'!mins</vt:lpstr>
      <vt:lpstr>'TF 6402R'!mins</vt:lpstr>
      <vt:lpstr>'TF 6403R'!mins</vt:lpstr>
      <vt:lpstr>'TF 7113R'!mins</vt:lpstr>
      <vt:lpstr>'TF 7123R'!mins</vt:lpstr>
      <vt:lpstr>'TF 7133R'!mins</vt:lpstr>
      <vt:lpstr>'TF 7502R'!mins</vt:lpstr>
      <vt:lpstr>'FQ 6321R'!name</vt:lpstr>
      <vt:lpstr>'FQ 8210Y'!name</vt:lpstr>
      <vt:lpstr>'FQ 9248Y'!name</vt:lpstr>
      <vt:lpstr>'PF 6241R'!name</vt:lpstr>
      <vt:lpstr>'PF 7121R'!name</vt:lpstr>
      <vt:lpstr>'PF 8351Y'!name</vt:lpstr>
      <vt:lpstr>'SY 6132R'!name</vt:lpstr>
      <vt:lpstr>'TF 6402R'!name</vt:lpstr>
      <vt:lpstr>'TF 6403R'!name</vt:lpstr>
      <vt:lpstr>'TF 7113R'!name</vt:lpstr>
      <vt:lpstr>'TF 7123R'!name</vt:lpstr>
      <vt:lpstr>'TF 7133R'!name</vt:lpstr>
      <vt:lpstr>'TF 7502R'!name</vt:lpstr>
      <vt:lpstr>name</vt:lpstr>
      <vt:lpstr>'FQ 6241F'!numreq</vt:lpstr>
      <vt:lpstr>'FQ 6251F'!numreq</vt:lpstr>
      <vt:lpstr>'FQ 7232F'!numreq</vt:lpstr>
      <vt:lpstr>'FQ 8121F'!numreq</vt:lpstr>
      <vt:lpstr>'FQ 8141F'!numreq</vt:lpstr>
      <vt:lpstr>'FQ 9111F'!numreq</vt:lpstr>
      <vt:lpstr>'FQ 9211F'!numreq</vt:lpstr>
      <vt:lpstr>'FQ 9221F'!numreq</vt:lpstr>
      <vt:lpstr>'FQ 9246F'!numreq</vt:lpstr>
      <vt:lpstr>'FQ 9511F'!numreq</vt:lpstr>
      <vt:lpstr>'PF 6121F'!numreq</vt:lpstr>
      <vt:lpstr>'PF 6221F'!numreq</vt:lpstr>
      <vt:lpstr>'PF 7112F'!numreq</vt:lpstr>
      <vt:lpstr>'PF 8222F'!numreq</vt:lpstr>
      <vt:lpstr>'PF 8231F'!numreq</vt:lpstr>
      <vt:lpstr>'PF 8332F'!numreq</vt:lpstr>
      <vt:lpstr>'PF 8340R'!numreq</vt:lpstr>
      <vt:lpstr>'SY 6131F'!numreq</vt:lpstr>
      <vt:lpstr>'SY 6132R'!numreq</vt:lpstr>
      <vt:lpstr>'SY 7212F'!numreq</vt:lpstr>
      <vt:lpstr>'SY 7511F'!numreq</vt:lpstr>
      <vt:lpstr>'TF 6241F'!numreq</vt:lpstr>
      <vt:lpstr>'TF 6251F'!numreq</vt:lpstr>
      <vt:lpstr>'TF 6402R'!numreq</vt:lpstr>
      <vt:lpstr>'TF 6403R'!numreq</vt:lpstr>
      <vt:lpstr>'TF 7113R'!numreq</vt:lpstr>
      <vt:lpstr>'TF 7123R'!numreq</vt:lpstr>
      <vt:lpstr>'TF 7133R'!numreq</vt:lpstr>
      <vt:lpstr>'TF 7502R'!numreq</vt:lpstr>
      <vt:lpstr>'FQ 6241F'!Print_Area</vt:lpstr>
      <vt:lpstr>'FQ 6251F'!Print_Area</vt:lpstr>
      <vt:lpstr>'FQ 7232F'!Print_Area</vt:lpstr>
      <vt:lpstr>'FQ 8121F'!Print_Area</vt:lpstr>
      <vt:lpstr>'FQ 8141F'!Print_Area</vt:lpstr>
      <vt:lpstr>'FQ 9111F'!Print_Area</vt:lpstr>
      <vt:lpstr>'FQ 9211F'!Print_Area</vt:lpstr>
      <vt:lpstr>'FQ 9221F'!Print_Area</vt:lpstr>
      <vt:lpstr>'FQ 9246F'!Print_Area</vt:lpstr>
      <vt:lpstr>'FQ 9511F'!Print_Area</vt:lpstr>
      <vt:lpstr>'PF 6121F'!Print_Area</vt:lpstr>
      <vt:lpstr>'PF 6221F'!Print_Area</vt:lpstr>
      <vt:lpstr>'PF 6241R'!Print_Area</vt:lpstr>
      <vt:lpstr>'PF 7112F'!Print_Area</vt:lpstr>
      <vt:lpstr>'PF 7121R'!Print_Area</vt:lpstr>
      <vt:lpstr>'PF 8222F'!Print_Area</vt:lpstr>
      <vt:lpstr>'PF 8231F'!Print_Area</vt:lpstr>
      <vt:lpstr>'PF 8332F'!Print_Area</vt:lpstr>
      <vt:lpstr>'PF 8340R'!Print_Area</vt:lpstr>
      <vt:lpstr>'PF 8351Y'!Print_Area</vt:lpstr>
      <vt:lpstr>'SY 6131F'!Print_Area</vt:lpstr>
      <vt:lpstr>'SY 6132R'!Print_Area</vt:lpstr>
      <vt:lpstr>'SY 7212F'!Print_Area</vt:lpstr>
      <vt:lpstr>'SY 7511F'!Print_Area</vt:lpstr>
      <vt:lpstr>'TF 6241F'!Print_Area</vt:lpstr>
      <vt:lpstr>'TF 6251F'!Print_Area</vt:lpstr>
      <vt:lpstr>'TF 6402R'!Print_Area</vt:lpstr>
      <vt:lpstr>'TF 6403R'!Print_Area</vt:lpstr>
      <vt:lpstr>'TF 7113R'!Print_Area</vt:lpstr>
      <vt:lpstr>'TF 7123R'!Print_Area</vt:lpstr>
      <vt:lpstr>'TF 7133R'!Print_Area</vt:lpstr>
      <vt:lpstr>'TF 7502R'!Print_Area</vt:lpstr>
      <vt:lpstr>'FQ 6241F'!ready_for_sig</vt:lpstr>
      <vt:lpstr>'FQ 6251F'!ready_for_sig</vt:lpstr>
      <vt:lpstr>'FQ 7232F'!ready_for_sig</vt:lpstr>
      <vt:lpstr>'FQ 8121F'!ready_for_sig</vt:lpstr>
      <vt:lpstr>'FQ 8141F'!ready_for_sig</vt:lpstr>
      <vt:lpstr>'FQ 9111F'!ready_for_sig</vt:lpstr>
      <vt:lpstr>'FQ 9211F'!ready_for_sig</vt:lpstr>
      <vt:lpstr>'FQ 9221F'!ready_for_sig</vt:lpstr>
      <vt:lpstr>'FQ 9246F'!ready_for_sig</vt:lpstr>
      <vt:lpstr>'FQ 9511F'!ready_for_sig</vt:lpstr>
      <vt:lpstr>'PF 6121F'!ready_for_sig</vt:lpstr>
      <vt:lpstr>'PF 6221F'!ready_for_sig</vt:lpstr>
      <vt:lpstr>'PF 7112F'!ready_for_sig</vt:lpstr>
      <vt:lpstr>'PF 8222F'!ready_for_sig</vt:lpstr>
      <vt:lpstr>'PF 8231F'!ready_for_sig</vt:lpstr>
      <vt:lpstr>'PF 8332F'!ready_for_sig</vt:lpstr>
      <vt:lpstr>'PF 8340R'!ready_for_sig</vt:lpstr>
      <vt:lpstr>'SY 6131F'!ready_for_sig</vt:lpstr>
      <vt:lpstr>'SY 6132R'!ready_for_sig</vt:lpstr>
      <vt:lpstr>'SY 7212F'!ready_for_sig</vt:lpstr>
      <vt:lpstr>'SY 7511F'!ready_for_sig</vt:lpstr>
      <vt:lpstr>'TF 6241F'!ready_for_sig</vt:lpstr>
      <vt:lpstr>'TF 6251F'!ready_for_sig</vt:lpstr>
      <vt:lpstr>'TF 6402R'!ready_for_sig</vt:lpstr>
      <vt:lpstr>'TF 6403R'!ready_for_sig</vt:lpstr>
      <vt:lpstr>'TF 7113R'!ready_for_sig</vt:lpstr>
      <vt:lpstr>'TF 7123R'!ready_for_sig</vt:lpstr>
      <vt:lpstr>'TF 7133R'!ready_for_sig</vt:lpstr>
      <vt:lpstr>'TF 7502R'!ready_for_sig</vt:lpstr>
      <vt:lpstr>'FQ 6321R'!report_grade</vt:lpstr>
      <vt:lpstr>'FQ 8210Y'!report_grade</vt:lpstr>
      <vt:lpstr>'FQ 9248Y'!report_grade</vt:lpstr>
      <vt:lpstr>'PF 6241R'!report_grade</vt:lpstr>
      <vt:lpstr>'PF 7121R'!report_grade</vt:lpstr>
      <vt:lpstr>'PF 8340R'!report_grade</vt:lpstr>
      <vt:lpstr>'PF 8351Y'!report_grade</vt:lpstr>
      <vt:lpstr>'SY 6132R'!report_grade</vt:lpstr>
      <vt:lpstr>'TF 6402R'!report_grade</vt:lpstr>
      <vt:lpstr>'TF 6403R'!report_grade</vt:lpstr>
      <vt:lpstr>'TF 7113R'!report_grade</vt:lpstr>
      <vt:lpstr>'TF 7123R'!report_grade</vt:lpstr>
      <vt:lpstr>'TF 7133R'!report_grade</vt:lpstr>
      <vt:lpstr>'TF 7502R'!report_grade</vt:lpstr>
      <vt:lpstr>'FQ 6241F'!scores</vt:lpstr>
      <vt:lpstr>'FQ 6251F'!scores</vt:lpstr>
      <vt:lpstr>'FQ 7232F'!scores</vt:lpstr>
      <vt:lpstr>'FQ 8121F'!scores</vt:lpstr>
      <vt:lpstr>'FQ 8141F'!scores</vt:lpstr>
      <vt:lpstr>'FQ 9111F'!scores</vt:lpstr>
      <vt:lpstr>'FQ 9211F'!scores</vt:lpstr>
      <vt:lpstr>'FQ 9221F'!scores</vt:lpstr>
      <vt:lpstr>'FQ 9246F'!scores</vt:lpstr>
      <vt:lpstr>'FQ 9511F'!scores</vt:lpstr>
      <vt:lpstr>'PF 6121F'!scores</vt:lpstr>
      <vt:lpstr>'PF 6221F'!scores</vt:lpstr>
      <vt:lpstr>'PF 7112F'!scores</vt:lpstr>
      <vt:lpstr>'PF 8222F'!scores</vt:lpstr>
      <vt:lpstr>'PF 8231F'!scores</vt:lpstr>
      <vt:lpstr>'PF 8332F'!scores</vt:lpstr>
      <vt:lpstr>'PF 8340R'!scores</vt:lpstr>
      <vt:lpstr>'SY 6131F'!scores</vt:lpstr>
      <vt:lpstr>'SY 6132R'!scores</vt:lpstr>
      <vt:lpstr>'SY 7212F'!scores</vt:lpstr>
      <vt:lpstr>'SY 7511F'!scores</vt:lpstr>
      <vt:lpstr>'TF 6241F'!scores</vt:lpstr>
      <vt:lpstr>'TF 6251F'!scores</vt:lpstr>
      <vt:lpstr>'TF 6402R'!scores</vt:lpstr>
      <vt:lpstr>'TF 6403R'!scores</vt:lpstr>
      <vt:lpstr>'TF 7113R'!scores</vt:lpstr>
      <vt:lpstr>'TF 7123R'!scores</vt:lpstr>
      <vt:lpstr>'TF 7133R'!scores</vt:lpstr>
      <vt:lpstr>'TF 7502R'!scores</vt:lpstr>
      <vt:lpstr>'FQ 6241F'!stud_sig</vt:lpstr>
      <vt:lpstr>'FQ 6251F'!stud_sig</vt:lpstr>
      <vt:lpstr>'FQ 7232F'!stud_sig</vt:lpstr>
      <vt:lpstr>'FQ 8121F'!stud_sig</vt:lpstr>
      <vt:lpstr>'FQ 8141F'!stud_sig</vt:lpstr>
      <vt:lpstr>'FQ 9111F'!stud_sig</vt:lpstr>
      <vt:lpstr>'FQ 9211F'!stud_sig</vt:lpstr>
      <vt:lpstr>'FQ 9221F'!stud_sig</vt:lpstr>
      <vt:lpstr>'FQ 9246F'!stud_sig</vt:lpstr>
      <vt:lpstr>'FQ 9511F'!stud_sig</vt:lpstr>
      <vt:lpstr>'PF 6121F'!stud_sig</vt:lpstr>
      <vt:lpstr>'PF 6221F'!stud_sig</vt:lpstr>
      <vt:lpstr>'PF 7112F'!stud_sig</vt:lpstr>
      <vt:lpstr>'PF 8222F'!stud_sig</vt:lpstr>
      <vt:lpstr>'PF 8231F'!stud_sig</vt:lpstr>
      <vt:lpstr>'PF 8332F'!stud_sig</vt:lpstr>
      <vt:lpstr>'PF 8340R'!stud_sig</vt:lpstr>
      <vt:lpstr>'SY 6131F'!stud_sig</vt:lpstr>
      <vt:lpstr>'SY 6132R'!stud_sig</vt:lpstr>
      <vt:lpstr>'SY 7212F'!stud_sig</vt:lpstr>
      <vt:lpstr>'SY 7511F'!stud_sig</vt:lpstr>
      <vt:lpstr>'TF 6241F'!stud_sig</vt:lpstr>
      <vt:lpstr>'TF 6251F'!stud_sig</vt:lpstr>
      <vt:lpstr>'TF 6402R'!stud_sig</vt:lpstr>
      <vt:lpstr>'TF 6403R'!stud_sig</vt:lpstr>
      <vt:lpstr>'TF 7113R'!stud_sig</vt:lpstr>
      <vt:lpstr>'TF 7123R'!stud_sig</vt:lpstr>
      <vt:lpstr>'TF 7133R'!stud_sig</vt:lpstr>
      <vt:lpstr>'TF 7502R'!stud_sig</vt:lpstr>
      <vt:lpstr>'FQ 6241F'!ulstart</vt:lpstr>
      <vt:lpstr>'FQ 6251F'!ulstart</vt:lpstr>
      <vt:lpstr>'FQ 7232F'!ulstart</vt:lpstr>
      <vt:lpstr>'FQ 8121F'!ulstart</vt:lpstr>
      <vt:lpstr>'FQ 8141F'!ulstart</vt:lpstr>
      <vt:lpstr>'FQ 9111F'!ulstart</vt:lpstr>
      <vt:lpstr>'FQ 9211F'!ulstart</vt:lpstr>
      <vt:lpstr>'FQ 9221F'!ulstart</vt:lpstr>
      <vt:lpstr>'FQ 9246F'!ulstart</vt:lpstr>
      <vt:lpstr>'FQ 9511F'!ulstart</vt:lpstr>
      <vt:lpstr>'PF 6121F'!ulstart</vt:lpstr>
      <vt:lpstr>'PF 6221F'!ulstart</vt:lpstr>
      <vt:lpstr>'PF 7112F'!ulstart</vt:lpstr>
      <vt:lpstr>'PF 8222F'!ulstart</vt:lpstr>
      <vt:lpstr>'PF 8231F'!ulstart</vt:lpstr>
      <vt:lpstr>'PF 8332F'!ulstart</vt:lpstr>
      <vt:lpstr>'PF 8340R'!ulstart</vt:lpstr>
      <vt:lpstr>'SY 6131F'!ulstart</vt:lpstr>
      <vt:lpstr>'SY 6132R'!ulstart</vt:lpstr>
      <vt:lpstr>'SY 7212F'!ulstart</vt:lpstr>
      <vt:lpstr>'SY 7511F'!ulstart</vt:lpstr>
      <vt:lpstr>'TF 6241F'!ulstart</vt:lpstr>
      <vt:lpstr>'TF 6251F'!ulstart</vt:lpstr>
      <vt:lpstr>'TF 6402R'!ulstart</vt:lpstr>
      <vt:lpstr>'TF 6403R'!ulstart</vt:lpstr>
      <vt:lpstr>'TF 7113R'!ulstart</vt:lpstr>
      <vt:lpstr>'TF 7123R'!ulstart</vt:lpstr>
      <vt:lpstr>'TF 7133R'!ulstart</vt:lpstr>
      <vt:lpstr>'TF 7502R'!ulstart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WOLFORD, ELIZABETH R CTR USAF AFMC USAF TPS/JT4</dc:creator>
  <cp:lastModifiedBy>DUEDE, JACOB Z Lt Col USAF AFMC USAF TPS/DFAT Test Fou</cp:lastModifiedBy>
  <dcterms:created xsi:type="dcterms:W3CDTF">2019-03-27T17:32:43Z</dcterms:created>
  <dcterms:modified xsi:type="dcterms:W3CDTF">2026-06-04T15:28:43Z</dcterms:modified>
</cp:coreProperties>
</file>